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4B6B005E-FBED-544E-8567-05296C8C8E8D}" xr6:coauthVersionLast="47" xr6:coauthVersionMax="47" xr10:uidLastSave="{00000000-0000-0000-0000-000000000000}"/>
  <bookViews>
    <workbookView xWindow="0" yWindow="0" windowWidth="51200" windowHeight="28800" firstSheet="2" activeTab="10" xr2:uid="{00000000-000D-0000-FFFF-FFFF00000000}"/>
  </bookViews>
  <sheets>
    <sheet name="Read me" sheetId="33" r:id="rId1"/>
    <sheet name="Constants" sheetId="3" r:id="rId2"/>
    <sheet name="Calculators" sheetId="11" r:id="rId3"/>
    <sheet name="Energy X" sheetId="17" r:id="rId4"/>
    <sheet name="MCC_B_RUVY_matrices_mat_level" sheetId="20" r:id="rId5"/>
    <sheet name="MX_I_Test" sheetId="36" r:id="rId6"/>
    <sheet name="MCC_M_RUVY_matrices_mat_level" sheetId="15" r:id="rId7"/>
    <sheet name="MCC_phi_RUVY_matrices_mat_level" sheetId="37" r:id="rId8"/>
    <sheet name="MCC_h_RUVY_matrices_mat_level" sheetId="22" r:id="rId9"/>
    <sheet name="MCC_MW_RUVY_matrices_mat_level" sheetId="23" r:id="rId10"/>
    <sheet name="MCC_Q_RUVY_matrices_mat_level " sheetId="24" r:id="rId11"/>
    <sheet name="Ore_to_PI" sheetId="9" r:id="rId12"/>
    <sheet name="Waste" sheetId="13" r:id="rId13"/>
    <sheet name="Appx_exergy_account" sheetId="25" r:id="rId14"/>
    <sheet name="Tables for Paper" sheetId="14" r:id="rId15"/>
    <sheet name="BXCC Q loss" sheetId="29" r:id="rId16"/>
    <sheet name="B" sheetId="30" r:id="rId17"/>
    <sheet name="X" sheetId="31" r:id="rId18"/>
    <sheet name="BX" sheetId="32" r:id="rId19"/>
  </sheets>
  <externalReferences>
    <externalReference r:id="rId20"/>
  </externalReference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I_BXCC">'Tables for Paper'!$L$69:$M$103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6">B!$A$140:$AK$144</definedName>
    <definedName name="R_" localSheetId="18">BX!$A$217:$BF$241</definedName>
    <definedName name="R_" localSheetId="4">MCC_B_RUVY_matrices_mat_level!$E$155:$AO$164</definedName>
    <definedName name="R_" localSheetId="17">X!$A$151:$AA$171</definedName>
    <definedName name="R__MCC_h_RUVY_matrices_mat_level">MCC_h_RUVY_matrices_mat_level!$B$151:$AL$160</definedName>
    <definedName name="R__MCC_M_RUVY_matrices_mat_level" localSheetId="7">MCC_phi_RUVY_matrices_mat_level!$B$152:$AL$161</definedName>
    <definedName name="R__MCC_M_RUVY_matrices_mat_level" localSheetId="5">MX_I_Test!$B$153:$AL$162</definedName>
    <definedName name="R__MCC_M_RUVY_matrices_mat_level">MCC_M_RUVY_matrices_mat_level!$B$152:$AL$161</definedName>
    <definedName name="r_EIOU" localSheetId="16">B!$BF$1:$BU$37</definedName>
    <definedName name="r_EIOU" localSheetId="18">BX!$CO$1:$DR$58</definedName>
    <definedName name="r_EIOU" localSheetId="4">MCC_B_RUVY_matrices_mat_level!$BN$1:$CC$37</definedName>
    <definedName name="r_EIOU" localSheetId="17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 localSheetId="7">MCC_phi_RUVY_matrices_mat_level!$BK$1:$BY$37</definedName>
    <definedName name="r_EIOU__MCC_M_RUVY_matrices_mat_level" localSheetId="5">MX_I_Test!$BL$2:$BZ$38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6">B!$A$1:$B$37</definedName>
    <definedName name="S_units" localSheetId="18">BX!$A$1:$B$76</definedName>
    <definedName name="S_units" localSheetId="4">MCC_B_RUVY_matrices_mat_level!$B$1:$C$37</definedName>
    <definedName name="S_units" localSheetId="17">X!$A$1:$B$59</definedName>
    <definedName name="S_units__MCC_B_RUVY_matrices_mat_level">MCC_B_RUVY_matrices_mat_level!$B$1:$C$37</definedName>
    <definedName name="S_units_M" localSheetId="8">MCC_h_RUVY_matrices_mat_level!$B$1:$C$37</definedName>
    <definedName name="S_units_M" localSheetId="7">MCC_phi_RUVY_matrices_mat_level!$B$1:$C$36</definedName>
    <definedName name="S_units_M" localSheetId="5">MX_I_Test!$B$2:$C$37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6">B!$AN$81:$BC$117</definedName>
    <definedName name="U" localSheetId="18">BX!$BI$123:$CL$180</definedName>
    <definedName name="U" localSheetId="4">MCC_B_RUVY_matrices_mat_level!$AT$86:$BI$122</definedName>
    <definedName name="U" localSheetId="17">X!$AD$89:$BR$129</definedName>
    <definedName name="U__MCC_h_RUVY_matrices_mat_level">MCC_h_RUVY_matrices_mat_level!$AQ$82:$BF$118</definedName>
    <definedName name="U__MCC_M_RUVY_matrices_mat_level" localSheetId="7">MCC_phi_RUVY_matrices_mat_level!$AQ$82:$BF$118</definedName>
    <definedName name="U__MCC_M_RUVY_matrices_mat_level" localSheetId="5">MX_I_Test!$AR$83:$BG$119</definedName>
    <definedName name="U__MCC_M_RUVY_matrices_mat_level">MCC_M_RUVY_matrices_mat_level!$AQ$82:$BF$118</definedName>
    <definedName name="U_EIOU" localSheetId="16">B!$AN$1:$BC$37</definedName>
    <definedName name="U_EIOU" localSheetId="18">BX!$BI$1:$CL$58</definedName>
    <definedName name="U_EIOU" localSheetId="4">MCC_B_RUVY_matrices_mat_level!$AT$1:$BI$37</definedName>
    <definedName name="U_EIOU" localSheetId="17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 localSheetId="7">MCC_phi_RUVY_matrices_mat_level!$AQ$1:$BF$37</definedName>
    <definedName name="U_EIOU__MCC_M_RUVY_matrices_mat_level" localSheetId="5">MX_I_Test!$AR$2:$BG$38</definedName>
    <definedName name="U_EIOU__MCC_M_RUVY_matrices_mat_level">MCC_M_RUVY_matrices_mat_level!$AQ$1:$BF$37</definedName>
    <definedName name="U_feed" localSheetId="16">B!$AN$41:$BC$77</definedName>
    <definedName name="U_feed" localSheetId="18">BX!$BI$62:$CL$119</definedName>
    <definedName name="U_feed" localSheetId="4">MCC_B_RUVY_matrices_mat_level!$AT$41:$BI$77</definedName>
    <definedName name="U_feed" localSheetId="17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 localSheetId="7">MCC_phi_RUVY_matrices_mat_level!$AQ$41:$BF$77</definedName>
    <definedName name="U_feed__MCC_M_RUVY_matrices_mat_level" localSheetId="5">MX_I_Test!$AR$42:$BG$78</definedName>
    <definedName name="U_feed__MCC_M_RUVY_matrices_mat_level">MCC_M_RUVY_matrices_mat_level!$AQ$41:$BF$77</definedName>
    <definedName name="V" localSheetId="16">B!$A$121:$AK$136</definedName>
    <definedName name="V" localSheetId="18">BX!$A$184:$BF$213</definedName>
    <definedName name="V" localSheetId="4">MCC_B_RUVY_matrices_mat_level!$E$126:$AO$141</definedName>
    <definedName name="V" localSheetId="17">X!$A$133:$AA$147</definedName>
    <definedName name="V__MCC_h_RUVY_matrices_mat_level">MCC_h_RUVY_matrices_mat_level!$B$122:$AL$137</definedName>
    <definedName name="V__MCC_M_RUVY_matrices_mat_level" localSheetId="7">MCC_phi_RUVY_matrices_mat_level!$B$123:$AL$138</definedName>
    <definedName name="V__MCC_M_RUVY_matrices_mat_level" localSheetId="5">MX_I_Test!$B$124:$AL$139</definedName>
    <definedName name="V__MCC_M_RUVY_matrices_mat_level">MCC_M_RUVY_matrices_mat_level!$B$123:$AL$138</definedName>
    <definedName name="Y" localSheetId="16">B!$BF$81:$BH$117</definedName>
    <definedName name="Y" localSheetId="18">BX!$CO$123:$CQ$180</definedName>
    <definedName name="Y" localSheetId="4">MCC_B_RUVY_matrices_mat_level!$BN$86:$BP$122</definedName>
    <definedName name="Y" localSheetId="17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 localSheetId="7">MCC_phi_RUVY_matrices_mat_level!$BK$83:$BM$119</definedName>
    <definedName name="Y__MCC_M_RUVY_matrices_mat_level" localSheetId="5">MX_I_Test!$BL$84:$BN$120</definedName>
    <definedName name="Y__MCC_M_RUVY_matrices_mat_level">MCC_M_RUVY_matrices_mat_level!$BK$83:$BM$119</definedName>
    <definedName name="y_Al2O3_from_Coal">Ore_to_PI!$Q$211</definedName>
    <definedName name="y_Al2O3_from_Coke_oven">Ore_to_PI!$CR$222</definedName>
    <definedName name="y_Al2O3_from_Iron_beneficiation">Ore_to_PI!$BV$60</definedName>
    <definedName name="y_Al2O3_from_Iron_ore">Ore_to_PI!$Q$49</definedName>
    <definedName name="y_Anthrocite_from_Coke_oven">Ore_to_PI!$CR$210</definedName>
    <definedName name="y_CaCO3">Ore_to_PI!$BW$130</definedName>
    <definedName name="y_CaCO3_from_Lime">Ore_to_PI!$Q$130</definedName>
    <definedName name="y_CaO_from_Coal">Ore_to_PI!$Q$212</definedName>
    <definedName name="y_CaO_from_Coke_oven">Ore_to_PI!$CR$223</definedName>
    <definedName name="y_CaO_from_Kiln">Ore_to_PI!$CR$130</definedName>
    <definedName name="y_CO2_from_Kiln">Ore_to_PI!$CR$143</definedName>
    <definedName name="y_Coal_from_Coal">Ore_to_PI!$Q$210</definedName>
    <definedName name="y_Fe2O3_from_Coal">Ore_to_PI!$Q$215</definedName>
    <definedName name="y_Fe2O3_from_Coke_oven">Ore_to_PI!$CR$226</definedName>
    <definedName name="y_Fe2O3_from_Iron_beneficiation">Ore_to_PI!$BV$46</definedName>
    <definedName name="y_Fe2O3_from_Iron_ore">Ore_to_PI!$Q$46</definedName>
    <definedName name="y_H2O_from_Kiln">Ore_to_PI!$CR$142</definedName>
    <definedName name="y_K2O_from_Coal">Ore_to_PI!$Q$217</definedName>
    <definedName name="y_K2O_from_Coke_oven">Ore_to_PI!$CR$228</definedName>
    <definedName name="y_K2O_from_Iron_beneficiation">Ore_to_PI!$BV$59</definedName>
    <definedName name="y_K2O_from_Iron_ore">Ore_to_PI!$Q$48</definedName>
    <definedName name="y_MgCO3">Ore_to_PI!$BW$131</definedName>
    <definedName name="y_MgCo3_from_Lime">Ore_to_PI!$Q$131</definedName>
    <definedName name="y_MgO_from_Coal">Ore_to_PI!$Q$213</definedName>
    <definedName name="y_MgO_from_Coke_oven">Ore_to_PI!$CR$224</definedName>
    <definedName name="y_MgO_from_Kiln">Ore_to_PI!$CR$118</definedName>
    <definedName name="y_N2_from_Kiln">Ore_to_PI!$CR$144</definedName>
    <definedName name="y_Na2O_from_Coal">Ore_to_PI!$Q$214</definedName>
    <definedName name="y_Na2O_from_Coke_oven">Ore_to_PI!$CR$225</definedName>
    <definedName name="y_P_from_Iron_beneficiation">Ore_to_PI!$BV$61</definedName>
    <definedName name="y_P_from_Iron_ore">Ore_to_PI!$Q$50</definedName>
    <definedName name="y_S_from_Iron_beneficiation">Ore_to_PI!$BV$62</definedName>
    <definedName name="y_S_from_Iron_ore">Ore_to_PI!$Q$51</definedName>
    <definedName name="y_SiO2_from_Coal">Ore_to_PI!$Q$216</definedName>
    <definedName name="y_SiO2_from_Coke_oven">Ore_to_PI!$CR$227</definedName>
    <definedName name="y_SiO2_from_Iron_beneficiation">Ore_to_PI!$BV$47</definedName>
    <definedName name="y_SiO2_from_Iron_ore">Ore_to_PI!$Q$47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71" i="24" l="1"/>
  <c r="Y168" i="24"/>
  <c r="X167" i="24"/>
  <c r="W166" i="24"/>
  <c r="V163" i="24"/>
  <c r="U165" i="24"/>
  <c r="U164" i="24"/>
  <c r="U161" i="24"/>
  <c r="U162" i="24"/>
  <c r="U160" i="24"/>
  <c r="T159" i="24"/>
  <c r="T158" i="24"/>
  <c r="BV18" i="24" a="1"/>
  <c r="BV18" i="24" s="1"/>
  <c r="BX18" i="24" s="1"/>
  <c r="BB18" i="24" a="1"/>
  <c r="BB18" i="24" s="1"/>
  <c r="F67" i="24" a="1"/>
  <c r="F67" i="24" s="1"/>
  <c r="F94" i="24" a="1"/>
  <c r="F94" i="24" s="1"/>
  <c r="F104" i="24" s="1"/>
  <c r="DK244" i="9"/>
  <c r="CR245" i="9"/>
  <c r="BM44" i="24"/>
  <c r="C47" i="29"/>
  <c r="C46" i="29"/>
  <c r="C45" i="29"/>
  <c r="C44" i="29"/>
  <c r="C43" i="29"/>
  <c r="C42" i="29"/>
  <c r="C41" i="29"/>
  <c r="C40" i="29"/>
  <c r="C39" i="29"/>
  <c r="C38" i="29"/>
  <c r="C37" i="29"/>
  <c r="C36" i="29"/>
  <c r="C35" i="29"/>
  <c r="C34" i="29"/>
  <c r="C33" i="29"/>
  <c r="BX19" i="24"/>
  <c r="BX20" i="24"/>
  <c r="BX21" i="24"/>
  <c r="BX22" i="24"/>
  <c r="BX23" i="24"/>
  <c r="BX24" i="24"/>
  <c r="BX25" i="24"/>
  <c r="BX26" i="24"/>
  <c r="BX27" i="24"/>
  <c r="BX29" i="24"/>
  <c r="BX31" i="24"/>
  <c r="BX33" i="24"/>
  <c r="BX34" i="24"/>
  <c r="BX35" i="24"/>
  <c r="BX36" i="24"/>
  <c r="BX38" i="24"/>
  <c r="BX39" i="24"/>
  <c r="BX40" i="24"/>
  <c r="BX43" i="24"/>
  <c r="BX44" i="24"/>
  <c r="BX48" i="24"/>
  <c r="BX50" i="24"/>
  <c r="BQ51" i="24"/>
  <c r="J144" i="24" s="1"/>
  <c r="AE159" i="9"/>
  <c r="FE233" i="9"/>
  <c r="EJ233" i="9"/>
  <c r="BM111" i="37"/>
  <c r="BM110" i="37"/>
  <c r="BM95" i="37"/>
  <c r="BM93" i="37"/>
  <c r="BM118" i="37"/>
  <c r="BL116" i="37"/>
  <c r="BL114" i="37"/>
  <c r="BB87" i="37"/>
  <c r="BA86" i="37"/>
  <c r="BA87" i="37"/>
  <c r="BF87" i="37"/>
  <c r="BF90" i="37"/>
  <c r="BE101" i="37"/>
  <c r="BE105" i="37"/>
  <c r="BE108" i="37"/>
  <c r="BF114" i="37"/>
  <c r="BD113" i="37"/>
  <c r="BC109" i="37"/>
  <c r="BB104" i="37"/>
  <c r="BA103" i="37"/>
  <c r="AZ100" i="37"/>
  <c r="AY99" i="37"/>
  <c r="AX98" i="37"/>
  <c r="AW96" i="37"/>
  <c r="AV94" i="37"/>
  <c r="AU92" i="37"/>
  <c r="AT85" i="37"/>
  <c r="AS89" i="37"/>
  <c r="AS86" i="37"/>
  <c r="AS84" i="37"/>
  <c r="AR86" i="37"/>
  <c r="AR83" i="37"/>
  <c r="K161" i="37"/>
  <c r="J160" i="37"/>
  <c r="I159" i="37"/>
  <c r="G157" i="37"/>
  <c r="E155" i="37"/>
  <c r="D154" i="37"/>
  <c r="C153" i="37"/>
  <c r="AL138" i="37"/>
  <c r="AJ138" i="37"/>
  <c r="AH136" i="37"/>
  <c r="AG135" i="37"/>
  <c r="AE134" i="37"/>
  <c r="AD134" i="37"/>
  <c r="AC134" i="37"/>
  <c r="AB134" i="37"/>
  <c r="Y133" i="37"/>
  <c r="X132" i="37"/>
  <c r="W131" i="37"/>
  <c r="U130" i="37"/>
  <c r="T129" i="37"/>
  <c r="S128" i="37"/>
  <c r="R127" i="37"/>
  <c r="P126" i="37"/>
  <c r="O125" i="37"/>
  <c r="N125" i="37"/>
  <c r="M124" i="37"/>
  <c r="L124" i="37"/>
  <c r="G194" i="37"/>
  <c r="AL163" i="37"/>
  <c r="AK163" i="37"/>
  <c r="AJ163" i="37"/>
  <c r="AI163" i="37"/>
  <c r="AH163" i="37"/>
  <c r="AG163" i="37"/>
  <c r="AF163" i="37"/>
  <c r="AE163" i="37"/>
  <c r="AD163" i="37"/>
  <c r="AC163" i="37"/>
  <c r="AB163" i="37"/>
  <c r="AA163" i="37"/>
  <c r="Z163" i="37"/>
  <c r="Y163" i="37"/>
  <c r="X163" i="37"/>
  <c r="W163" i="37"/>
  <c r="V163" i="37"/>
  <c r="U163" i="37"/>
  <c r="T163" i="37"/>
  <c r="S163" i="37"/>
  <c r="R163" i="37"/>
  <c r="Q163" i="37"/>
  <c r="P163" i="37"/>
  <c r="O163" i="37"/>
  <c r="N163" i="37"/>
  <c r="M163" i="37"/>
  <c r="L163" i="37"/>
  <c r="K163" i="37"/>
  <c r="K140" i="37"/>
  <c r="J140" i="37"/>
  <c r="I140" i="37"/>
  <c r="H140" i="37"/>
  <c r="G140" i="37"/>
  <c r="F140" i="37"/>
  <c r="E140" i="37"/>
  <c r="D140" i="37"/>
  <c r="C140" i="37"/>
  <c r="BG118" i="37"/>
  <c r="G206" i="37" s="1"/>
  <c r="BG117" i="37"/>
  <c r="G205" i="37" s="1"/>
  <c r="BG116" i="37"/>
  <c r="G204" i="37" s="1"/>
  <c r="BN115" i="37"/>
  <c r="BN113" i="37"/>
  <c r="BG112" i="37"/>
  <c r="G200" i="37" s="1"/>
  <c r="BG111" i="37"/>
  <c r="G199" i="37" s="1"/>
  <c r="BG110" i="37"/>
  <c r="G198" i="37" s="1"/>
  <c r="BN109" i="37"/>
  <c r="BN108" i="37"/>
  <c r="BG107" i="37"/>
  <c r="G195" i="37" s="1"/>
  <c r="BG106" i="37"/>
  <c r="BN105" i="37"/>
  <c r="BN104" i="37"/>
  <c r="BN103" i="37"/>
  <c r="BG102" i="37"/>
  <c r="G190" i="37" s="1"/>
  <c r="BN101" i="37"/>
  <c r="BN100" i="37"/>
  <c r="BN99" i="37"/>
  <c r="BN98" i="37"/>
  <c r="BG97" i="37"/>
  <c r="G185" i="37" s="1"/>
  <c r="BN96" i="37"/>
  <c r="BG95" i="37"/>
  <c r="G183" i="37" s="1"/>
  <c r="BN94" i="37"/>
  <c r="BG93" i="37"/>
  <c r="G181" i="37" s="1"/>
  <c r="BN92" i="37"/>
  <c r="BN91" i="37"/>
  <c r="BG91" i="37"/>
  <c r="G179" i="37" s="1"/>
  <c r="BN90" i="37"/>
  <c r="BN89" i="37"/>
  <c r="BN88" i="37"/>
  <c r="BN87" i="37"/>
  <c r="BN86" i="37"/>
  <c r="BN85" i="37"/>
  <c r="BN84" i="37"/>
  <c r="BN83" i="37"/>
  <c r="BF77" i="37"/>
  <c r="BE77" i="37"/>
  <c r="BD77" i="37"/>
  <c r="BC77" i="37"/>
  <c r="BB77" i="37"/>
  <c r="BA77" i="37"/>
  <c r="AZ77" i="37"/>
  <c r="AY77" i="37"/>
  <c r="AX77" i="37"/>
  <c r="AW77" i="37"/>
  <c r="AV77" i="37"/>
  <c r="AU77" i="37"/>
  <c r="AT77" i="37"/>
  <c r="AS77" i="37"/>
  <c r="AR77" i="37"/>
  <c r="BF76" i="37"/>
  <c r="BE76" i="37"/>
  <c r="BD76" i="37"/>
  <c r="BC76" i="37"/>
  <c r="BB76" i="37"/>
  <c r="BA76" i="37"/>
  <c r="AZ76" i="37"/>
  <c r="AY76" i="37"/>
  <c r="AX76" i="37"/>
  <c r="AW76" i="37"/>
  <c r="AV76" i="37"/>
  <c r="AU76" i="37"/>
  <c r="AT76" i="37"/>
  <c r="AS76" i="37"/>
  <c r="AR76" i="37"/>
  <c r="BF75" i="37"/>
  <c r="BE75" i="37"/>
  <c r="BD75" i="37"/>
  <c r="BC75" i="37"/>
  <c r="BB75" i="37"/>
  <c r="BA75" i="37"/>
  <c r="AZ75" i="37"/>
  <c r="AY75" i="37"/>
  <c r="AX75" i="37"/>
  <c r="AW75" i="37"/>
  <c r="AV75" i="37"/>
  <c r="AU75" i="37"/>
  <c r="AT75" i="37"/>
  <c r="AS75" i="37"/>
  <c r="AR75" i="37"/>
  <c r="BE74" i="37"/>
  <c r="BD74" i="37"/>
  <c r="BC74" i="37"/>
  <c r="BB74" i="37"/>
  <c r="BA74" i="37"/>
  <c r="AZ74" i="37"/>
  <c r="AY74" i="37"/>
  <c r="AX74" i="37"/>
  <c r="AW74" i="37"/>
  <c r="AV74" i="37"/>
  <c r="AU74" i="37"/>
  <c r="AT74" i="37"/>
  <c r="AS74" i="37"/>
  <c r="AR74" i="37"/>
  <c r="BE73" i="37"/>
  <c r="BC73" i="37"/>
  <c r="BB73" i="37"/>
  <c r="BA73" i="37"/>
  <c r="AZ73" i="37"/>
  <c r="AY73" i="37"/>
  <c r="AX73" i="37"/>
  <c r="AW73" i="37"/>
  <c r="AV73" i="37"/>
  <c r="AU73" i="37"/>
  <c r="AT73" i="37"/>
  <c r="AS73" i="37"/>
  <c r="AR73" i="37"/>
  <c r="BF72" i="37"/>
  <c r="BE72" i="37"/>
  <c r="BC72" i="37"/>
  <c r="BB72" i="37"/>
  <c r="BA72" i="37"/>
  <c r="AZ72" i="37"/>
  <c r="AY72" i="37"/>
  <c r="AX72" i="37"/>
  <c r="AW72" i="37"/>
  <c r="AV72" i="37"/>
  <c r="AU72" i="37"/>
  <c r="AT72" i="37"/>
  <c r="AS72" i="37"/>
  <c r="AR72" i="37"/>
  <c r="BF71" i="37"/>
  <c r="BE71" i="37"/>
  <c r="BD71" i="37"/>
  <c r="BC71" i="37"/>
  <c r="BB71" i="37"/>
  <c r="BA71" i="37"/>
  <c r="AZ71" i="37"/>
  <c r="AY71" i="37"/>
  <c r="AX71" i="37"/>
  <c r="AW71" i="37"/>
  <c r="AV71" i="37"/>
  <c r="AU71" i="37"/>
  <c r="AT71" i="37"/>
  <c r="AS71" i="37"/>
  <c r="AR71" i="37"/>
  <c r="BF70" i="37"/>
  <c r="BE70" i="37"/>
  <c r="BD70" i="37"/>
  <c r="BC70" i="37"/>
  <c r="BB70" i="37"/>
  <c r="BA70" i="37"/>
  <c r="AZ70" i="37"/>
  <c r="AY70" i="37"/>
  <c r="AX70" i="37"/>
  <c r="AW70" i="37"/>
  <c r="AV70" i="37"/>
  <c r="AU70" i="37"/>
  <c r="AT70" i="37"/>
  <c r="AS70" i="37"/>
  <c r="AR70" i="37"/>
  <c r="BF68" i="37"/>
  <c r="BE68" i="37"/>
  <c r="BD68" i="37"/>
  <c r="BB68" i="37"/>
  <c r="BA68" i="37"/>
  <c r="AZ68" i="37"/>
  <c r="AY68" i="37"/>
  <c r="AX68" i="37"/>
  <c r="AW68" i="37"/>
  <c r="AV68" i="37"/>
  <c r="AU68" i="37"/>
  <c r="AT68" i="37"/>
  <c r="AS68" i="37"/>
  <c r="AR68" i="37"/>
  <c r="BF67" i="37"/>
  <c r="BD67" i="37"/>
  <c r="BC67" i="37"/>
  <c r="BB67" i="37"/>
  <c r="BA67" i="37"/>
  <c r="AZ67" i="37"/>
  <c r="AY67" i="37"/>
  <c r="AX67" i="37"/>
  <c r="AW67" i="37"/>
  <c r="AV67" i="37"/>
  <c r="AU67" i="37"/>
  <c r="AT67" i="37"/>
  <c r="AS67" i="37"/>
  <c r="AR67" i="37"/>
  <c r="BF66" i="37"/>
  <c r="BE66" i="37"/>
  <c r="BD66" i="37"/>
  <c r="BC66" i="37"/>
  <c r="BB66" i="37"/>
  <c r="BA66" i="37"/>
  <c r="AZ66" i="37"/>
  <c r="AY66" i="37"/>
  <c r="AX66" i="37"/>
  <c r="AW66" i="37"/>
  <c r="AV66" i="37"/>
  <c r="AU66" i="37"/>
  <c r="AT66" i="37"/>
  <c r="AS66" i="37"/>
  <c r="AR66" i="37"/>
  <c r="BF65" i="37"/>
  <c r="BE65" i="37"/>
  <c r="BD65" i="37"/>
  <c r="BC65" i="37"/>
  <c r="BB65" i="37"/>
  <c r="BA65" i="37"/>
  <c r="AZ65" i="37"/>
  <c r="AY65" i="37"/>
  <c r="AX65" i="37"/>
  <c r="AW65" i="37"/>
  <c r="AV65" i="37"/>
  <c r="AU65" i="37"/>
  <c r="AT65" i="37"/>
  <c r="AS65" i="37"/>
  <c r="AR65" i="37"/>
  <c r="BF64" i="37"/>
  <c r="BD64" i="37"/>
  <c r="BC64" i="37"/>
  <c r="BB64" i="37"/>
  <c r="BA64" i="37"/>
  <c r="AZ64" i="37"/>
  <c r="AY64" i="37"/>
  <c r="AX64" i="37"/>
  <c r="AW64" i="37"/>
  <c r="AV64" i="37"/>
  <c r="AU64" i="37"/>
  <c r="AT64" i="37"/>
  <c r="AS64" i="37"/>
  <c r="AR64" i="37"/>
  <c r="BF63" i="37"/>
  <c r="BE63" i="37"/>
  <c r="BD63" i="37"/>
  <c r="BC63" i="37"/>
  <c r="BA63" i="37"/>
  <c r="AZ63" i="37"/>
  <c r="AY63" i="37"/>
  <c r="AX63" i="37"/>
  <c r="AW63" i="37"/>
  <c r="AV63" i="37"/>
  <c r="AU63" i="37"/>
  <c r="AT63" i="37"/>
  <c r="AS63" i="37"/>
  <c r="AR63" i="37"/>
  <c r="BF62" i="37"/>
  <c r="BE62" i="37"/>
  <c r="BD62" i="37"/>
  <c r="BC62" i="37"/>
  <c r="BB62" i="37"/>
  <c r="AZ62" i="37"/>
  <c r="AY62" i="37"/>
  <c r="AX62" i="37"/>
  <c r="AW62" i="37"/>
  <c r="AV62" i="37"/>
  <c r="AU62" i="37"/>
  <c r="AT62" i="37"/>
  <c r="AS62" i="37"/>
  <c r="AR62" i="37"/>
  <c r="BF61" i="37"/>
  <c r="BE61" i="37"/>
  <c r="BD61" i="37"/>
  <c r="BC61" i="37"/>
  <c r="BB61" i="37"/>
  <c r="BA61" i="37"/>
  <c r="AZ61" i="37"/>
  <c r="AY61" i="37"/>
  <c r="AX61" i="37"/>
  <c r="AW61" i="37"/>
  <c r="AV61" i="37"/>
  <c r="AU61" i="37"/>
  <c r="AT61" i="37"/>
  <c r="AS61" i="37"/>
  <c r="AR61" i="37"/>
  <c r="BF60" i="37"/>
  <c r="BD60" i="37"/>
  <c r="BC60" i="37"/>
  <c r="BB60" i="37"/>
  <c r="BA60" i="37"/>
  <c r="AZ60" i="37"/>
  <c r="AY60" i="37"/>
  <c r="AX60" i="37"/>
  <c r="AW60" i="37"/>
  <c r="AV60" i="37"/>
  <c r="AU60" i="37"/>
  <c r="AT60" i="37"/>
  <c r="AS60" i="37"/>
  <c r="AR60" i="37"/>
  <c r="BF59" i="37"/>
  <c r="BE59" i="37"/>
  <c r="BD59" i="37"/>
  <c r="BC59" i="37"/>
  <c r="BB59" i="37"/>
  <c r="BA59" i="37"/>
  <c r="AY59" i="37"/>
  <c r="AX59" i="37"/>
  <c r="AW59" i="37"/>
  <c r="AV59" i="37"/>
  <c r="AU59" i="37"/>
  <c r="AT59" i="37"/>
  <c r="AS59" i="37"/>
  <c r="AR59" i="37"/>
  <c r="BF58" i="37"/>
  <c r="BE58" i="37"/>
  <c r="BD58" i="37"/>
  <c r="BC58" i="37"/>
  <c r="BB58" i="37"/>
  <c r="BA58" i="37"/>
  <c r="AZ58" i="37"/>
  <c r="AX58" i="37"/>
  <c r="AW58" i="37"/>
  <c r="AV58" i="37"/>
  <c r="AU58" i="37"/>
  <c r="AT58" i="37"/>
  <c r="AS58" i="37"/>
  <c r="AR58" i="37"/>
  <c r="BF57" i="37"/>
  <c r="BE57" i="37"/>
  <c r="BD57" i="37"/>
  <c r="BC57" i="37"/>
  <c r="BB57" i="37"/>
  <c r="BA57" i="37"/>
  <c r="AZ57" i="37"/>
  <c r="AY57" i="37"/>
  <c r="AW57" i="37"/>
  <c r="AV57" i="37"/>
  <c r="AU57" i="37"/>
  <c r="AT57" i="37"/>
  <c r="AS57" i="37"/>
  <c r="AR57" i="37"/>
  <c r="BF56" i="37"/>
  <c r="BE56" i="37"/>
  <c r="BD56" i="37"/>
  <c r="BC56" i="37"/>
  <c r="BB56" i="37"/>
  <c r="BA56" i="37"/>
  <c r="AZ56" i="37"/>
  <c r="AY56" i="37"/>
  <c r="AX56" i="37"/>
  <c r="AW56" i="37"/>
  <c r="AV56" i="37"/>
  <c r="AU56" i="37"/>
  <c r="AT56" i="37"/>
  <c r="AS56" i="37"/>
  <c r="AR56" i="37"/>
  <c r="BF55" i="37"/>
  <c r="BE55" i="37"/>
  <c r="BD55" i="37"/>
  <c r="BC55" i="37"/>
  <c r="BB55" i="37"/>
  <c r="BA55" i="37"/>
  <c r="AZ55" i="37"/>
  <c r="AY55" i="37"/>
  <c r="AX55" i="37"/>
  <c r="AV55" i="37"/>
  <c r="AU55" i="37"/>
  <c r="AT55" i="37"/>
  <c r="AS55" i="37"/>
  <c r="AR55" i="37"/>
  <c r="BF54" i="37"/>
  <c r="BE54" i="37"/>
  <c r="BD54" i="37"/>
  <c r="BC54" i="37"/>
  <c r="BB54" i="37"/>
  <c r="BA54" i="37"/>
  <c r="AZ54" i="37"/>
  <c r="AY54" i="37"/>
  <c r="AX54" i="37"/>
  <c r="AW54" i="37"/>
  <c r="AV54" i="37"/>
  <c r="AU54" i="37"/>
  <c r="AT54" i="37"/>
  <c r="AS54" i="37"/>
  <c r="AR54" i="37"/>
  <c r="BF53" i="37"/>
  <c r="BE53" i="37"/>
  <c r="BD53" i="37"/>
  <c r="BC53" i="37"/>
  <c r="BB53" i="37"/>
  <c r="BA53" i="37"/>
  <c r="AZ53" i="37"/>
  <c r="AY53" i="37"/>
  <c r="AX53" i="37"/>
  <c r="AW53" i="37"/>
  <c r="AU53" i="37"/>
  <c r="AT53" i="37"/>
  <c r="AS53" i="37"/>
  <c r="AR53" i="37"/>
  <c r="BF52" i="37"/>
  <c r="BE52" i="37"/>
  <c r="BD52" i="37"/>
  <c r="BC52" i="37"/>
  <c r="BB52" i="37"/>
  <c r="BA52" i="37"/>
  <c r="AZ52" i="37"/>
  <c r="AY52" i="37"/>
  <c r="AX52" i="37"/>
  <c r="AW52" i="37"/>
  <c r="AV52" i="37"/>
  <c r="AU52" i="37"/>
  <c r="AT52" i="37"/>
  <c r="AS52" i="37"/>
  <c r="AR52" i="37"/>
  <c r="BF51" i="37"/>
  <c r="BE51" i="37"/>
  <c r="BD51" i="37"/>
  <c r="BC51" i="37"/>
  <c r="BB51" i="37"/>
  <c r="BA51" i="37"/>
  <c r="AZ51" i="37"/>
  <c r="AY51" i="37"/>
  <c r="AX51" i="37"/>
  <c r="AW51" i="37"/>
  <c r="AV51" i="37"/>
  <c r="AT51" i="37"/>
  <c r="AS51" i="37"/>
  <c r="AR51" i="37"/>
  <c r="BF50" i="37"/>
  <c r="BE50" i="37"/>
  <c r="BD50" i="37"/>
  <c r="BC50" i="37"/>
  <c r="BB50" i="37"/>
  <c r="BA50" i="37"/>
  <c r="AZ50" i="37"/>
  <c r="AY50" i="37"/>
  <c r="AX50" i="37"/>
  <c r="AW50" i="37"/>
  <c r="AV50" i="37"/>
  <c r="AU50" i="37"/>
  <c r="AT50" i="37"/>
  <c r="AS50" i="37"/>
  <c r="AR50" i="37"/>
  <c r="BE49" i="37"/>
  <c r="BD49" i="37"/>
  <c r="BC49" i="37"/>
  <c r="BB49" i="37"/>
  <c r="BA49" i="37"/>
  <c r="AZ49" i="37"/>
  <c r="AY49" i="37"/>
  <c r="AX49" i="37"/>
  <c r="AW49" i="37"/>
  <c r="AV49" i="37"/>
  <c r="AU49" i="37"/>
  <c r="AT49" i="37"/>
  <c r="AS49" i="37"/>
  <c r="AR49" i="37"/>
  <c r="BF48" i="37"/>
  <c r="BE48" i="37"/>
  <c r="BD48" i="37"/>
  <c r="BC48" i="37"/>
  <c r="BB48" i="37"/>
  <c r="BA48" i="37"/>
  <c r="AZ48" i="37"/>
  <c r="AY48" i="37"/>
  <c r="AX48" i="37"/>
  <c r="AW48" i="37"/>
  <c r="AV48" i="37"/>
  <c r="AU48" i="37"/>
  <c r="AT48" i="37"/>
  <c r="AR48" i="37"/>
  <c r="BF47" i="37"/>
  <c r="BE47" i="37"/>
  <c r="BD47" i="37"/>
  <c r="BC47" i="37"/>
  <c r="BB47" i="37"/>
  <c r="BA47" i="37"/>
  <c r="AZ47" i="37"/>
  <c r="AY47" i="37"/>
  <c r="AX47" i="37"/>
  <c r="AW47" i="37"/>
  <c r="AV47" i="37"/>
  <c r="AU47" i="37"/>
  <c r="BE46" i="37"/>
  <c r="BD46" i="37"/>
  <c r="BC46" i="37"/>
  <c r="AZ46" i="37"/>
  <c r="AY46" i="37"/>
  <c r="AX46" i="37"/>
  <c r="AW46" i="37"/>
  <c r="AV46" i="37"/>
  <c r="AU46" i="37"/>
  <c r="AT46" i="37"/>
  <c r="AS46" i="37"/>
  <c r="AR46" i="37"/>
  <c r="BE45" i="37"/>
  <c r="BD45" i="37"/>
  <c r="BC45" i="37"/>
  <c r="AZ45" i="37"/>
  <c r="AY45" i="37"/>
  <c r="AX45" i="37"/>
  <c r="AW45" i="37"/>
  <c r="AV45" i="37"/>
  <c r="AU45" i="37"/>
  <c r="BF44" i="37"/>
  <c r="BE44" i="37"/>
  <c r="BD44" i="37"/>
  <c r="BC44" i="37"/>
  <c r="BB44" i="37"/>
  <c r="BA44" i="37"/>
  <c r="AZ44" i="37"/>
  <c r="AY44" i="37"/>
  <c r="AX44" i="37"/>
  <c r="AW44" i="37"/>
  <c r="AV44" i="37"/>
  <c r="AU44" i="37"/>
  <c r="AS44" i="37"/>
  <c r="AR44" i="37"/>
  <c r="BF43" i="37"/>
  <c r="BE43" i="37"/>
  <c r="BD43" i="37"/>
  <c r="BC43" i="37"/>
  <c r="BB43" i="37"/>
  <c r="BA43" i="37"/>
  <c r="AZ43" i="37"/>
  <c r="AY43" i="37"/>
  <c r="AX43" i="37"/>
  <c r="AW43" i="37"/>
  <c r="AV43" i="37"/>
  <c r="AU43" i="37"/>
  <c r="AT43" i="37"/>
  <c r="AR43" i="37"/>
  <c r="BF42" i="37"/>
  <c r="BE42" i="37"/>
  <c r="BD42" i="37"/>
  <c r="BC42" i="37"/>
  <c r="BB42" i="37"/>
  <c r="BA42" i="37"/>
  <c r="AZ42" i="37"/>
  <c r="AY42" i="37"/>
  <c r="AX42" i="37"/>
  <c r="AW42" i="37"/>
  <c r="AV42" i="37"/>
  <c r="AU42" i="37"/>
  <c r="AT42" i="37"/>
  <c r="AS42" i="37"/>
  <c r="DW173" i="36" a="1"/>
  <c r="DW173" i="36" s="1"/>
  <c r="FI173" i="36" s="1"/>
  <c r="AL164" i="36"/>
  <c r="AK164" i="36"/>
  <c r="AJ164" i="36"/>
  <c r="AI164" i="36"/>
  <c r="AH164" i="36"/>
  <c r="AG164" i="36"/>
  <c r="AF164" i="36"/>
  <c r="AE164" i="36"/>
  <c r="AD164" i="36"/>
  <c r="AC164" i="36"/>
  <c r="AB164" i="36"/>
  <c r="AA164" i="36"/>
  <c r="Z164" i="36"/>
  <c r="Y164" i="36"/>
  <c r="X164" i="36"/>
  <c r="W164" i="36"/>
  <c r="V164" i="36"/>
  <c r="U164" i="36"/>
  <c r="T164" i="36"/>
  <c r="S164" i="36"/>
  <c r="R164" i="36"/>
  <c r="Q164" i="36"/>
  <c r="P164" i="36"/>
  <c r="O164" i="36"/>
  <c r="N164" i="36"/>
  <c r="M164" i="36"/>
  <c r="L164" i="36"/>
  <c r="K164" i="36"/>
  <c r="K141" i="36"/>
  <c r="J141" i="36"/>
  <c r="I141" i="36"/>
  <c r="H141" i="36"/>
  <c r="G141" i="36"/>
  <c r="F141" i="36"/>
  <c r="E141" i="36"/>
  <c r="D141" i="36"/>
  <c r="C141" i="36"/>
  <c r="V131" i="36"/>
  <c r="V141" i="36" s="1"/>
  <c r="BH119" i="36"/>
  <c r="G207" i="36" s="1"/>
  <c r="BH118" i="36"/>
  <c r="G206" i="36" s="1"/>
  <c r="BH117" i="36"/>
  <c r="G205" i="36" s="1"/>
  <c r="BO116" i="36"/>
  <c r="BO114" i="36"/>
  <c r="BH113" i="36"/>
  <c r="G201" i="36" s="1"/>
  <c r="BH112" i="36"/>
  <c r="G200" i="36" s="1"/>
  <c r="BH111" i="36"/>
  <c r="G199" i="36" s="1"/>
  <c r="BO110" i="36"/>
  <c r="BO109" i="36"/>
  <c r="BH108" i="36"/>
  <c r="G196" i="36" s="1"/>
  <c r="BH107" i="36"/>
  <c r="G195" i="36" s="1"/>
  <c r="BO106" i="36"/>
  <c r="BO105" i="36"/>
  <c r="BO104" i="36"/>
  <c r="BN103" i="36"/>
  <c r="BO103" i="36" s="1"/>
  <c r="BH103" i="36"/>
  <c r="G191" i="36" s="1"/>
  <c r="BO102" i="36"/>
  <c r="BO101" i="36"/>
  <c r="BO100" i="36"/>
  <c r="BO99" i="36"/>
  <c r="BH98" i="36"/>
  <c r="G186" i="36" s="1"/>
  <c r="BO97" i="36"/>
  <c r="BH96" i="36"/>
  <c r="G184" i="36" s="1"/>
  <c r="BO95" i="36"/>
  <c r="BH94" i="36"/>
  <c r="G182" i="36" s="1"/>
  <c r="BO93" i="36"/>
  <c r="BO92" i="36"/>
  <c r="BH92" i="36"/>
  <c r="G180" i="36" s="1"/>
  <c r="BO91" i="36"/>
  <c r="BO90" i="36"/>
  <c r="BO89" i="36"/>
  <c r="BO88" i="36"/>
  <c r="BO87" i="36"/>
  <c r="BO86" i="36"/>
  <c r="BO85" i="36"/>
  <c r="BO84" i="36"/>
  <c r="BG78" i="36"/>
  <c r="BF78" i="36"/>
  <c r="BE78" i="36"/>
  <c r="BD78" i="36"/>
  <c r="BC78" i="36"/>
  <c r="BB78" i="36"/>
  <c r="BA78" i="36"/>
  <c r="AZ78" i="36"/>
  <c r="AY78" i="36"/>
  <c r="AX78" i="36"/>
  <c r="AW78" i="36"/>
  <c r="AV78" i="36"/>
  <c r="AU78" i="36"/>
  <c r="AT78" i="36"/>
  <c r="AS78" i="36"/>
  <c r="BG77" i="36"/>
  <c r="BF77" i="36"/>
  <c r="BE77" i="36"/>
  <c r="BD77" i="36"/>
  <c r="BC77" i="36"/>
  <c r="BB77" i="36"/>
  <c r="BA77" i="36"/>
  <c r="AZ77" i="36"/>
  <c r="AY77" i="36"/>
  <c r="AX77" i="36"/>
  <c r="AW77" i="36"/>
  <c r="AV77" i="36"/>
  <c r="AU77" i="36"/>
  <c r="AT77" i="36"/>
  <c r="AS77" i="36"/>
  <c r="BG76" i="36"/>
  <c r="BF76" i="36"/>
  <c r="BE76" i="36"/>
  <c r="BD76" i="36"/>
  <c r="BC76" i="36"/>
  <c r="BB76" i="36"/>
  <c r="BA76" i="36"/>
  <c r="AZ76" i="36"/>
  <c r="AY76" i="36"/>
  <c r="AX76" i="36"/>
  <c r="AW76" i="36"/>
  <c r="AV76" i="36"/>
  <c r="AU76" i="36"/>
  <c r="AT76" i="36"/>
  <c r="AS76" i="36"/>
  <c r="BF75" i="36"/>
  <c r="BE75" i="36"/>
  <c r="BD75" i="36"/>
  <c r="BC75" i="36"/>
  <c r="BB75" i="36"/>
  <c r="BA75" i="36"/>
  <c r="AZ75" i="36"/>
  <c r="AY75" i="36"/>
  <c r="AX75" i="36"/>
  <c r="AW75" i="36"/>
  <c r="AV75" i="36"/>
  <c r="AU75" i="36"/>
  <c r="AT75" i="36"/>
  <c r="AS75" i="36"/>
  <c r="BF74" i="36"/>
  <c r="BD74" i="36"/>
  <c r="BC74" i="36"/>
  <c r="BB74" i="36"/>
  <c r="BA74" i="36"/>
  <c r="AZ74" i="36"/>
  <c r="AY74" i="36"/>
  <c r="AX74" i="36"/>
  <c r="AW74" i="36"/>
  <c r="AV74" i="36"/>
  <c r="AU74" i="36"/>
  <c r="AT74" i="36"/>
  <c r="AS74" i="36"/>
  <c r="BG73" i="36"/>
  <c r="BF73" i="36"/>
  <c r="BD73" i="36"/>
  <c r="BC73" i="36"/>
  <c r="BB73" i="36"/>
  <c r="BA73" i="36"/>
  <c r="AZ73" i="36"/>
  <c r="AY73" i="36"/>
  <c r="AX73" i="36"/>
  <c r="AW73" i="36"/>
  <c r="AV73" i="36"/>
  <c r="AU73" i="36"/>
  <c r="AT73" i="36"/>
  <c r="AS73" i="36"/>
  <c r="BG72" i="36"/>
  <c r="BF72" i="36"/>
  <c r="BE72" i="36"/>
  <c r="BD72" i="36"/>
  <c r="BC72" i="36"/>
  <c r="BB72" i="36"/>
  <c r="BA72" i="36"/>
  <c r="AZ72" i="36"/>
  <c r="AY72" i="36"/>
  <c r="AX72" i="36"/>
  <c r="AW72" i="36"/>
  <c r="AV72" i="36"/>
  <c r="AU72" i="36"/>
  <c r="AT72" i="36"/>
  <c r="AS72" i="36"/>
  <c r="BG71" i="36"/>
  <c r="BF71" i="36"/>
  <c r="BE71" i="36"/>
  <c r="BD71" i="36"/>
  <c r="BC71" i="36"/>
  <c r="BB71" i="36"/>
  <c r="BA71" i="36"/>
  <c r="AZ71" i="36"/>
  <c r="AY71" i="36"/>
  <c r="AX71" i="36"/>
  <c r="AW71" i="36"/>
  <c r="AV71" i="36"/>
  <c r="AU71" i="36"/>
  <c r="AT71" i="36"/>
  <c r="AS71" i="36"/>
  <c r="BG69" i="36"/>
  <c r="BF69" i="36"/>
  <c r="BE69" i="36"/>
  <c r="BC69" i="36"/>
  <c r="BB69" i="36"/>
  <c r="BA69" i="36"/>
  <c r="AZ69" i="36"/>
  <c r="AY69" i="36"/>
  <c r="AX69" i="36"/>
  <c r="AW69" i="36"/>
  <c r="AV69" i="36"/>
  <c r="AU69" i="36"/>
  <c r="AT69" i="36"/>
  <c r="AS69" i="36"/>
  <c r="BG68" i="36"/>
  <c r="BE68" i="36"/>
  <c r="BD68" i="36"/>
  <c r="BC68" i="36"/>
  <c r="BB68" i="36"/>
  <c r="BA68" i="36"/>
  <c r="AZ68" i="36"/>
  <c r="AY68" i="36"/>
  <c r="AX68" i="36"/>
  <c r="AW68" i="36"/>
  <c r="AV68" i="36"/>
  <c r="AU68" i="36"/>
  <c r="AT68" i="36"/>
  <c r="AS68" i="36"/>
  <c r="BG67" i="36"/>
  <c r="BF67" i="36"/>
  <c r="BE67" i="36"/>
  <c r="BD67" i="36"/>
  <c r="BC67" i="36"/>
  <c r="BB67" i="36"/>
  <c r="BA67" i="36"/>
  <c r="AZ67" i="36"/>
  <c r="AY67" i="36"/>
  <c r="AX67" i="36"/>
  <c r="AW67" i="36"/>
  <c r="AV67" i="36"/>
  <c r="AU67" i="36"/>
  <c r="AT67" i="36"/>
  <c r="AS67" i="36"/>
  <c r="BG66" i="36"/>
  <c r="BF66" i="36"/>
  <c r="BE66" i="36"/>
  <c r="BD66" i="36"/>
  <c r="BC66" i="36"/>
  <c r="BB66" i="36"/>
  <c r="BA66" i="36"/>
  <c r="AZ66" i="36"/>
  <c r="AY66" i="36"/>
  <c r="AX66" i="36"/>
  <c r="AW66" i="36"/>
  <c r="AV66" i="36"/>
  <c r="AU66" i="36"/>
  <c r="AT66" i="36"/>
  <c r="AS66" i="36"/>
  <c r="BG65" i="36"/>
  <c r="BE65" i="36"/>
  <c r="BD65" i="36"/>
  <c r="BC65" i="36"/>
  <c r="BB65" i="36"/>
  <c r="BA65" i="36"/>
  <c r="AZ65" i="36"/>
  <c r="AY65" i="36"/>
  <c r="AX65" i="36"/>
  <c r="AW65" i="36"/>
  <c r="AV65" i="36"/>
  <c r="AU65" i="36"/>
  <c r="AT65" i="36"/>
  <c r="AS65" i="36"/>
  <c r="BG64" i="36"/>
  <c r="BF64" i="36"/>
  <c r="BE64" i="36"/>
  <c r="BD64" i="36"/>
  <c r="BB64" i="36"/>
  <c r="BA64" i="36"/>
  <c r="AZ64" i="36"/>
  <c r="AY64" i="36"/>
  <c r="AX64" i="36"/>
  <c r="AW64" i="36"/>
  <c r="AV64" i="36"/>
  <c r="AU64" i="36"/>
  <c r="AT64" i="36"/>
  <c r="AS64" i="36"/>
  <c r="BG63" i="36"/>
  <c r="BF63" i="36"/>
  <c r="BE63" i="36"/>
  <c r="BD63" i="36"/>
  <c r="BC63" i="36"/>
  <c r="BA63" i="36"/>
  <c r="AZ63" i="36"/>
  <c r="AY63" i="36"/>
  <c r="AX63" i="36"/>
  <c r="AW63" i="36"/>
  <c r="AV63" i="36"/>
  <c r="AU63" i="36"/>
  <c r="AT63" i="36"/>
  <c r="AS63" i="36"/>
  <c r="BG62" i="36"/>
  <c r="BF62" i="36"/>
  <c r="BE62" i="36"/>
  <c r="BD62" i="36"/>
  <c r="BC62" i="36"/>
  <c r="BB62" i="36"/>
  <c r="BA62" i="36"/>
  <c r="AZ62" i="36"/>
  <c r="AY62" i="36"/>
  <c r="AX62" i="36"/>
  <c r="AW62" i="36"/>
  <c r="AV62" i="36"/>
  <c r="AU62" i="36"/>
  <c r="AT62" i="36"/>
  <c r="AS62" i="36"/>
  <c r="BG61" i="36"/>
  <c r="BE61" i="36"/>
  <c r="BD61" i="36"/>
  <c r="BC61" i="36"/>
  <c r="BB61" i="36"/>
  <c r="BA61" i="36"/>
  <c r="AZ61" i="36"/>
  <c r="AY61" i="36"/>
  <c r="AX61" i="36"/>
  <c r="AW61" i="36"/>
  <c r="AV61" i="36"/>
  <c r="AU61" i="36"/>
  <c r="AT61" i="36"/>
  <c r="AS61" i="36"/>
  <c r="BG60" i="36"/>
  <c r="BF60" i="36"/>
  <c r="BE60" i="36"/>
  <c r="BD60" i="36"/>
  <c r="BC60" i="36"/>
  <c r="BB60" i="36"/>
  <c r="AZ60" i="36"/>
  <c r="AY60" i="36"/>
  <c r="AX60" i="36"/>
  <c r="AW60" i="36"/>
  <c r="AV60" i="36"/>
  <c r="AU60" i="36"/>
  <c r="AT60" i="36"/>
  <c r="AS60" i="36"/>
  <c r="BG59" i="36"/>
  <c r="BF59" i="36"/>
  <c r="BE59" i="36"/>
  <c r="BD59" i="36"/>
  <c r="BC59" i="36"/>
  <c r="BB59" i="36"/>
  <c r="BA59" i="36"/>
  <c r="AY59" i="36"/>
  <c r="AX59" i="36"/>
  <c r="AW59" i="36"/>
  <c r="AV59" i="36"/>
  <c r="AU59" i="36"/>
  <c r="AT59" i="36"/>
  <c r="AS59" i="36"/>
  <c r="BG58" i="36"/>
  <c r="BF58" i="36"/>
  <c r="BE58" i="36"/>
  <c r="BD58" i="36"/>
  <c r="BC58" i="36"/>
  <c r="BB58" i="36"/>
  <c r="BA58" i="36"/>
  <c r="AZ58" i="36"/>
  <c r="AX58" i="36"/>
  <c r="AW58" i="36"/>
  <c r="AV58" i="36"/>
  <c r="AU58" i="36"/>
  <c r="AT58" i="36"/>
  <c r="AS58" i="36"/>
  <c r="BG57" i="36"/>
  <c r="BF57" i="36"/>
  <c r="BE57" i="36"/>
  <c r="BD57" i="36"/>
  <c r="BC57" i="36"/>
  <c r="BB57" i="36"/>
  <c r="BA57" i="36"/>
  <c r="AZ57" i="36"/>
  <c r="AY57" i="36"/>
  <c r="AX57" i="36"/>
  <c r="AW57" i="36"/>
  <c r="AV57" i="36"/>
  <c r="AU57" i="36"/>
  <c r="AT57" i="36"/>
  <c r="AS57" i="36"/>
  <c r="BG56" i="36"/>
  <c r="BF56" i="36"/>
  <c r="BE56" i="36"/>
  <c r="BD56" i="36"/>
  <c r="BC56" i="36"/>
  <c r="BB56" i="36"/>
  <c r="BA56" i="36"/>
  <c r="AZ56" i="36"/>
  <c r="AY56" i="36"/>
  <c r="AW56" i="36"/>
  <c r="AV56" i="36"/>
  <c r="AU56" i="36"/>
  <c r="AT56" i="36"/>
  <c r="AS56" i="36"/>
  <c r="BG55" i="36"/>
  <c r="BF55" i="36"/>
  <c r="BE55" i="36"/>
  <c r="BD55" i="36"/>
  <c r="BC55" i="36"/>
  <c r="BB55" i="36"/>
  <c r="BA55" i="36"/>
  <c r="AZ55" i="36"/>
  <c r="AY55" i="36"/>
  <c r="AX55" i="36"/>
  <c r="AW55" i="36"/>
  <c r="AV55" i="36"/>
  <c r="AU55" i="36"/>
  <c r="AT55" i="36"/>
  <c r="AS55" i="36"/>
  <c r="BG54" i="36"/>
  <c r="BF54" i="36"/>
  <c r="BE54" i="36"/>
  <c r="BD54" i="36"/>
  <c r="BC54" i="36"/>
  <c r="BB54" i="36"/>
  <c r="BA54" i="36"/>
  <c r="AZ54" i="36"/>
  <c r="AY54" i="36"/>
  <c r="AX54" i="36"/>
  <c r="AV54" i="36"/>
  <c r="AU54" i="36"/>
  <c r="AT54" i="36"/>
  <c r="AS54" i="36"/>
  <c r="BG53" i="36"/>
  <c r="BF53" i="36"/>
  <c r="BE53" i="36"/>
  <c r="BD53" i="36"/>
  <c r="BC53" i="36"/>
  <c r="BB53" i="36"/>
  <c r="BA53" i="36"/>
  <c r="AZ53" i="36"/>
  <c r="AY53" i="36"/>
  <c r="AX53" i="36"/>
  <c r="AW53" i="36"/>
  <c r="AV53" i="36"/>
  <c r="AU53" i="36"/>
  <c r="AT53" i="36"/>
  <c r="AS53" i="36"/>
  <c r="BG52" i="36"/>
  <c r="BF52" i="36"/>
  <c r="BE52" i="36"/>
  <c r="BD52" i="36"/>
  <c r="BC52" i="36"/>
  <c r="BB52" i="36"/>
  <c r="BA52" i="36"/>
  <c r="AZ52" i="36"/>
  <c r="AY52" i="36"/>
  <c r="AX52" i="36"/>
  <c r="AW52" i="36"/>
  <c r="AU52" i="36"/>
  <c r="AT52" i="36"/>
  <c r="AS52" i="36"/>
  <c r="BG51" i="36"/>
  <c r="BF51" i="36"/>
  <c r="BE51" i="36"/>
  <c r="BD51" i="36"/>
  <c r="BC51" i="36"/>
  <c r="BB51" i="36"/>
  <c r="BA51" i="36"/>
  <c r="AZ51" i="36"/>
  <c r="AY51" i="36"/>
  <c r="AX51" i="36"/>
  <c r="AW51" i="36"/>
  <c r="AV51" i="36"/>
  <c r="AU51" i="36"/>
  <c r="AT51" i="36"/>
  <c r="AS51" i="36"/>
  <c r="BF50" i="36"/>
  <c r="BE50" i="36"/>
  <c r="BD50" i="36"/>
  <c r="BC50" i="36"/>
  <c r="BB50" i="36"/>
  <c r="BA50" i="36"/>
  <c r="AZ50" i="36"/>
  <c r="AY50" i="36"/>
  <c r="AX50" i="36"/>
  <c r="AW50" i="36"/>
  <c r="AV50" i="36"/>
  <c r="AU50" i="36"/>
  <c r="AT50" i="36"/>
  <c r="AS50" i="36"/>
  <c r="BG49" i="36"/>
  <c r="BF49" i="36"/>
  <c r="BE49" i="36"/>
  <c r="BD49" i="36"/>
  <c r="BC49" i="36"/>
  <c r="BB49" i="36"/>
  <c r="BA49" i="36"/>
  <c r="AZ49" i="36"/>
  <c r="AY49" i="36"/>
  <c r="AX49" i="36"/>
  <c r="AW49" i="36"/>
  <c r="AV49" i="36"/>
  <c r="AU49" i="36"/>
  <c r="AS49" i="36"/>
  <c r="BG48" i="36"/>
  <c r="BF48" i="36"/>
  <c r="BE48" i="36"/>
  <c r="BD48" i="36"/>
  <c r="BC48" i="36"/>
  <c r="BB48" i="36"/>
  <c r="BA48" i="36"/>
  <c r="AZ48" i="36"/>
  <c r="AY48" i="36"/>
  <c r="AX48" i="36"/>
  <c r="AW48" i="36"/>
  <c r="AV48" i="36"/>
  <c r="BF47" i="36"/>
  <c r="BE47" i="36"/>
  <c r="BD47" i="36"/>
  <c r="BA47" i="36"/>
  <c r="AZ47" i="36"/>
  <c r="AY47" i="36"/>
  <c r="AX47" i="36"/>
  <c r="AW47" i="36"/>
  <c r="AV47" i="36"/>
  <c r="AU47" i="36"/>
  <c r="AT47" i="36"/>
  <c r="AS47" i="36"/>
  <c r="BF46" i="36"/>
  <c r="BE46" i="36"/>
  <c r="BD46" i="36"/>
  <c r="BA46" i="36"/>
  <c r="AZ46" i="36"/>
  <c r="AY46" i="36"/>
  <c r="AX46" i="36"/>
  <c r="AW46" i="36"/>
  <c r="AV46" i="36"/>
  <c r="BG45" i="36"/>
  <c r="BF45" i="36"/>
  <c r="BE45" i="36"/>
  <c r="BD45" i="36"/>
  <c r="BC45" i="36"/>
  <c r="BB45" i="36"/>
  <c r="BA45" i="36"/>
  <c r="AZ45" i="36"/>
  <c r="AY45" i="36"/>
  <c r="AX45" i="36"/>
  <c r="AW45" i="36"/>
  <c r="AV45" i="36"/>
  <c r="AT45" i="36"/>
  <c r="AS45" i="36"/>
  <c r="BG44" i="36"/>
  <c r="BF44" i="36"/>
  <c r="BE44" i="36"/>
  <c r="BD44" i="36"/>
  <c r="BC44" i="36"/>
  <c r="BB44" i="36"/>
  <c r="BA44" i="36"/>
  <c r="AZ44" i="36"/>
  <c r="AY44" i="36"/>
  <c r="AX44" i="36"/>
  <c r="AW44" i="36"/>
  <c r="AV44" i="36"/>
  <c r="AU44" i="36"/>
  <c r="AS44" i="36"/>
  <c r="BG43" i="36"/>
  <c r="BF43" i="36"/>
  <c r="BE43" i="36"/>
  <c r="BD43" i="36"/>
  <c r="BC43" i="36"/>
  <c r="BB43" i="36"/>
  <c r="BA43" i="36"/>
  <c r="AZ43" i="36"/>
  <c r="AY43" i="36"/>
  <c r="AX43" i="36"/>
  <c r="AW43" i="36"/>
  <c r="AV43" i="36"/>
  <c r="AU43" i="36"/>
  <c r="AT43" i="36"/>
  <c r="FI174" i="36" l="1"/>
  <c r="FI187" i="36"/>
  <c r="FI186" i="36"/>
  <c r="FI185" i="36"/>
  <c r="FI184" i="36"/>
  <c r="FI183" i="36"/>
  <c r="FI182" i="36"/>
  <c r="FI181" i="36"/>
  <c r="FI180" i="36"/>
  <c r="FI179" i="36"/>
  <c r="FI178" i="36"/>
  <c r="FI177" i="36"/>
  <c r="FI176" i="36"/>
  <c r="FI175" i="36"/>
  <c r="L112" i="24" l="1"/>
  <c r="L113" i="24"/>
  <c r="L114" i="24"/>
  <c r="L115" i="24"/>
  <c r="L116" i="24"/>
  <c r="L117" i="24"/>
  <c r="L118" i="24"/>
  <c r="L119" i="24"/>
  <c r="L120" i="24"/>
  <c r="L122" i="24"/>
  <c r="L124" i="24"/>
  <c r="L126" i="24"/>
  <c r="L127" i="24"/>
  <c r="L128" i="24"/>
  <c r="L129" i="24"/>
  <c r="L131" i="24"/>
  <c r="L132" i="24"/>
  <c r="L133" i="24"/>
  <c r="L136" i="24"/>
  <c r="L137" i="24"/>
  <c r="L141" i="24"/>
  <c r="L143" i="24"/>
  <c r="L111" i="24"/>
  <c r="Q7" i="29" a="1"/>
  <c r="Q7" i="29" s="1"/>
  <c r="E9" i="29"/>
  <c r="E17" i="29"/>
  <c r="E18" i="29"/>
  <c r="E20" i="29"/>
  <c r="E21" i="29"/>
  <c r="E8" i="29"/>
  <c r="J15" i="29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N104" i="24"/>
  <c r="N83" i="24"/>
  <c r="M83" i="24"/>
  <c r="L83" i="24"/>
  <c r="K83" i="24"/>
  <c r="J83" i="24"/>
  <c r="I83" i="24"/>
  <c r="H83" i="24"/>
  <c r="G83" i="24"/>
  <c r="F83" i="24"/>
  <c r="BQ53" i="24"/>
  <c r="J146" i="24" s="1"/>
  <c r="BQ52" i="24"/>
  <c r="J145" i="24" s="1"/>
  <c r="BQ47" i="24"/>
  <c r="J140" i="24" s="1"/>
  <c r="BQ46" i="24"/>
  <c r="J139" i="24" s="1"/>
  <c r="BQ45" i="24"/>
  <c r="J138" i="24" s="1"/>
  <c r="BQ42" i="24"/>
  <c r="J135" i="24" s="1"/>
  <c r="BQ41" i="24"/>
  <c r="J134" i="24" s="1"/>
  <c r="BQ37" i="24"/>
  <c r="J130" i="24" s="1"/>
  <c r="BQ32" i="24"/>
  <c r="J125" i="24" s="1"/>
  <c r="BQ30" i="24"/>
  <c r="J123" i="24" s="1"/>
  <c r="BQ28" i="24"/>
  <c r="J121" i="24" s="1"/>
  <c r="BQ26" i="24"/>
  <c r="J119" i="24" s="1"/>
  <c r="CN293" i="9"/>
  <c r="J1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J19" i="29" s="1"/>
  <c r="BU248" i="9"/>
  <c r="BU249" i="9" s="1"/>
  <c r="BB87" i="22" s="1"/>
  <c r="BB46" i="22" s="1"/>
  <c r="CP242" i="9"/>
  <c r="AF242" i="9"/>
  <c r="J10" i="29" s="1"/>
  <c r="CP241" i="9"/>
  <c r="O241" i="9"/>
  <c r="EZ240" i="9"/>
  <c r="EE240" i="9"/>
  <c r="DJ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AI233" i="9"/>
  <c r="AI232" i="9"/>
  <c r="AI231" i="9"/>
  <c r="CZ229" i="9"/>
  <c r="CP228" i="9"/>
  <c r="E228" i="9"/>
  <c r="CP227" i="9"/>
  <c r="BQ227" i="9"/>
  <c r="BR227" i="9" s="1"/>
  <c r="J16" i="29" s="1"/>
  <c r="AX227" i="9"/>
  <c r="AY227" i="9" s="1"/>
  <c r="J13" i="29" s="1"/>
  <c r="E227" i="9"/>
  <c r="CP226" i="9"/>
  <c r="E226" i="9"/>
  <c r="E229" i="9" s="1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O168" i="9"/>
  <c r="O167" i="9"/>
  <c r="FC161" i="9"/>
  <c r="J22" i="29" s="1"/>
  <c r="EF159" i="9"/>
  <c r="J9" i="29"/>
  <c r="EF158" i="9"/>
  <c r="EF157" i="9"/>
  <c r="E157" i="9"/>
  <c r="EG156" i="9"/>
  <c r="EF156" i="9"/>
  <c r="BU156" i="9"/>
  <c r="BU157" i="9" s="1"/>
  <c r="BA87" i="22" s="1"/>
  <c r="CK155" i="9"/>
  <c r="CL155" i="9" s="1"/>
  <c r="J17" i="29" s="1"/>
  <c r="O155" i="9"/>
  <c r="O156" i="9" s="1"/>
  <c r="AS89" i="22" s="1"/>
  <c r="FF148" i="9"/>
  <c r="AI148" i="9"/>
  <c r="E148" i="9"/>
  <c r="FF147" i="9"/>
  <c r="AI147" i="9"/>
  <c r="E147" i="9"/>
  <c r="FF146" i="9"/>
  <c r="AI146" i="9"/>
  <c r="E146" i="9"/>
  <c r="FF145" i="9"/>
  <c r="EF145" i="9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J12" i="29" s="1"/>
  <c r="E141" i="9"/>
  <c r="EF132" i="9"/>
  <c r="BR132" i="9"/>
  <c r="AY132" i="9"/>
  <c r="AF132" i="9"/>
  <c r="L132" i="9"/>
  <c r="EF131" i="9"/>
  <c r="DT131" i="9"/>
  <c r="L22" i="13" s="1"/>
  <c r="BU131" i="9"/>
  <c r="BB131" i="9"/>
  <c r="AI131" i="9"/>
  <c r="O131" i="9"/>
  <c r="FF130" i="9"/>
  <c r="FF131" i="9" s="1"/>
  <c r="EF130" i="9"/>
  <c r="CP130" i="9"/>
  <c r="CP131" i="9" s="1"/>
  <c r="BE105" i="22" s="1"/>
  <c r="BU130" i="9"/>
  <c r="BB130" i="9"/>
  <c r="AQ130" i="9"/>
  <c r="M12" i="13" s="1"/>
  <c r="AI130" i="9"/>
  <c r="O130" i="9"/>
  <c r="DU120" i="9"/>
  <c r="DV120" i="9" s="1"/>
  <c r="CP119" i="9"/>
  <c r="BM106" i="22" s="1"/>
  <c r="BN106" i="22" s="1"/>
  <c r="EF118" i="9"/>
  <c r="EF119" i="9" s="1"/>
  <c r="BF87" i="22" s="1"/>
  <c r="BF46" i="22" s="1"/>
  <c r="CP118" i="9"/>
  <c r="EQ117" i="9"/>
  <c r="ER117" i="9" s="1"/>
  <c r="BJ115" i="9"/>
  <c r="BJ114" i="9"/>
  <c r="BI113" i="9"/>
  <c r="BI116" i="9" s="1"/>
  <c r="DV107" i="9"/>
  <c r="DU107" i="9"/>
  <c r="AE78" i="9"/>
  <c r="J8" i="29" s="1"/>
  <c r="O77" i="9"/>
  <c r="O76" i="9"/>
  <c r="BR74" i="9"/>
  <c r="J1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X64" i="9"/>
  <c r="J1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D13" i="11"/>
  <c r="E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D37" i="3"/>
  <c r="G37" i="3" s="1"/>
  <c r="D36" i="3"/>
  <c r="G36" i="3" s="1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F13" i="11" s="1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O242" i="9" l="1"/>
  <c r="I158" i="22"/>
  <c r="I162" i="22" s="1"/>
  <c r="EF146" i="9"/>
  <c r="BF86" i="22" s="1"/>
  <c r="BF45" i="22" s="1"/>
  <c r="BG89" i="22"/>
  <c r="G176" i="22" s="1"/>
  <c r="AS48" i="22"/>
  <c r="BG105" i="22"/>
  <c r="G192" i="22" s="1"/>
  <c r="BE64" i="22"/>
  <c r="AJ137" i="22"/>
  <c r="AJ139" i="22" s="1"/>
  <c r="BL116" i="22"/>
  <c r="BN116" i="22" s="1"/>
  <c r="G13" i="11"/>
  <c r="BU238" i="9"/>
  <c r="BB86" i="22" s="1"/>
  <c r="BJ195" i="9"/>
  <c r="O78" i="9"/>
  <c r="AR86" i="22" s="1"/>
  <c r="Y132" i="22"/>
  <c r="Y139" i="22" s="1"/>
  <c r="Z132" i="22"/>
  <c r="Z139" i="22" s="1"/>
  <c r="M89" i="14"/>
  <c r="M88" i="14"/>
  <c r="M87" i="14"/>
  <c r="M86" i="14"/>
  <c r="M100" i="14"/>
  <c r="M99" i="14"/>
  <c r="M98" i="14"/>
  <c r="M97" i="14"/>
  <c r="M96" i="14"/>
  <c r="M95" i="14"/>
  <c r="M94" i="14"/>
  <c r="M93" i="14"/>
  <c r="M92" i="14"/>
  <c r="M101" i="14"/>
  <c r="M85" i="14"/>
  <c r="M103" i="14"/>
  <c r="M91" i="14"/>
  <c r="M102" i="14"/>
  <c r="M90" i="14"/>
  <c r="G12" i="1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BS61" i="9" s="1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BS62" i="9" s="1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E14" i="29" s="1"/>
  <c r="N48" i="9"/>
  <c r="BS60" i="9"/>
  <c r="E72" i="9"/>
  <c r="BP59" i="9"/>
  <c r="AZ48" i="9"/>
  <c r="BJ113" i="9"/>
  <c r="BU146" i="9"/>
  <c r="BA86" i="22" s="1"/>
  <c r="H31" i="25"/>
  <c r="I31" i="25" s="1"/>
  <c r="F155" i="22" l="1"/>
  <c r="F162" i="22" s="1"/>
  <c r="AT86" i="22"/>
  <c r="AT45" i="22" s="1"/>
  <c r="F18" i="25"/>
  <c r="F264" i="11"/>
  <c r="G264" i="11" s="1"/>
  <c r="H264" i="11" s="1"/>
  <c r="BK58" i="9"/>
  <c r="AM73" i="23"/>
  <c r="CM281" i="9"/>
  <c r="E33" i="25"/>
  <c r="M155" i="9"/>
  <c r="M156" i="9" s="1"/>
  <c r="D240" i="11"/>
  <c r="G38" i="3"/>
  <c r="BP63" i="9"/>
  <c r="BQ59" i="9" s="1"/>
  <c r="BS59" i="9"/>
  <c r="BU63" i="9" s="1"/>
  <c r="Y57" i="9"/>
  <c r="CM278" i="9"/>
  <c r="F118" i="11"/>
  <c r="D19" i="25"/>
  <c r="C19" i="25"/>
  <c r="J114" i="11"/>
  <c r="E103" i="11" s="1"/>
  <c r="E104" i="11" s="1"/>
  <c r="Z60" i="9"/>
  <c r="AR60" i="9"/>
  <c r="E247" i="11"/>
  <c r="CQ277" i="9"/>
  <c r="CN277" i="9"/>
  <c r="D113" i="11"/>
  <c r="G47" i="3"/>
  <c r="CN272" i="9"/>
  <c r="D108" i="11"/>
  <c r="G42" i="3"/>
  <c r="Y59" i="9"/>
  <c r="M242" i="11"/>
  <c r="J235" i="11" s="1"/>
  <c r="AS60" i="9"/>
  <c r="BJ60" i="9"/>
  <c r="BL60" i="9" s="1"/>
  <c r="AR59" i="9"/>
  <c r="Z59" i="9"/>
  <c r="CN240" i="9"/>
  <c r="R109" i="11"/>
  <c r="R112" i="11" s="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J107" i="11"/>
  <c r="D59" i="11"/>
  <c r="E25" i="11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BJ57" i="9"/>
  <c r="AS57" i="9"/>
  <c r="J210" i="11"/>
  <c r="CN274" i="9"/>
  <c r="D110" i="11"/>
  <c r="G44" i="3"/>
  <c r="CN276" i="9"/>
  <c r="G46" i="3"/>
  <c r="D112" i="11"/>
  <c r="E7" i="25"/>
  <c r="BO41" i="23"/>
  <c r="BP41" i="23" s="1"/>
  <c r="AC66" i="23"/>
  <c r="AC73" i="23" s="1"/>
  <c r="Y60" i="9"/>
  <c r="AA60" i="9" s="1"/>
  <c r="BJ59" i="9"/>
  <c r="AS59" i="9"/>
  <c r="AB66" i="23"/>
  <c r="BG40" i="23"/>
  <c r="BI40" i="23" s="1"/>
  <c r="J124" i="23" s="1"/>
  <c r="BL58" i="9" l="1"/>
  <c r="D62" i="11"/>
  <c r="AB80" i="11"/>
  <c r="BL59" i="9"/>
  <c r="AT60" i="9"/>
  <c r="DK241" i="9"/>
  <c r="AT57" i="9"/>
  <c r="AA57" i="9"/>
  <c r="V12" i="11"/>
  <c r="E22" i="11"/>
  <c r="BD22" i="23"/>
  <c r="BH22" i="23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F247" i="11"/>
  <c r="G247" i="11" s="1"/>
  <c r="H247" i="11" s="1"/>
  <c r="P155" i="9" s="1"/>
  <c r="FD147" i="9"/>
  <c r="G48" i="3"/>
  <c r="O192" i="11"/>
  <c r="M165" i="11"/>
  <c r="M167" i="11" s="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CM282" i="9"/>
  <c r="EG105" i="9"/>
  <c r="BI22" i="23" l="1"/>
  <c r="J106" i="23" s="1"/>
  <c r="K89" i="23"/>
  <c r="K94" i="23" s="1"/>
  <c r="EB131" i="9"/>
  <c r="J42" i="11"/>
  <c r="F41" i="11"/>
  <c r="G43" i="11"/>
  <c r="I43" i="11" s="1"/>
  <c r="BM102" i="22"/>
  <c r="BN102" i="22" s="1"/>
  <c r="V129" i="22"/>
  <c r="V139" i="22" s="1"/>
  <c r="BV62" i="9"/>
  <c r="BV61" i="9"/>
  <c r="BV60" i="9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I23" i="23" l="1"/>
  <c r="J107" i="23" s="1"/>
  <c r="BW60" i="9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 s="1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 s="1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36" i="11"/>
  <c r="G37" i="11"/>
  <c r="FB109" i="9"/>
  <c r="FL104" i="9" s="1"/>
  <c r="FE108" i="9"/>
  <c r="BS47" i="9"/>
  <c r="AW47" i="9"/>
  <c r="CA59" i="9"/>
  <c r="CA63" i="9" s="1"/>
  <c r="CA55" i="9" s="1"/>
  <c r="BY55" i="9" s="1"/>
  <c r="BZ63" i="9"/>
  <c r="M23" i="11"/>
  <c r="J32" i="11"/>
  <c r="EQ141" i="9"/>
  <c r="F25" i="11"/>
  <c r="F26" i="11" s="1"/>
  <c r="G26" i="11" s="1"/>
  <c r="I26" i="11" s="1"/>
  <c r="J26" i="11" s="1"/>
  <c r="G27" i="11"/>
  <c r="I27" i="11" s="1"/>
  <c r="J27" i="11" s="1"/>
  <c r="BM102" i="37" l="1"/>
  <c r="BN102" i="37" s="1"/>
  <c r="V130" i="37"/>
  <c r="V140" i="37" s="1"/>
  <c r="BN118" i="37"/>
  <c r="AL140" i="37"/>
  <c r="BN116" i="37"/>
  <c r="AL139" i="36"/>
  <c r="AL141" i="36" s="1"/>
  <c r="BN119" i="36"/>
  <c r="BO119" i="36" s="1"/>
  <c r="AJ139" i="36"/>
  <c r="BM117" i="36"/>
  <c r="BO117" i="36" s="1"/>
  <c r="FC130" i="9"/>
  <c r="BI46" i="9"/>
  <c r="N6" i="13" s="1"/>
  <c r="Y133" i="20"/>
  <c r="Y143" i="20" s="1"/>
  <c r="BP106" i="20"/>
  <c r="BQ106" i="20" s="1"/>
  <c r="ER141" i="9"/>
  <c r="ES141" i="9" s="1"/>
  <c r="FH108" i="9"/>
  <c r="ER142" i="9"/>
  <c r="FE109" i="9"/>
  <c r="BK56" i="9"/>
  <c r="AW46" i="9"/>
  <c r="BS46" i="9"/>
  <c r="BU48" i="9" s="1"/>
  <c r="BV52" i="9" s="1"/>
  <c r="BP48" i="9"/>
  <c r="BP37" i="23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FC108" i="9"/>
  <c r="FC109" i="9" s="1"/>
  <c r="I37" i="11"/>
  <c r="O37" i="11"/>
  <c r="Y73" i="23"/>
  <c r="Y73" i="24"/>
  <c r="Y83" i="24" l="1"/>
  <c r="BX37" i="24"/>
  <c r="L130" i="24" s="1"/>
  <c r="AJ140" i="37"/>
  <c r="AJ141" i="36"/>
  <c r="CL130" i="9"/>
  <c r="J37" i="11"/>
  <c r="AW52" i="9"/>
  <c r="AZ46" i="9"/>
  <c r="AD46" i="9"/>
  <c r="AM81" i="24"/>
  <c r="BV51" i="24" s="1"/>
  <c r="BX51" i="24" s="1"/>
  <c r="L144" i="24" s="1"/>
  <c r="AJ140" i="15"/>
  <c r="BN116" i="15"/>
  <c r="G22" i="11"/>
  <c r="I22" i="11" s="1"/>
  <c r="J22" i="11" s="1"/>
  <c r="F19" i="11"/>
  <c r="G19" i="11" s="1"/>
  <c r="F21" i="11"/>
  <c r="AO81" i="24"/>
  <c r="AL140" i="15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BS48" i="9"/>
  <c r="BV47" i="9" s="1"/>
  <c r="BW47" i="9" s="1"/>
  <c r="BX47" i="9" s="1"/>
  <c r="BY47" i="9" s="1"/>
  <c r="BZ47" i="9" s="1"/>
  <c r="CA47" i="9" s="1"/>
  <c r="BK55" i="9"/>
  <c r="BV46" i="9"/>
  <c r="BK61" i="9"/>
  <c r="AO83" i="24" l="1"/>
  <c r="BX53" i="24"/>
  <c r="L146" i="24" s="1"/>
  <c r="AE47" i="9"/>
  <c r="U131" i="36"/>
  <c r="BF102" i="36"/>
  <c r="BT48" i="9" a="1"/>
  <c r="BT48" i="9" s="1"/>
  <c r="AM83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X63" i="23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U92" i="22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U140" i="37" l="1"/>
  <c r="AM130" i="37"/>
  <c r="BG101" i="37"/>
  <c r="G189" i="37" s="1"/>
  <c r="BE60" i="37"/>
  <c r="BH102" i="36"/>
  <c r="G190" i="36" s="1"/>
  <c r="BF61" i="36"/>
  <c r="Y134" i="36"/>
  <c r="BF106" i="36"/>
  <c r="U141" i="36"/>
  <c r="AN131" i="36"/>
  <c r="E220" i="36" s="1"/>
  <c r="AY99" i="36"/>
  <c r="R128" i="36"/>
  <c r="AM130" i="15"/>
  <c r="E219" i="15" s="1"/>
  <c r="U140" i="15"/>
  <c r="EB132" i="9"/>
  <c r="BE105" i="15"/>
  <c r="Y133" i="15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AY52" i="9" s="1" a="1"/>
  <c r="AY52" i="9" s="1"/>
  <c r="BZ48" i="9"/>
  <c r="CA46" i="9"/>
  <c r="BG101" i="15"/>
  <c r="G189" i="15" s="1"/>
  <c r="BE60" i="15"/>
  <c r="BK46" i="9"/>
  <c r="Q57" i="14" s="1"/>
  <c r="AB57" i="14" s="1"/>
  <c r="N46" i="9"/>
  <c r="K52" i="9"/>
  <c r="L46" i="9" s="1"/>
  <c r="BD46" i="9"/>
  <c r="BE46" i="9" s="1"/>
  <c r="BF46" i="9" s="1"/>
  <c r="BG46" i="9" s="1"/>
  <c r="AE52" i="9"/>
  <c r="AG52" i="9"/>
  <c r="AR61" i="9"/>
  <c r="AT61" i="9" s="1"/>
  <c r="AH52" i="9" a="1"/>
  <c r="AH52" i="9" s="1"/>
  <c r="R126" i="22" s="1"/>
  <c r="AJ46" i="9"/>
  <c r="AR55" i="9"/>
  <c r="AT55" i="9" s="1"/>
  <c r="Z55" i="9"/>
  <c r="BN35" i="9"/>
  <c r="AS28" i="9"/>
  <c r="AN42" i="9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BG36" i="23"/>
  <c r="BE101" i="22"/>
  <c r="U129" i="22"/>
  <c r="BE64" i="37" l="1"/>
  <c r="BG105" i="37"/>
  <c r="G193" i="37" s="1"/>
  <c r="Y140" i="37"/>
  <c r="AX120" i="37"/>
  <c r="AX57" i="37"/>
  <c r="BG98" i="37"/>
  <c r="G186" i="37" s="1"/>
  <c r="AM127" i="37"/>
  <c r="R140" i="37"/>
  <c r="AZ33" i="23"/>
  <c r="AZ55" i="23" s="1"/>
  <c r="AZ55" i="9"/>
  <c r="AR46" i="9"/>
  <c r="Q54" i="14" s="1"/>
  <c r="AB54" i="14" s="1"/>
  <c r="AS84" i="36"/>
  <c r="AV93" i="36"/>
  <c r="AN128" i="36"/>
  <c r="E217" i="36" s="1"/>
  <c r="R141" i="36"/>
  <c r="AY121" i="36"/>
  <c r="BH99" i="36"/>
  <c r="G187" i="36" s="1"/>
  <c r="AY58" i="36"/>
  <c r="BF65" i="36"/>
  <c r="BH106" i="36"/>
  <c r="G194" i="36" s="1"/>
  <c r="Y141" i="36"/>
  <c r="BH46" i="9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X120" i="15"/>
  <c r="BG98" i="15"/>
  <c r="G186" i="15" s="1"/>
  <c r="AX57" i="15"/>
  <c r="FL131" i="9"/>
  <c r="FM130" i="9"/>
  <c r="K131" i="9"/>
  <c r="N131" i="9" s="1"/>
  <c r="K132" i="9"/>
  <c r="U126" i="9" s="1"/>
  <c r="N130" i="9"/>
  <c r="BD49" i="9"/>
  <c r="BE49" i="9" s="1"/>
  <c r="BF49" i="9" s="1"/>
  <c r="BG49" i="9" s="1"/>
  <c r="BH49" i="9" s="1"/>
  <c r="BT130" i="9"/>
  <c r="BQ131" i="9"/>
  <c r="BT131" i="9" s="1"/>
  <c r="AV64" i="9"/>
  <c r="AY64" i="9" s="1"/>
  <c r="C216" i="22"/>
  <c r="E11" i="29" s="1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AK50" i="9"/>
  <c r="AL50" i="9" s="1"/>
  <c r="AM50" i="9" s="1"/>
  <c r="AN50" i="9" s="1"/>
  <c r="AO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U60" i="23" s="1"/>
  <c r="Y55" i="9"/>
  <c r="AA55" i="9" s="1"/>
  <c r="Q46" i="9"/>
  <c r="O52" i="9" a="1"/>
  <c r="O52" i="9" s="1"/>
  <c r="N52" i="9"/>
  <c r="R51" i="9"/>
  <c r="S51" i="9" s="1"/>
  <c r="T51" i="9" s="1"/>
  <c r="U51" i="9" s="1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76" i="24"/>
  <c r="Y140" i="15"/>
  <c r="AU92" i="15"/>
  <c r="AR83" i="15"/>
  <c r="BO40" i="24"/>
  <c r="BQ40" i="24" s="1"/>
  <c r="J133" i="24" s="1"/>
  <c r="BG105" i="15"/>
  <c r="G193" i="15" s="1"/>
  <c r="BE64" i="15"/>
  <c r="AM129" i="22"/>
  <c r="U139" i="22"/>
  <c r="BD50" i="9"/>
  <c r="BE50" i="9" s="1"/>
  <c r="BF50" i="9" s="1"/>
  <c r="BG50" i="9" s="1"/>
  <c r="BH50" i="9" s="1"/>
  <c r="R50" i="9"/>
  <c r="S50" i="9" s="1"/>
  <c r="T50" i="9" s="1"/>
  <c r="U50" i="9" s="1"/>
  <c r="V50" i="9" s="1"/>
  <c r="F31" i="25"/>
  <c r="F33" i="25" s="1"/>
  <c r="C32" i="25"/>
  <c r="F32" i="25" s="1"/>
  <c r="C89" i="11"/>
  <c r="D74" i="11"/>
  <c r="FL109" i="9"/>
  <c r="FM108" i="9"/>
  <c r="FM109" i="9" s="1"/>
  <c r="FM104" i="9" s="1"/>
  <c r="FK104" i="9" s="1"/>
  <c r="BI36" i="23"/>
  <c r="J120" i="23" s="1"/>
  <c r="R49" i="9"/>
  <c r="S49" i="9" s="1"/>
  <c r="T49" i="9" s="1"/>
  <c r="U49" i="9"/>
  <c r="V49" i="9" s="1"/>
  <c r="EE132" i="9"/>
  <c r="AP63" i="23"/>
  <c r="X73" i="23"/>
  <c r="CA48" i="9"/>
  <c r="F5" i="25"/>
  <c r="C6" i="25"/>
  <c r="F6" i="25" s="1"/>
  <c r="H165" i="24"/>
  <c r="BA95" i="20"/>
  <c r="BO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73" i="24"/>
  <c r="C163" i="37" l="1"/>
  <c r="C33" i="25"/>
  <c r="CA42" i="9"/>
  <c r="BY42" i="9"/>
  <c r="BI33" i="23"/>
  <c r="J117" i="23" s="1"/>
  <c r="BH33" i="24"/>
  <c r="L52" i="9"/>
  <c r="D163" i="37"/>
  <c r="AU120" i="37"/>
  <c r="BG92" i="37"/>
  <c r="G180" i="37" s="1"/>
  <c r="AU51" i="37"/>
  <c r="BG83" i="37"/>
  <c r="G171" i="37" s="1"/>
  <c r="AR42" i="37"/>
  <c r="BQ132" i="9"/>
  <c r="CA126" i="9" s="1"/>
  <c r="S129" i="36"/>
  <c r="AZ100" i="36"/>
  <c r="AT85" i="36"/>
  <c r="D155" i="36"/>
  <c r="D164" i="36" s="1"/>
  <c r="L125" i="36"/>
  <c r="C154" i="36"/>
  <c r="C164" i="36" s="1"/>
  <c r="AV121" i="36"/>
  <c r="BH93" i="36"/>
  <c r="G181" i="36" s="1"/>
  <c r="AV52" i="36"/>
  <c r="BH84" i="36"/>
  <c r="G172" i="36" s="1"/>
  <c r="AS43" i="36"/>
  <c r="C7" i="25"/>
  <c r="G7" i="25" s="1" a="1"/>
  <c r="G7" i="25" s="1"/>
  <c r="J165" i="24"/>
  <c r="G14" i="29" s="1"/>
  <c r="BH47" i="9"/>
  <c r="BH52" i="9" s="1"/>
  <c r="BH42" i="9" s="1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K126" i="9" s="1"/>
  <c r="F7" i="25"/>
  <c r="I5" i="25" s="1"/>
  <c r="BG92" i="15"/>
  <c r="G180" i="15" s="1"/>
  <c r="AU120" i="15"/>
  <c r="AU51" i="15"/>
  <c r="F146" i="9"/>
  <c r="H146" i="9" s="1"/>
  <c r="AH131" i="9"/>
  <c r="AR140" i="9" s="1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L137" i="9"/>
  <c r="BL140" i="9"/>
  <c r="AR42" i="15"/>
  <c r="BG83" i="15"/>
  <c r="G171" i="15" s="1"/>
  <c r="R46" i="9"/>
  <c r="S46" i="9" s="1"/>
  <c r="T46" i="9" s="1"/>
  <c r="U46" i="9" s="1"/>
  <c r="M52" i="9" a="1"/>
  <c r="M52" i="9" s="1"/>
  <c r="W131" i="15"/>
  <c r="AH132" i="9"/>
  <c r="AK130" i="9" s="1"/>
  <c r="AR138" i="9"/>
  <c r="Z138" i="9"/>
  <c r="AR137" i="9"/>
  <c r="BK137" i="9"/>
  <c r="AS137" i="9"/>
  <c r="E59" i="11"/>
  <c r="BH105" i="20"/>
  <c r="X133" i="20"/>
  <c r="BQ156" i="9"/>
  <c r="F12" i="17" s="1"/>
  <c r="CA152" i="9"/>
  <c r="BR157" i="9"/>
  <c r="BT156" i="9"/>
  <c r="AE132" i="9"/>
  <c r="AO126" i="9" s="1"/>
  <c r="AN52" i="9"/>
  <c r="AO46" i="9"/>
  <c r="Q27" i="9"/>
  <c r="D7" i="14" s="1"/>
  <c r="BA131" i="9"/>
  <c r="BK138" i="9" s="1"/>
  <c r="BM138" i="9" s="1"/>
  <c r="BK115" i="9"/>
  <c r="BM115" i="9" s="1"/>
  <c r="BK114" i="9"/>
  <c r="BM114" i="9" s="1"/>
  <c r="BK113" i="9"/>
  <c r="CW131" i="9"/>
  <c r="CW126" i="9" s="1"/>
  <c r="CU126" i="9" s="1"/>
  <c r="L139" i="22"/>
  <c r="K63" i="9"/>
  <c r="F7" i="17"/>
  <c r="AO141" i="20"/>
  <c r="AO143" i="20" s="1"/>
  <c r="BP122" i="20"/>
  <c r="BQ122" i="20" s="1"/>
  <c r="AB83" i="24"/>
  <c r="AU51" i="22"/>
  <c r="BG92" i="22"/>
  <c r="G179" i="22" s="1"/>
  <c r="AU120" i="22"/>
  <c r="X83" i="24"/>
  <c r="AS84" i="15"/>
  <c r="D154" i="15"/>
  <c r="U73" i="23"/>
  <c r="AP60" i="23"/>
  <c r="BQ36" i="24"/>
  <c r="J129" i="24" s="1"/>
  <c r="L124" i="15"/>
  <c r="C153" i="15"/>
  <c r="G8" i="17"/>
  <c r="I8" i="17" s="1"/>
  <c r="H8" i="17"/>
  <c r="BA50" i="20"/>
  <c r="H162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70" i="24"/>
  <c r="AP70" i="24" s="1"/>
  <c r="I6" i="25"/>
  <c r="Y140" i="9"/>
  <c r="F165" i="24" l="1"/>
  <c r="BH55" i="24"/>
  <c r="BQ33" i="24"/>
  <c r="J126" i="24" s="1"/>
  <c r="BM46" i="9"/>
  <c r="BF42" i="9"/>
  <c r="S140" i="37"/>
  <c r="AM128" i="37"/>
  <c r="AS43" i="37"/>
  <c r="BG84" i="37"/>
  <c r="G172" i="37" s="1"/>
  <c r="BL130" i="9"/>
  <c r="Q58" i="14" s="1"/>
  <c r="AB58" i="14" s="1"/>
  <c r="AY58" i="37"/>
  <c r="BG99" i="37"/>
  <c r="G187" i="37" s="1"/>
  <c r="AY120" i="37"/>
  <c r="BA103" i="15"/>
  <c r="BA62" i="15" s="1"/>
  <c r="BA46" i="37"/>
  <c r="BW130" i="9"/>
  <c r="BW132" i="9" s="1"/>
  <c r="L140" i="37"/>
  <c r="AS130" i="9"/>
  <c r="Q55" i="14" s="1"/>
  <c r="AB55" i="14" s="1"/>
  <c r="AW95" i="36"/>
  <c r="N126" i="36"/>
  <c r="BA87" i="15"/>
  <c r="BB88" i="36"/>
  <c r="L141" i="36"/>
  <c r="BH85" i="36"/>
  <c r="G173" i="36" s="1"/>
  <c r="AT44" i="36"/>
  <c r="AI132" i="9" a="1"/>
  <c r="AI132" i="9" s="1"/>
  <c r="AV94" i="22" s="1"/>
  <c r="AZ59" i="36"/>
  <c r="AZ121" i="36"/>
  <c r="BH100" i="36"/>
  <c r="G188" i="36" s="1"/>
  <c r="BM137" i="9"/>
  <c r="S141" i="36"/>
  <c r="AN129" i="36"/>
  <c r="E218" i="36" s="1"/>
  <c r="W132" i="36"/>
  <c r="BB104" i="36"/>
  <c r="J162" i="24"/>
  <c r="G11" i="29" s="1"/>
  <c r="AL130" i="9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U83" i="24"/>
  <c r="O132" i="9" a="1"/>
  <c r="O132" i="9" s="1"/>
  <c r="BG84" i="15"/>
  <c r="G172" i="15" s="1"/>
  <c r="AS43" i="15"/>
  <c r="BK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AW141" i="9"/>
  <c r="AZ141" i="9" s="1"/>
  <c r="C217" i="22"/>
  <c r="E12" i="29" s="1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A140" i="9" s="1"/>
  <c r="AR139" i="9"/>
  <c r="AT139" i="9" s="1"/>
  <c r="F91" i="11"/>
  <c r="J92" i="11" s="1"/>
  <c r="J90" i="11"/>
  <c r="C192" i="11"/>
  <c r="F192" i="11" s="1"/>
  <c r="AO52" i="9"/>
  <c r="AO42" i="9" s="1"/>
  <c r="N59" i="11"/>
  <c r="N60" i="11"/>
  <c r="D51" i="1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F90" i="11"/>
  <c r="H92" i="11" s="1"/>
  <c r="L140" i="15"/>
  <c r="AT137" i="9"/>
  <c r="AM131" i="15"/>
  <c r="E220" i="15" s="1"/>
  <c r="W140" i="15"/>
  <c r="BU132" i="9" a="1"/>
  <c r="BU132" i="9" s="1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BT157" i="9"/>
  <c r="CE144" i="9"/>
  <c r="BB132" i="9" a="1"/>
  <c r="BB132" i="9" s="1"/>
  <c r="O57" i="23"/>
  <c r="O67" i="24" s="1"/>
  <c r="F84" i="23"/>
  <c r="F94" i="23" s="1"/>
  <c r="AT18" i="23"/>
  <c r="AW27" i="23"/>
  <c r="BE27" i="24" s="1"/>
  <c r="CE140" i="9"/>
  <c r="BG103" i="15" l="1"/>
  <c r="G191" i="15" s="1"/>
  <c r="F162" i="24"/>
  <c r="BE55" i="24"/>
  <c r="N140" i="37"/>
  <c r="BG94" i="37"/>
  <c r="G182" i="37" s="1"/>
  <c r="AV120" i="37"/>
  <c r="AV53" i="37"/>
  <c r="BS132" i="9" a="1"/>
  <c r="BS132" i="9" s="1"/>
  <c r="BX130" i="9"/>
  <c r="BY130" i="9" s="1"/>
  <c r="BZ130" i="9" s="1"/>
  <c r="CA130" i="9" s="1"/>
  <c r="N124" i="22"/>
  <c r="N139" i="22" s="1"/>
  <c r="CB156" i="9"/>
  <c r="CB152" i="9" s="1"/>
  <c r="BZ152" i="9" s="1"/>
  <c r="BG103" i="37"/>
  <c r="G191" i="37" s="1"/>
  <c r="BA62" i="37"/>
  <c r="AT46" i="9"/>
  <c r="AM42" i="9"/>
  <c r="W140" i="37"/>
  <c r="AM131" i="37"/>
  <c r="BH104" i="36"/>
  <c r="G192" i="36" s="1"/>
  <c r="BB63" i="36"/>
  <c r="AN132" i="36"/>
  <c r="E221" i="36" s="1"/>
  <c r="W141" i="36"/>
  <c r="M90" i="11"/>
  <c r="N90" i="11" s="1"/>
  <c r="BB47" i="36"/>
  <c r="N141" i="36"/>
  <c r="BH95" i="36"/>
  <c r="G183" i="36" s="1"/>
  <c r="AW121" i="36"/>
  <c r="AW54" i="36"/>
  <c r="CO210" i="9"/>
  <c r="J93" i="11"/>
  <c r="I93" i="11"/>
  <c r="L94" i="11" s="1"/>
  <c r="CF210" i="11" s="1"/>
  <c r="H93" i="11"/>
  <c r="L93" i="11"/>
  <c r="AM143" i="20"/>
  <c r="H163" i="24"/>
  <c r="AY95" i="20"/>
  <c r="N140" i="15"/>
  <c r="F94" i="11"/>
  <c r="CB157" i="9"/>
  <c r="BH64" i="20"/>
  <c r="BJ109" i="20"/>
  <c r="J196" i="20" s="1"/>
  <c r="D153" i="22"/>
  <c r="AS84" i="22"/>
  <c r="BD91" i="20"/>
  <c r="G78" i="11"/>
  <c r="G75" i="11"/>
  <c r="P112" i="11" s="1"/>
  <c r="G73" i="11"/>
  <c r="G77" i="11"/>
  <c r="G76" i="11"/>
  <c r="O83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H166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D51" i="25"/>
  <c r="G51" i="25"/>
  <c r="CQ210" i="9"/>
  <c r="AQ46" i="9"/>
  <c r="O127" i="20"/>
  <c r="AX96" i="20"/>
  <c r="AT47" i="9"/>
  <c r="L64" i="9"/>
  <c r="U59" i="9" s="1"/>
  <c r="N63" i="9"/>
  <c r="K92" i="11"/>
  <c r="BI27" i="23"/>
  <c r="J111" i="23" s="1"/>
  <c r="AW55" i="23"/>
  <c r="BR118" i="9"/>
  <c r="BU118" i="9" s="1"/>
  <c r="C220" i="22"/>
  <c r="E15" i="29" s="1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CL211" i="9"/>
  <c r="CV206" i="9" s="1"/>
  <c r="L155" i="9"/>
  <c r="K156" i="9"/>
  <c r="F10" i="17"/>
  <c r="AG132" i="9" a="1"/>
  <c r="AG132" i="9" s="1"/>
  <c r="P192" i="11"/>
  <c r="I203" i="11"/>
  <c r="C54" i="14"/>
  <c r="F8" i="14"/>
  <c r="J199" i="11"/>
  <c r="K199" i="11" s="1"/>
  <c r="M191" i="11"/>
  <c r="AO132" i="9"/>
  <c r="AP130" i="9"/>
  <c r="O73" i="23"/>
  <c r="F11" i="17"/>
  <c r="V52" i="9"/>
  <c r="V42" i="9" s="1"/>
  <c r="T42" i="9" s="1"/>
  <c r="AK132" i="9"/>
  <c r="T130" i="9" l="1"/>
  <c r="U130" i="9" s="1"/>
  <c r="S132" i="9"/>
  <c r="AS89" i="36"/>
  <c r="AS48" i="36" s="1"/>
  <c r="M94" i="11"/>
  <c r="K94" i="11"/>
  <c r="CF203" i="11" s="1"/>
  <c r="J94" i="11"/>
  <c r="N92" i="11" s="1"/>
  <c r="G53" i="25"/>
  <c r="C58" i="25" s="1"/>
  <c r="BF109" i="36"/>
  <c r="AB135" i="36"/>
  <c r="E53" i="25"/>
  <c r="BQ27" i="24"/>
  <c r="J120" i="24" s="1"/>
  <c r="AP132" i="9"/>
  <c r="AP126" i="9" s="1"/>
  <c r="AN126" i="9" s="1"/>
  <c r="J203" i="11"/>
  <c r="K203" i="11" s="1"/>
  <c r="M192" i="11"/>
  <c r="CK210" i="9"/>
  <c r="EA133" i="9"/>
  <c r="EB133" i="9"/>
  <c r="BE108" i="15"/>
  <c r="AB134" i="15"/>
  <c r="N144" i="9"/>
  <c r="L145" i="9"/>
  <c r="U140" i="9" s="1"/>
  <c r="AX29" i="23"/>
  <c r="Q58" i="23"/>
  <c r="CB132" i="9"/>
  <c r="CB126" i="9" s="1"/>
  <c r="BZ126" i="9" s="1"/>
  <c r="F195" i="11"/>
  <c r="P190" i="11"/>
  <c r="I200" i="11"/>
  <c r="BA34" i="23"/>
  <c r="V61" i="23"/>
  <c r="V71" i="24" s="1"/>
  <c r="AP71" i="24" s="1"/>
  <c r="P109" i="11"/>
  <c r="Z78" i="11"/>
  <c r="AC78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Q18" i="24"/>
  <c r="J111" i="24" s="1"/>
  <c r="BH132" i="9"/>
  <c r="BI130" i="9"/>
  <c r="CL282" i="9"/>
  <c r="E118" i="11"/>
  <c r="K93" i="11"/>
  <c r="BG103" i="22"/>
  <c r="G190" i="22" s="1"/>
  <c r="BA62" i="22"/>
  <c r="BA120" i="22"/>
  <c r="BK38" i="24"/>
  <c r="BQ38" i="24" s="1"/>
  <c r="J131" i="24" s="1"/>
  <c r="BD46" i="20"/>
  <c r="AM130" i="22"/>
  <c r="W139" i="22"/>
  <c r="Z74" i="24"/>
  <c r="AP74" i="24" s="1"/>
  <c r="S139" i="22"/>
  <c r="AM127" i="22"/>
  <c r="F14" i="13"/>
  <c r="CO142" i="9"/>
  <c r="AU87" i="20"/>
  <c r="F156" i="20"/>
  <c r="F166" i="20" s="1"/>
  <c r="G85" i="23"/>
  <c r="G94" i="23" s="1"/>
  <c r="AU19" i="23"/>
  <c r="BC19" i="24" s="1"/>
  <c r="N64" i="9"/>
  <c r="Y61" i="9"/>
  <c r="Y62" i="9"/>
  <c r="Q63" i="9"/>
  <c r="AG68" i="9"/>
  <c r="N76" i="9"/>
  <c r="AG67" i="9"/>
  <c r="BB50" i="20"/>
  <c r="BG84" i="22"/>
  <c r="G171" i="22" s="1"/>
  <c r="AS43" i="22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 s="1"/>
  <c r="F59" i="11" s="1"/>
  <c r="F53" i="25"/>
  <c r="D162" i="22"/>
  <c r="H52" i="25"/>
  <c r="CM210" i="9"/>
  <c r="CM211" i="9" s="1"/>
  <c r="O143" i="20"/>
  <c r="Z73" i="23"/>
  <c r="AP64" i="23"/>
  <c r="BR248" i="9"/>
  <c r="BR230" i="11"/>
  <c r="AY50" i="20"/>
  <c r="EE133" i="9"/>
  <c r="CO211" i="9"/>
  <c r="CR210" i="9" s="1"/>
  <c r="CS210" i="9" s="1"/>
  <c r="CT210" i="9" s="1"/>
  <c r="CU210" i="9" s="1"/>
  <c r="CV210" i="9" s="1"/>
  <c r="AT89" i="36" l="1"/>
  <c r="AT48" i="36" s="1"/>
  <c r="AB140" i="37"/>
  <c r="BG108" i="37"/>
  <c r="G196" i="37" s="1"/>
  <c r="BE67" i="37"/>
  <c r="BE120" i="37"/>
  <c r="I163" i="37"/>
  <c r="AC90" i="11"/>
  <c r="H53" i="25"/>
  <c r="D58" i="25" s="1"/>
  <c r="E58" i="25" s="1"/>
  <c r="AB141" i="36"/>
  <c r="BF68" i="36"/>
  <c r="BH109" i="36"/>
  <c r="G197" i="36" s="1"/>
  <c r="BF121" i="36"/>
  <c r="AT90" i="36"/>
  <c r="I160" i="36"/>
  <c r="I164" i="36" s="1"/>
  <c r="J163" i="24"/>
  <c r="G12" i="29" s="1"/>
  <c r="J166" i="24"/>
  <c r="G15" i="29" s="1"/>
  <c r="G95" i="24"/>
  <c r="G104" i="24" s="1"/>
  <c r="BQ19" i="24"/>
  <c r="J112" i="24" s="1"/>
  <c r="Z62" i="9"/>
  <c r="AA62" i="9" s="1"/>
  <c r="AD68" i="9"/>
  <c r="CF144" i="9"/>
  <c r="CG144" i="9" s="1"/>
  <c r="AU131" i="9"/>
  <c r="BI132" i="9"/>
  <c r="BI126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T126" i="9" s="1"/>
  <c r="CL242" i="9"/>
  <c r="S111" i="11"/>
  <c r="Q73" i="23"/>
  <c r="Q68" i="24"/>
  <c r="R63" i="9"/>
  <c r="S63" i="9" s="1"/>
  <c r="CW210" i="9"/>
  <c r="CV211" i="9"/>
  <c r="N156" i="9"/>
  <c r="Q155" i="9" s="1"/>
  <c r="BI29" i="23"/>
  <c r="J113" i="23" s="1"/>
  <c r="AX55" i="23"/>
  <c r="BF29" i="24"/>
  <c r="BF55" i="24" s="1"/>
  <c r="F60" i="11"/>
  <c r="F62" i="11" s="1"/>
  <c r="K113" i="11"/>
  <c r="K112" i="11"/>
  <c r="K109" i="11"/>
  <c r="K110" i="11"/>
  <c r="K111" i="11"/>
  <c r="K108" i="11"/>
  <c r="K107" i="11"/>
  <c r="I159" i="15"/>
  <c r="AS89" i="15"/>
  <c r="V83" i="24"/>
  <c r="CL240" i="9"/>
  <c r="S109" i="11"/>
  <c r="AS88" i="15"/>
  <c r="BT230" i="11"/>
  <c r="BQ230" i="11"/>
  <c r="EE134" i="9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Y98" i="20"/>
  <c r="Q128" i="20"/>
  <c r="BT248" i="9"/>
  <c r="BR249" i="9"/>
  <c r="CA244" i="9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83" i="24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I34" i="24"/>
  <c r="BI55" i="24" s="1"/>
  <c r="I39" i="11"/>
  <c r="O35" i="11"/>
  <c r="O38" i="11"/>
  <c r="BB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BG89" i="37" l="1"/>
  <c r="G177" i="37" s="1"/>
  <c r="AS48" i="37"/>
  <c r="EF134" i="9" a="1"/>
  <c r="EF134" i="9" s="1"/>
  <c r="AI136" i="22" s="1"/>
  <c r="BB46" i="37"/>
  <c r="AR130" i="9"/>
  <c r="BG126" i="9"/>
  <c r="AD140" i="37"/>
  <c r="BN110" i="37"/>
  <c r="BN111" i="36"/>
  <c r="BO111" i="36" s="1"/>
  <c r="AD135" i="36"/>
  <c r="AD141" i="36" s="1"/>
  <c r="F100" i="11"/>
  <c r="J100" i="11" s="1"/>
  <c r="BH90" i="36"/>
  <c r="G178" i="36" s="1"/>
  <c r="AT49" i="36"/>
  <c r="BB87" i="15"/>
  <c r="BB46" i="15" s="1"/>
  <c r="BC88" i="36"/>
  <c r="F163" i="24"/>
  <c r="F166" i="24"/>
  <c r="R144" i="9"/>
  <c r="S144" i="9" s="1"/>
  <c r="R155" i="9"/>
  <c r="S155" i="9" s="1"/>
  <c r="T155" i="9" s="1"/>
  <c r="U155" i="9" s="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K78" i="9" s="1"/>
  <c r="U72" i="9" s="1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Z91" i="11"/>
  <c r="EH133" i="9"/>
  <c r="EI133" i="9" s="1"/>
  <c r="EJ133" i="9" s="1"/>
  <c r="EK133" i="9" s="1"/>
  <c r="EL133" i="9" s="1"/>
  <c r="EM133" i="9" s="1"/>
  <c r="CL228" i="9"/>
  <c r="I113" i="11"/>
  <c r="Q116" i="9"/>
  <c r="D17" i="14" s="1"/>
  <c r="G157" i="20"/>
  <c r="G166" i="20" s="1"/>
  <c r="AV88" i="20"/>
  <c r="AE146" i="9"/>
  <c r="Z141" i="9"/>
  <c r="Z139" i="9"/>
  <c r="AA139" i="9" s="1"/>
  <c r="BC24" i="24"/>
  <c r="BQ24" i="24" s="1"/>
  <c r="J117" i="24" s="1"/>
  <c r="BG89" i="15"/>
  <c r="G177" i="15" s="1"/>
  <c r="AS48" i="15"/>
  <c r="CW211" i="9"/>
  <c r="CW206" i="9" s="1"/>
  <c r="CU206" i="9" s="1"/>
  <c r="AE67" i="23"/>
  <c r="BG43" i="23"/>
  <c r="CO241" i="9"/>
  <c r="Z142" i="9"/>
  <c r="AE147" i="9"/>
  <c r="L100" i="24"/>
  <c r="L104" i="24" s="1"/>
  <c r="I163" i="15"/>
  <c r="BQ29" i="24"/>
  <c r="J122" i="24" s="1"/>
  <c r="AF78" i="11"/>
  <c r="AC80" i="11"/>
  <c r="CR280" i="9"/>
  <c r="CR274" i="9"/>
  <c r="F199" i="11"/>
  <c r="F200" i="11" s="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Q83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BQ34" i="24"/>
  <c r="J127" i="24" s="1"/>
  <c r="S112" i="11"/>
  <c r="BT144" i="9"/>
  <c r="BL22" i="24"/>
  <c r="AC88" i="11"/>
  <c r="N62" i="11"/>
  <c r="O61" i="11" s="1"/>
  <c r="BC23" i="24"/>
  <c r="AS47" i="15"/>
  <c r="CL226" i="9"/>
  <c r="I111" i="11"/>
  <c r="BN130" i="9"/>
  <c r="D55" i="14"/>
  <c r="F18" i="14"/>
  <c r="AS87" i="36" l="1"/>
  <c r="I114" i="11"/>
  <c r="F103" i="11" s="1"/>
  <c r="BF115" i="22"/>
  <c r="BF74" i="22" s="1"/>
  <c r="BD110" i="36"/>
  <c r="AC135" i="36"/>
  <c r="CZ247" i="9"/>
  <c r="CZ248" i="9"/>
  <c r="CZ246" i="9"/>
  <c r="CM240" i="9"/>
  <c r="CR275" i="9"/>
  <c r="CS275" i="9" s="1"/>
  <c r="CT275" i="9" s="1"/>
  <c r="CU275" i="9" s="1"/>
  <c r="CV275" i="9" s="1"/>
  <c r="CW275" i="9" s="1"/>
  <c r="BG116" i="36"/>
  <c r="AI138" i="36"/>
  <c r="BC47" i="36"/>
  <c r="CR273" i="9"/>
  <c r="CS273" i="9" s="1"/>
  <c r="CT273" i="9" s="1"/>
  <c r="CU273" i="9" s="1"/>
  <c r="CV273" i="9" s="1"/>
  <c r="CW273" i="9" s="1"/>
  <c r="CM241" i="9"/>
  <c r="AS46" i="36"/>
  <c r="AS121" i="36"/>
  <c r="BQ146" i="9"/>
  <c r="BR145" i="9" s="1"/>
  <c r="CB248" i="9"/>
  <c r="V155" i="9"/>
  <c r="V156" i="9" s="1"/>
  <c r="V151" i="9" s="1"/>
  <c r="T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AH78" i="11" s="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E243" i="11" s="1"/>
  <c r="C241" i="11"/>
  <c r="CF218" i="9"/>
  <c r="AX216" i="9"/>
  <c r="CO227" i="9"/>
  <c r="BQ216" i="9"/>
  <c r="CS278" i="9"/>
  <c r="CT278" i="9" s="1"/>
  <c r="CU278" i="9" s="1"/>
  <c r="CV278" i="9" s="1"/>
  <c r="CW278" i="9" s="1"/>
  <c r="G18" i="14"/>
  <c r="D58" i="14"/>
  <c r="CO144" i="9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AV43" i="20"/>
  <c r="BJ88" i="20"/>
  <c r="J175" i="20" s="1"/>
  <c r="J44" i="11"/>
  <c r="CO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CM144" i="9" s="1"/>
  <c r="EH134" i="9"/>
  <c r="EI130" i="9"/>
  <c r="EJ130" i="9" s="1"/>
  <c r="EG134" i="9" a="1"/>
  <c r="EG134" i="9" s="1"/>
  <c r="ED134" i="9" a="1"/>
  <c r="ED134" i="9" s="1"/>
  <c r="I100" i="11"/>
  <c r="C98" i="11"/>
  <c r="J98" i="11" s="1"/>
  <c r="DA229" i="9"/>
  <c r="DB229" i="9" s="1"/>
  <c r="BC109" i="15"/>
  <c r="AC134" i="15"/>
  <c r="BG115" i="22"/>
  <c r="G202" i="22" s="1"/>
  <c r="CR277" i="9"/>
  <c r="EA238" i="9"/>
  <c r="DF238" i="9"/>
  <c r="CO243" i="9"/>
  <c r="CR240" i="9" s="1"/>
  <c r="CF219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CR272" i="9"/>
  <c r="AR86" i="15"/>
  <c r="BQ215" i="9"/>
  <c r="AX215" i="9"/>
  <c r="CO226" i="9"/>
  <c r="CA140" i="9"/>
  <c r="ED239" i="9"/>
  <c r="F17" i="14"/>
  <c r="C55" i="14"/>
  <c r="CO118" i="9"/>
  <c r="CL119" i="9"/>
  <c r="CV114" i="9" s="1"/>
  <c r="AD140" i="15"/>
  <c r="CO228" i="9"/>
  <c r="BQ217" i="9"/>
  <c r="BG108" i="22"/>
  <c r="G195" i="22" s="1"/>
  <c r="BE67" i="22"/>
  <c r="BE120" i="22"/>
  <c r="BO43" i="24"/>
  <c r="BO55" i="24" s="1"/>
  <c r="CM239" i="9"/>
  <c r="O59" i="11"/>
  <c r="O60" i="11"/>
  <c r="AX212" i="9"/>
  <c r="BQ212" i="9"/>
  <c r="CO223" i="9"/>
  <c r="CR281" i="9"/>
  <c r="AA141" i="9"/>
  <c r="AB139" i="22"/>
  <c r="AE77" i="24"/>
  <c r="EC134" i="9"/>
  <c r="CM242" i="9"/>
  <c r="Z64" i="9"/>
  <c r="AA64" i="9" s="1"/>
  <c r="AD69" i="9"/>
  <c r="AG70" i="9"/>
  <c r="AH70" i="9" s="1" a="1"/>
  <c r="AH70" i="9" s="1"/>
  <c r="CB249" i="9"/>
  <c r="CB244" i="9" s="1"/>
  <c r="BZ244" i="9" s="1"/>
  <c r="CR279" i="9"/>
  <c r="L76" i="9"/>
  <c r="CF201" i="11"/>
  <c r="CL234" i="11"/>
  <c r="CP237" i="11" s="1" a="1"/>
  <c r="CP237" i="11" s="1"/>
  <c r="K169" i="9"/>
  <c r="U163" i="9" s="1"/>
  <c r="O169" i="9" a="1"/>
  <c r="C199" i="11"/>
  <c r="C200" i="11" s="1"/>
  <c r="I202" i="11"/>
  <c r="I204" i="11" s="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BA45" i="37" l="1"/>
  <c r="BA120" i="37"/>
  <c r="BC68" i="37"/>
  <c r="BC120" i="37"/>
  <c r="BG109" i="37"/>
  <c r="G197" i="37" s="1"/>
  <c r="AC140" i="37"/>
  <c r="AR45" i="37"/>
  <c r="AT87" i="36"/>
  <c r="AT121" i="36" s="1"/>
  <c r="AE140" i="37"/>
  <c r="BN111" i="37"/>
  <c r="BA86" i="15"/>
  <c r="BA120" i="15" s="1"/>
  <c r="BB87" i="36"/>
  <c r="O169" i="9"/>
  <c r="AS86" i="22" s="1"/>
  <c r="BG86" i="22" s="1"/>
  <c r="G173" i="22" s="1"/>
  <c r="CM223" i="9"/>
  <c r="CM225" i="9"/>
  <c r="CM228" i="9"/>
  <c r="AJ69" i="9"/>
  <c r="AK69" i="9" s="1"/>
  <c r="AL69" i="9" s="1"/>
  <c r="AM69" i="9" s="1"/>
  <c r="AN69" i="9" s="1"/>
  <c r="AE135" i="36"/>
  <c r="AE141" i="36" s="1"/>
  <c r="BN112" i="36"/>
  <c r="BO112" i="36" s="1"/>
  <c r="BN107" i="36"/>
  <c r="BO107" i="36" s="1"/>
  <c r="Z134" i="36"/>
  <c r="BR144" i="9"/>
  <c r="AI141" i="36"/>
  <c r="AN138" i="36"/>
  <c r="E227" i="36" s="1"/>
  <c r="BH116" i="36"/>
  <c r="G204" i="36" s="1"/>
  <c r="BG75" i="36"/>
  <c r="CM226" i="9"/>
  <c r="CN282" i="9" a="1"/>
  <c r="CN282" i="9" s="1"/>
  <c r="AG67" i="23" s="1"/>
  <c r="AG73" i="23" s="1"/>
  <c r="AC141" i="36"/>
  <c r="CM222" i="9"/>
  <c r="BH110" i="36"/>
  <c r="G198" i="36" s="1"/>
  <c r="BD121" i="36"/>
  <c r="BD69" i="36"/>
  <c r="F172" i="24"/>
  <c r="M123" i="22"/>
  <c r="BM93" i="22"/>
  <c r="BN93" i="22" s="1"/>
  <c r="BX144" i="9"/>
  <c r="BY144" i="9" s="1"/>
  <c r="BZ144" i="9" s="1"/>
  <c r="CA144" i="9" s="1"/>
  <c r="CB144" i="9" s="1"/>
  <c r="CW271" i="9"/>
  <c r="CS240" i="9"/>
  <c r="CT240" i="9" s="1"/>
  <c r="CU240" i="9" s="1"/>
  <c r="CV240" i="9" s="1"/>
  <c r="CW240" i="9" s="1"/>
  <c r="D198" i="11"/>
  <c r="BT211" i="9"/>
  <c r="AE216" i="9"/>
  <c r="BA216" i="9"/>
  <c r="DY120" i="9"/>
  <c r="EB118" i="9"/>
  <c r="Q167" i="9"/>
  <c r="CR242" i="9"/>
  <c r="L167" i="9"/>
  <c r="BQ43" i="24"/>
  <c r="J136" i="24" s="1"/>
  <c r="AE215" i="9"/>
  <c r="BA215" i="9"/>
  <c r="CM243" i="9"/>
  <c r="CR238" i="9"/>
  <c r="CR241" i="9"/>
  <c r="EJ134" i="9" a="1"/>
  <c r="EJ134" i="9" s="1"/>
  <c r="EK134" i="9" s="1"/>
  <c r="EK130" i="9"/>
  <c r="EL130" i="9" s="1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BB21" i="24" s="1"/>
  <c r="BB55" i="24" s="1"/>
  <c r="DF237" i="9"/>
  <c r="EA237" i="9"/>
  <c r="AA88" i="11"/>
  <c r="Z92" i="11"/>
  <c r="EU117" i="9"/>
  <c r="F16" i="17"/>
  <c r="C227" i="22"/>
  <c r="E22" i="29" s="1"/>
  <c r="AI140" i="15"/>
  <c r="AM137" i="15"/>
  <c r="E226" i="15" s="1"/>
  <c r="AD70" i="9"/>
  <c r="AE69" i="9" s="1"/>
  <c r="CF142" i="9"/>
  <c r="CG142" i="9" s="1"/>
  <c r="CO119" i="9"/>
  <c r="CR118" i="9" s="1"/>
  <c r="CS118" i="9" s="1"/>
  <c r="CT118" i="9" s="1"/>
  <c r="CU118" i="9" s="1"/>
  <c r="CV118" i="9" s="1"/>
  <c r="CF141" i="9"/>
  <c r="CG141" i="9" s="1"/>
  <c r="CV138" i="9"/>
  <c r="CM142" i="9"/>
  <c r="CF143" i="9"/>
  <c r="CG143" i="9" s="1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F140" i="9"/>
  <c r="CG140" i="9" s="1"/>
  <c r="CO145" i="9"/>
  <c r="CR144" i="9" s="1"/>
  <c r="CS144" i="9" s="1"/>
  <c r="CT144" i="9" s="1"/>
  <c r="CU144" i="9" s="1"/>
  <c r="CV144" i="9" s="1"/>
  <c r="I98" i="11"/>
  <c r="AD90" i="11"/>
  <c r="AD91" i="11"/>
  <c r="AD89" i="11"/>
  <c r="AD92" i="11" s="1"/>
  <c r="AS120" i="22"/>
  <c r="F13" i="13"/>
  <c r="F15" i="13" s="1"/>
  <c r="Z133" i="15"/>
  <c r="BM106" i="15"/>
  <c r="BW145" i="9"/>
  <c r="BX145" i="9" s="1"/>
  <c r="BY145" i="9" s="1"/>
  <c r="BZ145" i="9" s="1"/>
  <c r="CA145" i="9" s="1"/>
  <c r="CB145" i="9" s="1"/>
  <c r="DI240" i="9"/>
  <c r="AE83" i="24"/>
  <c r="BA212" i="9"/>
  <c r="AE212" i="9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s="1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E19" i="29" s="1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CM229" i="9" s="1"/>
  <c r="ED238" i="9"/>
  <c r="BQ210" i="9"/>
  <c r="C104" i="11"/>
  <c r="D99" i="11" s="1"/>
  <c r="L98" i="11"/>
  <c r="DA248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 s="1"/>
  <c r="CW279" i="9" s="1"/>
  <c r="J202" i="11"/>
  <c r="J204" i="11" s="1"/>
  <c r="M193" i="11"/>
  <c r="P194" i="11"/>
  <c r="BE91" i="20"/>
  <c r="D199" i="11"/>
  <c r="AO69" i="9"/>
  <c r="AJ67" i="9"/>
  <c r="AJ68" i="9"/>
  <c r="AK68" i="9" s="1"/>
  <c r="AL68" i="9" s="1"/>
  <c r="AM68" i="9" s="1"/>
  <c r="AN68" i="9" s="1"/>
  <c r="AO68" i="9" s="1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BA45" i="15" l="1"/>
  <c r="AT46" i="36"/>
  <c r="AS45" i="22"/>
  <c r="AS45" i="37"/>
  <c r="BO45" i="23"/>
  <c r="BP45" i="23" s="1"/>
  <c r="D102" i="11"/>
  <c r="CP145" i="9" a="1"/>
  <c r="CP145" i="9" s="1"/>
  <c r="CR143" i="9"/>
  <c r="CS143" i="9" s="1"/>
  <c r="CT143" i="9" s="1"/>
  <c r="CU143" i="9" s="1"/>
  <c r="CV143" i="9" s="1"/>
  <c r="CW143" i="9" s="1"/>
  <c r="BN108" i="36"/>
  <c r="BO108" i="36" s="1"/>
  <c r="AA134" i="36"/>
  <c r="AA141" i="36" s="1"/>
  <c r="Z141" i="36"/>
  <c r="CN243" i="9" a="1"/>
  <c r="CN243" i="9" s="1"/>
  <c r="BE44" i="23" s="1"/>
  <c r="L169" i="9"/>
  <c r="BB121" i="36"/>
  <c r="BB46" i="36"/>
  <c r="F159" i="24"/>
  <c r="CS222" i="9"/>
  <c r="CT222" i="9" s="1"/>
  <c r="CU222" i="9" s="1"/>
  <c r="CV222" i="9" s="1"/>
  <c r="N193" i="11"/>
  <c r="M194" i="11"/>
  <c r="H170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CU114" i="9" s="1"/>
  <c r="AA106" i="11"/>
  <c r="AI106" i="11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EK126" i="9" s="1"/>
  <c r="CE224" i="9"/>
  <c r="CG224" i="9" s="1"/>
  <c r="BL224" i="9"/>
  <c r="DA246" i="9"/>
  <c r="DB246" i="9" s="1"/>
  <c r="AS224" i="9"/>
  <c r="BK224" i="9"/>
  <c r="DF241" i="9"/>
  <c r="DG237" i="9" s="1"/>
  <c r="DI237" i="9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S241" i="9"/>
  <c r="CT241" i="9" s="1"/>
  <c r="CU241" i="9" s="1"/>
  <c r="CV241" i="9" s="1"/>
  <c r="CW241" i="9" s="1"/>
  <c r="CS242" i="9"/>
  <c r="CT242" i="9" s="1"/>
  <c r="CU242" i="9" s="1"/>
  <c r="CV242" i="9" s="1"/>
  <c r="CW242" i="9" s="1"/>
  <c r="CW282" i="9"/>
  <c r="CW267" i="9" s="1"/>
  <c r="CU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ED237" i="9"/>
  <c r="EB237" i="9"/>
  <c r="EA241" i="9"/>
  <c r="EK233" i="9" s="1"/>
  <c r="AP70" i="23"/>
  <c r="AL73" i="23"/>
  <c r="BQ218" i="9"/>
  <c r="BR210" i="9" s="1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80" i="24"/>
  <c r="AP80" i="24" s="1"/>
  <c r="BS146" i="9" a="1"/>
  <c r="BS146" i="9" s="1"/>
  <c r="U78" i="9"/>
  <c r="V76" i="9"/>
  <c r="V78" i="9" s="1"/>
  <c r="V72" i="9" s="1"/>
  <c r="CS238" i="9"/>
  <c r="CT238" i="9" s="1"/>
  <c r="CU238" i="9" s="1"/>
  <c r="CV238" i="9" s="1"/>
  <c r="CR243" i="9"/>
  <c r="AF67" i="23"/>
  <c r="BL227" i="9"/>
  <c r="CE227" i="9"/>
  <c r="CG227" i="9" s="1"/>
  <c r="CR224" i="9"/>
  <c r="CS224" i="9" s="1"/>
  <c r="CT224" i="9" s="1"/>
  <c r="CU224" i="9" s="1"/>
  <c r="CV224" i="9" s="1"/>
  <c r="CW224" i="9" s="1"/>
  <c r="AP148" i="9"/>
  <c r="AK146" i="9"/>
  <c r="AK147" i="9"/>
  <c r="AL147" i="9" s="1"/>
  <c r="AM147" i="9" s="1"/>
  <c r="AN147" i="9" s="1"/>
  <c r="AO147" i="9" s="1"/>
  <c r="AP147" i="9" s="1"/>
  <c r="K214" i="9"/>
  <c r="AH214" i="9"/>
  <c r="I242" i="11"/>
  <c r="I243" i="11" s="1"/>
  <c r="K243" i="11"/>
  <c r="EP245" i="9"/>
  <c r="AE149" i="9"/>
  <c r="AF148" i="9" s="1"/>
  <c r="CB146" i="9"/>
  <c r="CB140" i="9" s="1"/>
  <c r="BZ140" i="9" s="1"/>
  <c r="BC109" i="22"/>
  <c r="AC133" i="22"/>
  <c r="CE130" i="9"/>
  <c r="Q60" i="14" s="1"/>
  <c r="AB60" i="14" s="1"/>
  <c r="AA133" i="15"/>
  <c r="AM133" i="15" s="1"/>
  <c r="E222" i="15" s="1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N106" i="15"/>
  <c r="N98" i="11"/>
  <c r="O98" i="11" s="1"/>
  <c r="BV210" i="9" s="1"/>
  <c r="BC210" i="9" s="1"/>
  <c r="AJ210" i="9" s="1"/>
  <c r="P210" i="9" s="1"/>
  <c r="CS239" i="9"/>
  <c r="CT239" i="9" s="1"/>
  <c r="CU239" i="9" s="1"/>
  <c r="CV239" i="9" s="1"/>
  <c r="CW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P50" i="24"/>
  <c r="BQ50" i="24" s="1"/>
  <c r="J143" i="24" s="1"/>
  <c r="H173" i="24"/>
  <c r="BI95" i="20"/>
  <c r="BI50" i="20" s="1"/>
  <c r="BN111" i="15"/>
  <c r="CE225" i="9"/>
  <c r="CG225" i="9" s="1"/>
  <c r="BL225" i="9"/>
  <c r="AC76" i="24"/>
  <c r="BX41" i="24" s="1"/>
  <c r="L134" i="24" s="1"/>
  <c r="Z140" i="15"/>
  <c r="CR227" i="9"/>
  <c r="CS227" i="9" s="1"/>
  <c r="CT227" i="9" s="1"/>
  <c r="CU227" i="9" s="1"/>
  <c r="CV227" i="9" s="1"/>
  <c r="CW227" i="9" s="1"/>
  <c r="AS45" i="15"/>
  <c r="AS120" i="15"/>
  <c r="BK223" i="9"/>
  <c r="AS223" i="9"/>
  <c r="CW144" i="9"/>
  <c r="CR142" i="9"/>
  <c r="Z110" i="11"/>
  <c r="AH110" i="11"/>
  <c r="AA90" i="11"/>
  <c r="AA89" i="11"/>
  <c r="AA91" i="11"/>
  <c r="AG77" i="24"/>
  <c r="BX45" i="24" s="1"/>
  <c r="AS227" i="9"/>
  <c r="BK227" i="9"/>
  <c r="M139" i="22"/>
  <c r="AM123" i="22"/>
  <c r="AN134" i="36" l="1"/>
  <c r="E223" i="36" s="1"/>
  <c r="BM106" i="37"/>
  <c r="BN106" i="37" s="1"/>
  <c r="Z133" i="37"/>
  <c r="BF115" i="37"/>
  <c r="AI137" i="37"/>
  <c r="L138" i="24"/>
  <c r="AH137" i="36"/>
  <c r="AU90" i="20"/>
  <c r="T72" i="9"/>
  <c r="BN93" i="37"/>
  <c r="BC21" i="24"/>
  <c r="BC55" i="24" s="1"/>
  <c r="AF77" i="24"/>
  <c r="AN137" i="36"/>
  <c r="E226" i="36" s="1"/>
  <c r="AH141" i="36"/>
  <c r="AE70" i="9"/>
  <c r="M125" i="36"/>
  <c r="BN94" i="36"/>
  <c r="BO94" i="36" s="1"/>
  <c r="BE55" i="23"/>
  <c r="BI44" i="23"/>
  <c r="J128" i="23" s="1"/>
  <c r="DA247" i="9"/>
  <c r="DB247" i="9" s="1"/>
  <c r="AG83" i="24"/>
  <c r="J172" i="24"/>
  <c r="G21" i="29" s="1"/>
  <c r="CW238" i="9"/>
  <c r="CW243" i="9" s="1"/>
  <c r="CW234" i="9" s="1"/>
  <c r="CU234" i="9" s="1"/>
  <c r="CV243" i="9"/>
  <c r="AC139" i="22"/>
  <c r="AR227" i="9"/>
  <c r="AT227" i="9" s="1"/>
  <c r="Z227" i="9"/>
  <c r="Z106" i="11"/>
  <c r="AH217" i="9"/>
  <c r="K217" i="9"/>
  <c r="AS190" i="9"/>
  <c r="AH136" i="15"/>
  <c r="BC55" i="23"/>
  <c r="BH21" i="23"/>
  <c r="BK21" i="24"/>
  <c r="BK55" i="24" s="1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AM63" i="9" s="1"/>
  <c r="BM227" i="9"/>
  <c r="AR223" i="9"/>
  <c r="AT223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AK216" i="9" s="1"/>
  <c r="AL216" i="9" s="1"/>
  <c r="AM216" i="9" s="1"/>
  <c r="AN216" i="9" s="1"/>
  <c r="AO216" i="9" s="1"/>
  <c r="AP216" i="9" s="1"/>
  <c r="AG137" i="20"/>
  <c r="AG143" i="20" s="1"/>
  <c r="BP114" i="20"/>
  <c r="BQ114" i="20" s="1"/>
  <c r="Z226" i="9"/>
  <c r="AR226" i="9"/>
  <c r="AT226" i="9" s="1"/>
  <c r="AC83" i="24"/>
  <c r="BM225" i="9"/>
  <c r="BM226" i="9"/>
  <c r="U169" i="9"/>
  <c r="V167" i="9"/>
  <c r="V169" i="9" s="1"/>
  <c r="V163" i="9" s="1"/>
  <c r="ED241" i="9"/>
  <c r="EE241" i="9" s="1" a="1"/>
  <c r="EE241" i="9" s="1"/>
  <c r="AH135" i="22" s="1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BW210" i="9" s="1"/>
  <c r="BX210" i="9" s="1"/>
  <c r="BY210" i="9" s="1"/>
  <c r="BZ210" i="9" s="1"/>
  <c r="CA210" i="9" s="1"/>
  <c r="CE219" i="9"/>
  <c r="CG219" i="9" s="1"/>
  <c r="BL218" i="9"/>
  <c r="CE228" i="9"/>
  <c r="CG228" i="9" s="1"/>
  <c r="DP233" i="9"/>
  <c r="EB160" i="9"/>
  <c r="EL152" i="9" s="1"/>
  <c r="DG239" i="9"/>
  <c r="EB239" i="9"/>
  <c r="EB238" i="9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EP246" i="9"/>
  <c r="DI241" i="9"/>
  <c r="DJ241" i="9" s="1" a="1"/>
  <c r="DJ241" i="9" s="1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1" i="9"/>
  <c r="AL211" i="9" s="1"/>
  <c r="AM211" i="9" s="1"/>
  <c r="AN211" i="9" s="1"/>
  <c r="AO211" i="9" s="1"/>
  <c r="AP211" i="9" s="1"/>
  <c r="Z222" i="9"/>
  <c r="AR222" i="9"/>
  <c r="AT222" i="9" s="1"/>
  <c r="DX131" i="9"/>
  <c r="DX132" i="9"/>
  <c r="BI119" i="20"/>
  <c r="AL140" i="20"/>
  <c r="DU131" i="9"/>
  <c r="N213" i="9"/>
  <c r="N211" i="9"/>
  <c r="AL83" i="24"/>
  <c r="BC120" i="22"/>
  <c r="BG109" i="22"/>
  <c r="G196" i="22" s="1"/>
  <c r="BC68" i="22"/>
  <c r="BM55" i="24"/>
  <c r="Z225" i="9"/>
  <c r="AR225" i="9"/>
  <c r="AT225" i="9" s="1"/>
  <c r="CA206" i="9"/>
  <c r="BR212" i="9"/>
  <c r="BR217" i="9"/>
  <c r="BR214" i="9"/>
  <c r="BR216" i="9"/>
  <c r="BR215" i="9"/>
  <c r="BR211" i="9"/>
  <c r="BR213" i="9"/>
  <c r="D104" i="11"/>
  <c r="BM224" i="9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U218" i="9" s="1"/>
  <c r="CV229" i="9"/>
  <c r="AM137" i="37" l="1"/>
  <c r="AI140" i="37"/>
  <c r="P67" i="24"/>
  <c r="BF74" i="37"/>
  <c r="BG115" i="37"/>
  <c r="G203" i="37" s="1"/>
  <c r="F160" i="24"/>
  <c r="Z140" i="37"/>
  <c r="G163" i="37"/>
  <c r="DG241" i="9"/>
  <c r="AV90" i="20"/>
  <c r="AV45" i="20" s="1"/>
  <c r="T163" i="9"/>
  <c r="BG114" i="37"/>
  <c r="G202" i="37" s="1"/>
  <c r="BF73" i="37"/>
  <c r="AK210" i="9"/>
  <c r="AL210" i="9" s="1"/>
  <c r="AM210" i="9" s="1"/>
  <c r="AN210" i="9" s="1"/>
  <c r="AO210" i="9" s="1"/>
  <c r="J163" i="37"/>
  <c r="BR218" i="9"/>
  <c r="M140" i="37"/>
  <c r="AM124" i="37"/>
  <c r="AM136" i="37"/>
  <c r="AH140" i="37"/>
  <c r="BN95" i="37"/>
  <c r="BG88" i="36"/>
  <c r="G158" i="36"/>
  <c r="G164" i="36" s="1"/>
  <c r="BF114" i="15"/>
  <c r="BG115" i="36"/>
  <c r="DU237" i="9"/>
  <c r="Q63" i="14" s="1"/>
  <c r="AB63" i="14" s="1"/>
  <c r="AG136" i="36"/>
  <c r="BE114" i="36"/>
  <c r="AK212" i="9"/>
  <c r="AL212" i="9" s="1"/>
  <c r="AM212" i="9" s="1"/>
  <c r="AN212" i="9" s="1"/>
  <c r="AO212" i="9" s="1"/>
  <c r="AP212" i="9" s="1"/>
  <c r="AK215" i="9"/>
  <c r="AL215" i="9" s="1"/>
  <c r="AM215" i="9" s="1"/>
  <c r="AN215" i="9" s="1"/>
  <c r="AO215" i="9" s="1"/>
  <c r="AP215" i="9" s="1"/>
  <c r="BD217" i="9"/>
  <c r="BE217" i="9" s="1"/>
  <c r="BF217" i="9" s="1"/>
  <c r="BG217" i="9" s="1"/>
  <c r="BH217" i="9" s="1"/>
  <c r="BI217" i="9" s="1"/>
  <c r="BC105" i="36"/>
  <c r="X133" i="36"/>
  <c r="AK213" i="9"/>
  <c r="AL213" i="9" s="1"/>
  <c r="AM213" i="9" s="1"/>
  <c r="AN213" i="9" s="1"/>
  <c r="AO213" i="9" s="1"/>
  <c r="AP213" i="9" s="1"/>
  <c r="M141" i="36"/>
  <c r="AN125" i="36"/>
  <c r="E214" i="36" s="1"/>
  <c r="AK217" i="9"/>
  <c r="AL217" i="9" s="1"/>
  <c r="AM217" i="9" s="1"/>
  <c r="AN217" i="9" s="1"/>
  <c r="AO217" i="9" s="1"/>
  <c r="AP217" i="9" s="1"/>
  <c r="AI110" i="11"/>
  <c r="EB241" i="9"/>
  <c r="Q210" i="9"/>
  <c r="BG91" i="36"/>
  <c r="J161" i="36"/>
  <c r="J164" i="36" s="1"/>
  <c r="AK214" i="9"/>
  <c r="AL214" i="9" s="1"/>
  <c r="AM214" i="9" s="1"/>
  <c r="AN214" i="9" s="1"/>
  <c r="AO214" i="9" s="1"/>
  <c r="AP214" i="9" s="1"/>
  <c r="BD210" i="9"/>
  <c r="BE210" i="9" s="1"/>
  <c r="BF210" i="9" s="1"/>
  <c r="BG210" i="9" s="1"/>
  <c r="BH210" i="9" s="1"/>
  <c r="BN96" i="36"/>
  <c r="BO96" i="36" s="1"/>
  <c r="O126" i="36"/>
  <c r="F168" i="24"/>
  <c r="F170" i="24"/>
  <c r="EB159" i="9"/>
  <c r="C166" i="11"/>
  <c r="AC109" i="11"/>
  <c r="L212" i="9"/>
  <c r="P73" i="23"/>
  <c r="AP57" i="23"/>
  <c r="AC143" i="20"/>
  <c r="AH140" i="15"/>
  <c r="AM136" i="15"/>
  <c r="E225" i="15" s="1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67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E13" i="29" s="1"/>
  <c r="AF83" i="24"/>
  <c r="C281" i="11"/>
  <c r="C280" i="11" s="1"/>
  <c r="C283" i="11" s="1"/>
  <c r="E273" i="11"/>
  <c r="AT218" i="9"/>
  <c r="BG114" i="15"/>
  <c r="G202" i="15" s="1"/>
  <c r="BF73" i="15"/>
  <c r="W46" i="9"/>
  <c r="L6" i="13" s="1"/>
  <c r="P127" i="20"/>
  <c r="BP97" i="20"/>
  <c r="BQ97" i="20" s="1"/>
  <c r="BN111" i="22"/>
  <c r="AR220" i="9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BK221" i="9"/>
  <c r="BL221" i="9"/>
  <c r="AS221" i="9"/>
  <c r="AR221" i="9"/>
  <c r="AT221" i="9" s="1"/>
  <c r="CE203" i="11"/>
  <c r="EV237" i="9"/>
  <c r="AK106" i="11"/>
  <c r="BP227" i="9"/>
  <c r="BS227" i="9" s="1"/>
  <c r="C221" i="22"/>
  <c r="E16" i="29" s="1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BI210" i="9"/>
  <c r="CV145" i="9"/>
  <c r="CW142" i="9"/>
  <c r="CW145" i="9" s="1"/>
  <c r="CW138" i="9" s="1"/>
  <c r="CU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Q44" i="24"/>
  <c r="J137" i="24" s="1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N142" i="9" s="1"/>
  <c r="AH67" i="23"/>
  <c r="AH77" i="24" s="1"/>
  <c r="BX46" i="24" s="1"/>
  <c r="BO46" i="23"/>
  <c r="BP46" i="23" s="1"/>
  <c r="C64" i="14"/>
  <c r="D34" i="14"/>
  <c r="BN93" i="15"/>
  <c r="BM218" i="9"/>
  <c r="L214" i="9"/>
  <c r="BF113" i="20"/>
  <c r="AF137" i="20"/>
  <c r="BX28" i="24" l="1"/>
  <c r="L121" i="24" s="1"/>
  <c r="AP67" i="24"/>
  <c r="AA133" i="37"/>
  <c r="BM107" i="37"/>
  <c r="BN107" i="37" s="1"/>
  <c r="N218" i="9"/>
  <c r="BB63" i="37"/>
  <c r="BG104" i="37"/>
  <c r="G192" i="37" s="1"/>
  <c r="X140" i="37"/>
  <c r="AM132" i="37"/>
  <c r="BF49" i="37"/>
  <c r="BG90" i="37"/>
  <c r="G178" i="37" s="1"/>
  <c r="AM135" i="37"/>
  <c r="AG140" i="37"/>
  <c r="BG113" i="37"/>
  <c r="G201" i="37" s="1"/>
  <c r="BD73" i="37"/>
  <c r="BD120" i="37"/>
  <c r="BF46" i="37"/>
  <c r="BG87" i="37"/>
  <c r="G175" i="37" s="1"/>
  <c r="O140" i="37"/>
  <c r="AM125" i="37"/>
  <c r="P127" i="36"/>
  <c r="AX97" i="36"/>
  <c r="AN133" i="36"/>
  <c r="E222" i="36" s="1"/>
  <c r="X141" i="36"/>
  <c r="BC64" i="36"/>
  <c r="BH105" i="36"/>
  <c r="G193" i="36" s="1"/>
  <c r="BL210" i="9"/>
  <c r="Q59" i="14" s="1"/>
  <c r="AB59" i="14" s="1"/>
  <c r="BA101" i="36"/>
  <c r="T130" i="36"/>
  <c r="AT220" i="9"/>
  <c r="BE121" i="36"/>
  <c r="BH114" i="36"/>
  <c r="G202" i="36" s="1"/>
  <c r="BE74" i="36"/>
  <c r="O141" i="36"/>
  <c r="AN126" i="36"/>
  <c r="E215" i="36" s="1"/>
  <c r="AN136" i="36"/>
  <c r="E225" i="36" s="1"/>
  <c r="AG141" i="36"/>
  <c r="BH115" i="36"/>
  <c r="G203" i="36" s="1"/>
  <c r="BG74" i="36"/>
  <c r="DH241" i="9" a="1"/>
  <c r="DH241" i="9" s="1"/>
  <c r="BG50" i="36"/>
  <c r="BH91" i="36"/>
  <c r="G179" i="36" s="1"/>
  <c r="BG47" i="36"/>
  <c r="BH88" i="36"/>
  <c r="G176" i="36" s="1"/>
  <c r="AH83" i="24"/>
  <c r="J159" i="24"/>
  <c r="G8" i="29" s="1"/>
  <c r="EI118" i="9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68" i="24"/>
  <c r="BX30" i="24" s="1"/>
  <c r="L123" i="24" s="1"/>
  <c r="O140" i="15"/>
  <c r="AM125" i="15"/>
  <c r="E214" i="15" s="1"/>
  <c r="EE157" i="9"/>
  <c r="EC157" i="9"/>
  <c r="BP25" i="24"/>
  <c r="BQ25" i="24" s="1"/>
  <c r="J118" i="24" s="1"/>
  <c r="BF49" i="15"/>
  <c r="BG90" i="15"/>
  <c r="G178" i="15" s="1"/>
  <c r="EV241" i="9"/>
  <c r="FF233" i="9" s="1"/>
  <c r="BN114" i="37" s="1"/>
  <c r="EY237" i="9"/>
  <c r="BN95" i="15"/>
  <c r="EY238" i="9"/>
  <c r="L139" i="24"/>
  <c r="H164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C110" i="11"/>
  <c r="AD108" i="11" s="1"/>
  <c r="AH73" i="23"/>
  <c r="AD73" i="23"/>
  <c r="AP66" i="23"/>
  <c r="AD76" i="24"/>
  <c r="BX42" i="24" s="1"/>
  <c r="L135" i="24" s="1"/>
  <c r="K257" i="11"/>
  <c r="K258" i="11"/>
  <c r="I258" i="11" s="1"/>
  <c r="E258" i="11"/>
  <c r="K273" i="11"/>
  <c r="K274" i="11"/>
  <c r="I274" i="11" s="1"/>
  <c r="EY240" i="9"/>
  <c r="AK110" i="11"/>
  <c r="AL107" i="11" s="1"/>
  <c r="BJ113" i="20"/>
  <c r="J200" i="20" s="1"/>
  <c r="BF68" i="20"/>
  <c r="BF124" i="20"/>
  <c r="J98" i="24"/>
  <c r="J104" i="24" s="1"/>
  <c r="G163" i="15"/>
  <c r="CG130" i="9"/>
  <c r="BP111" i="20"/>
  <c r="BQ111" i="20" s="1"/>
  <c r="AD136" i="20"/>
  <c r="CD130" i="9"/>
  <c r="CC130" i="9"/>
  <c r="O12" i="13" s="1"/>
  <c r="CB218" i="9"/>
  <c r="CB206" i="9" s="1"/>
  <c r="BZ206" i="9" s="1"/>
  <c r="C284" i="11"/>
  <c r="E280" i="11" s="1"/>
  <c r="G280" i="11" s="1"/>
  <c r="H280" i="11" s="1"/>
  <c r="P83" i="24"/>
  <c r="F166" i="11"/>
  <c r="AS210" i="9"/>
  <c r="Q56" i="14" s="1"/>
  <c r="AB56" i="14" s="1"/>
  <c r="T129" i="15"/>
  <c r="AZ100" i="15"/>
  <c r="M101" i="24"/>
  <c r="M104" i="24" s="1"/>
  <c r="J163" i="15"/>
  <c r="AF143" i="20"/>
  <c r="W130" i="9"/>
  <c r="L12" i="13" s="1"/>
  <c r="BP99" i="20"/>
  <c r="BQ99" i="20" s="1"/>
  <c r="R128" i="20"/>
  <c r="EY239" i="9"/>
  <c r="EE156" i="9"/>
  <c r="EC156" i="9"/>
  <c r="D165" i="11"/>
  <c r="F165" i="11"/>
  <c r="BP42" i="23"/>
  <c r="AP218" i="9"/>
  <c r="AP206" i="9" s="1"/>
  <c r="AN206" i="9" s="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P22" i="24"/>
  <c r="BQ22" i="24" s="1"/>
  <c r="J115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Q218" i="9"/>
  <c r="BM220" i="9"/>
  <c r="R73" i="23"/>
  <c r="AP58" i="23"/>
  <c r="BM219" i="9"/>
  <c r="K218" i="9"/>
  <c r="L210" i="9"/>
  <c r="L218" i="9" s="1"/>
  <c r="AA140" i="37" l="1"/>
  <c r="AM133" i="37"/>
  <c r="BN211" i="9"/>
  <c r="D59" i="14" s="1"/>
  <c r="BG206" i="9"/>
  <c r="T140" i="37"/>
  <c r="AM129" i="37"/>
  <c r="BG100" i="37"/>
  <c r="G188" i="37" s="1"/>
  <c r="AZ59" i="37"/>
  <c r="AZ120" i="37"/>
  <c r="AL108" i="11"/>
  <c r="AW120" i="37"/>
  <c r="AW55" i="37"/>
  <c r="BG96" i="37"/>
  <c r="G184" i="37" s="1"/>
  <c r="P140" i="37"/>
  <c r="AL106" i="11"/>
  <c r="T141" i="36"/>
  <c r="AN130" i="36"/>
  <c r="E219" i="36" s="1"/>
  <c r="BA121" i="36"/>
  <c r="BH101" i="36"/>
  <c r="G189" i="36" s="1"/>
  <c r="BA60" i="36"/>
  <c r="AD109" i="11"/>
  <c r="BL114" i="15"/>
  <c r="BM115" i="36"/>
  <c r="BO115" i="36" s="1"/>
  <c r="AD107" i="11"/>
  <c r="AD110" i="11" s="1"/>
  <c r="EW240" i="9"/>
  <c r="AX121" i="36"/>
  <c r="AX56" i="36"/>
  <c r="BH97" i="36"/>
  <c r="G185" i="36" s="1"/>
  <c r="P141" i="36"/>
  <c r="EW239" i="9"/>
  <c r="J160" i="24"/>
  <c r="G9" i="29" s="1"/>
  <c r="J168" i="24"/>
  <c r="G17" i="29" s="1"/>
  <c r="EL106" i="9"/>
  <c r="EM105" i="9"/>
  <c r="EM106" i="9" s="1"/>
  <c r="EM101" i="9" s="1"/>
  <c r="EK101" i="9" s="1"/>
  <c r="EL119" i="9"/>
  <c r="EM118" i="9"/>
  <c r="EM119" i="9" s="1"/>
  <c r="EM114" i="9" s="1"/>
  <c r="EK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BN48" i="24" s="1"/>
  <c r="BN55" i="24" s="1"/>
  <c r="AJ68" i="23"/>
  <c r="P125" i="22"/>
  <c r="S69" i="24" s="1"/>
  <c r="AW96" i="22"/>
  <c r="BN114" i="15"/>
  <c r="R83" i="24"/>
  <c r="D164" i="11"/>
  <c r="D167" i="11" s="1"/>
  <c r="I257" i="11"/>
  <c r="DP241" i="9"/>
  <c r="DQ237" i="9"/>
  <c r="DQ241" i="9" s="1"/>
  <c r="DQ233" i="9" s="1"/>
  <c r="DO233" i="9" s="1"/>
  <c r="T128" i="22"/>
  <c r="AZ100" i="22"/>
  <c r="EW237" i="9"/>
  <c r="AW55" i="15"/>
  <c r="AW120" i="15"/>
  <c r="BG96" i="15"/>
  <c r="G184" i="15" s="1"/>
  <c r="EQ147" i="9"/>
  <c r="EE160" i="9"/>
  <c r="EH157" i="9" s="1"/>
  <c r="EI157" i="9" s="1"/>
  <c r="EJ157" i="9" s="1"/>
  <c r="EK157" i="9" s="1"/>
  <c r="EL157" i="9" s="1"/>
  <c r="EM157" i="9" s="1"/>
  <c r="EQ145" i="9"/>
  <c r="EQ248" i="9"/>
  <c r="ER248" i="9" s="1"/>
  <c r="AD83" i="24"/>
  <c r="AZ50" i="20"/>
  <c r="P140" i="15"/>
  <c r="AR210" i="9"/>
  <c r="AQ210" i="9"/>
  <c r="M17" i="13" s="1"/>
  <c r="AZ100" i="20"/>
  <c r="AZ124" i="20" s="1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T206" i="9" s="1"/>
  <c r="E163" i="37" l="1"/>
  <c r="AU86" i="36"/>
  <c r="E156" i="36"/>
  <c r="E164" i="36" s="1"/>
  <c r="EH159" i="9"/>
  <c r="EI159" i="9" s="1"/>
  <c r="EJ159" i="9" s="1"/>
  <c r="EK159" i="9" s="1"/>
  <c r="EL159" i="9" s="1"/>
  <c r="EM159" i="9" s="1"/>
  <c r="EH156" i="9"/>
  <c r="FB240" i="9"/>
  <c r="FC240" i="9" s="1"/>
  <c r="FD240" i="9" s="1"/>
  <c r="FE240" i="9" s="1"/>
  <c r="FF240" i="9" s="1"/>
  <c r="FG240" i="9" s="1"/>
  <c r="BG31" i="24"/>
  <c r="F171" i="24"/>
  <c r="BN114" i="22"/>
  <c r="BV49" i="24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L39" i="24"/>
  <c r="BQ39" i="24" s="1"/>
  <c r="J132" i="24" s="1"/>
  <c r="BQ48" i="24"/>
  <c r="J141" i="24" s="1"/>
  <c r="J173" i="11"/>
  <c r="J172" i="11"/>
  <c r="K172" i="11" s="1"/>
  <c r="F170" i="11"/>
  <c r="L163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C260" i="11" s="1"/>
  <c r="K259" i="11"/>
  <c r="E260" i="11"/>
  <c r="BI49" i="23"/>
  <c r="J133" i="23" s="1"/>
  <c r="BH55" i="23"/>
  <c r="W143" i="20"/>
  <c r="AP132" i="20"/>
  <c r="H221" i="20" s="1"/>
  <c r="AM131" i="22"/>
  <c r="X139" i="22"/>
  <c r="AA75" i="24"/>
  <c r="AP75" i="24" s="1"/>
  <c r="W73" i="23"/>
  <c r="AP62" i="23"/>
  <c r="C56" i="14"/>
  <c r="F25" i="14"/>
  <c r="BG85" i="22"/>
  <c r="G172" i="22" s="1"/>
  <c r="AT120" i="22"/>
  <c r="AT44" i="22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83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9" i="24"/>
  <c r="AP79" i="24" s="1"/>
  <c r="W72" i="24"/>
  <c r="AP72" i="24" s="1"/>
  <c r="DC237" i="9"/>
  <c r="C62" i="14" s="1"/>
  <c r="DT237" i="9"/>
  <c r="AJ138" i="20"/>
  <c r="BG117" i="20"/>
  <c r="CZ237" i="9"/>
  <c r="P139" i="22"/>
  <c r="FB237" i="9"/>
  <c r="S143" i="20"/>
  <c r="AJ73" i="23"/>
  <c r="AP68" i="23"/>
  <c r="AJ78" i="24"/>
  <c r="AP78" i="24" s="1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J35" i="24"/>
  <c r="BJ55" i="24" s="1"/>
  <c r="BX49" i="24" l="1"/>
  <c r="L142" i="24" s="1"/>
  <c r="F164" i="24"/>
  <c r="BG55" i="24"/>
  <c r="EH160" i="9"/>
  <c r="AT44" i="37"/>
  <c r="BG85" i="37"/>
  <c r="G173" i="37" s="1"/>
  <c r="BQ31" i="24"/>
  <c r="J124" i="24" s="1"/>
  <c r="BH86" i="36"/>
  <c r="G174" i="36" s="1"/>
  <c r="AU45" i="36"/>
  <c r="J167" i="24"/>
  <c r="G16" i="29" s="1"/>
  <c r="F167" i="24"/>
  <c r="J164" i="24"/>
  <c r="G13" i="29" s="1"/>
  <c r="J171" i="24"/>
  <c r="G20" i="29" s="1"/>
  <c r="J170" i="24"/>
  <c r="G19" i="29" s="1"/>
  <c r="BG72" i="20"/>
  <c r="BG124" i="20"/>
  <c r="BJ117" i="20"/>
  <c r="J204" i="20" s="1"/>
  <c r="AC195" i="9"/>
  <c r="C215" i="22"/>
  <c r="E10" i="29" s="1"/>
  <c r="F15" i="17"/>
  <c r="G7" i="13"/>
  <c r="G8" i="13" s="1"/>
  <c r="FE145" i="9"/>
  <c r="AW44" i="20"/>
  <c r="BJ89" i="20"/>
  <c r="J176" i="20" s="1"/>
  <c r="F229" i="9"/>
  <c r="H226" i="9"/>
  <c r="AJ143" i="20"/>
  <c r="AP138" i="20"/>
  <c r="H227" i="20" s="1"/>
  <c r="BD20" i="24"/>
  <c r="BG85" i="15"/>
  <c r="G173" i="15" s="1"/>
  <c r="AT44" i="15"/>
  <c r="AJ83" i="24"/>
  <c r="AK143" i="20"/>
  <c r="AP139" i="20"/>
  <c r="H228" i="20" s="1"/>
  <c r="BI46" i="20"/>
  <c r="BJ91" i="20"/>
  <c r="J178" i="20" s="1"/>
  <c r="H96" i="24"/>
  <c r="H104" i="24" s="1"/>
  <c r="E163" i="15"/>
  <c r="FE147" i="9"/>
  <c r="BT236" i="9"/>
  <c r="M275" i="11"/>
  <c r="J268" i="11" s="1"/>
  <c r="BT218" i="11"/>
  <c r="W83" i="24"/>
  <c r="C275" i="11"/>
  <c r="C276" i="11" s="1"/>
  <c r="K275" i="11"/>
  <c r="AK83" i="24"/>
  <c r="FB146" i="9"/>
  <c r="BG114" i="22"/>
  <c r="G201" i="22" s="1"/>
  <c r="BF73" i="22"/>
  <c r="BF120" i="22"/>
  <c r="BP49" i="24"/>
  <c r="BQ49" i="24" s="1"/>
  <c r="J142" i="24" s="1"/>
  <c r="I259" i="11"/>
  <c r="I260" i="11" s="1"/>
  <c r="K260" i="11"/>
  <c r="C170" i="11"/>
  <c r="EB144" i="9" s="1"/>
  <c r="F171" i="11"/>
  <c r="F172" i="11" s="1"/>
  <c r="I173" i="11"/>
  <c r="BQ35" i="24"/>
  <c r="J128" i="24" s="1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EK152" i="9" s="1"/>
  <c r="AA83" i="24"/>
  <c r="EE144" i="9" l="1"/>
  <c r="BI118" i="20"/>
  <c r="FE146" i="9"/>
  <c r="BT237" i="9"/>
  <c r="BT238" i="9" s="1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61" i="24"/>
  <c r="H181" i="24" s="1" a="1"/>
  <c r="H181" i="24" s="1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Q20" i="24"/>
  <c r="J113" i="24" s="1"/>
  <c r="ER143" i="9"/>
  <c r="ES143" i="9" s="1"/>
  <c r="FG237" i="9"/>
  <c r="FG241" i="9" s="1"/>
  <c r="FG233" i="9" s="1"/>
  <c r="FF241" i="9"/>
  <c r="C171" i="11"/>
  <c r="C172" i="11" s="1"/>
  <c r="D170" i="11" s="1"/>
  <c r="I174" i="11"/>
  <c r="N166" i="11"/>
  <c r="BQ218" i="11"/>
  <c r="CE202" i="11"/>
  <c r="BO118" i="20" l="1"/>
  <c r="BQ118" i="20" s="1"/>
  <c r="ER144" i="9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I176" i="11"/>
  <c r="EE145" i="9"/>
  <c r="EQ144" i="9"/>
  <c r="K174" i="11" l="1"/>
  <c r="EQ146" i="9"/>
  <c r="EB145" i="9"/>
  <c r="FE148" i="9"/>
  <c r="EE146" i="9"/>
  <c r="EH145" i="9" s="1"/>
  <c r="EI145" i="9" s="1"/>
  <c r="EJ145" i="9" s="1"/>
  <c r="EK145" i="9" s="1"/>
  <c r="EL145" i="9" s="1"/>
  <c r="BQ238" i="9"/>
  <c r="CL257" i="9"/>
  <c r="CF221" i="9"/>
  <c r="CG221" i="9" s="1"/>
  <c r="CO258" i="9"/>
  <c r="CR257" i="9" s="1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H159" i="36" l="1"/>
  <c r="H164" i="36" s="1"/>
  <c r="AU89" i="36"/>
  <c r="CA232" i="9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B146" i="9"/>
  <c r="EC145" i="9" s="1"/>
  <c r="CL258" i="9"/>
  <c r="CM257" i="9" s="1"/>
  <c r="AH232" i="9"/>
  <c r="AH231" i="9"/>
  <c r="N227" i="9"/>
  <c r="Q226" i="9" s="1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BZ232" i="9" s="1"/>
  <c r="BB86" i="37" s="1"/>
  <c r="BB45" i="37" l="1"/>
  <c r="BB120" i="37"/>
  <c r="BB86" i="15"/>
  <c r="BC87" i="36"/>
  <c r="AU48" i="36"/>
  <c r="BH89" i="36"/>
  <c r="G177" i="36" s="1"/>
  <c r="Y220" i="9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Z221" i="9"/>
  <c r="BD23" i="24"/>
  <c r="BQ23" i="24" s="1"/>
  <c r="J116" i="24" s="1"/>
  <c r="AT47" i="15"/>
  <c r="BG88" i="15"/>
  <c r="G176" i="15" s="1"/>
  <c r="R226" i="9"/>
  <c r="S226" i="9" s="1"/>
  <c r="AH234" i="9"/>
  <c r="AK233" i="9" s="1"/>
  <c r="AL233" i="9" s="1"/>
  <c r="AM233" i="9" s="1"/>
  <c r="AN233" i="9" s="1"/>
  <c r="AO233" i="9" s="1"/>
  <c r="AI234" i="9" a="1"/>
  <c r="AI234" i="9" s="1"/>
  <c r="AK231" i="9"/>
  <c r="Z218" i="9"/>
  <c r="AA218" i="9" s="1"/>
  <c r="Z220" i="9"/>
  <c r="CS255" i="9"/>
  <c r="CT255" i="9" s="1"/>
  <c r="CU255" i="9" s="1"/>
  <c r="CV255" i="9" s="1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9" i="24"/>
  <c r="K104" i="24" s="1"/>
  <c r="H163" i="15"/>
  <c r="CV251" i="9"/>
  <c r="CM256" i="9"/>
  <c r="CM255" i="9"/>
  <c r="EL140" i="9"/>
  <c r="EC144" i="9"/>
  <c r="BL21" i="24"/>
  <c r="BL55" i="24" s="1"/>
  <c r="BB45" i="15"/>
  <c r="BB120" i="15"/>
  <c r="CM258" i="9" l="1"/>
  <c r="BC121" i="36"/>
  <c r="BC46" i="36"/>
  <c r="BG87" i="36"/>
  <c r="AF135" i="36"/>
  <c r="BN113" i="36"/>
  <c r="BO113" i="36" s="1"/>
  <c r="F169" i="24"/>
  <c r="D61" i="14"/>
  <c r="G26" i="14"/>
  <c r="AA220" i="9"/>
  <c r="AI67" i="23"/>
  <c r="BO47" i="23"/>
  <c r="BP47" i="23" s="1"/>
  <c r="CV258" i="9"/>
  <c r="CW255" i="9"/>
  <c r="CW258" i="9" s="1"/>
  <c r="CW251" i="9" s="1"/>
  <c r="CU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EK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Q241" i="9" s="1"/>
  <c r="R241" i="9" s="1"/>
  <c r="S241" i="9" s="1"/>
  <c r="T241" i="9" s="1"/>
  <c r="U241" i="9" s="1"/>
  <c r="F156" i="37" l="1"/>
  <c r="BF86" i="37"/>
  <c r="BM112" i="37"/>
  <c r="BN112" i="37" s="1"/>
  <c r="AF134" i="37"/>
  <c r="AF140" i="37" s="1"/>
  <c r="AM134" i="37"/>
  <c r="BF45" i="37"/>
  <c r="BF120" i="37"/>
  <c r="AF141" i="36"/>
  <c r="AN135" i="36"/>
  <c r="E224" i="36" s="1"/>
  <c r="AK139" i="36"/>
  <c r="BN118" i="36"/>
  <c r="BO118" i="36" s="1"/>
  <c r="BG121" i="36"/>
  <c r="BG46" i="36"/>
  <c r="G225" i="1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7" i="11"/>
  <c r="C218" i="11" s="1"/>
  <c r="K217" i="11"/>
  <c r="BO52" i="23"/>
  <c r="BP52" i="23" s="1"/>
  <c r="AN71" i="23"/>
  <c r="AI77" i="24"/>
  <c r="BX47" i="24" s="1"/>
  <c r="L140" i="24" s="1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N112" i="15"/>
  <c r="BP21" i="24"/>
  <c r="BP55" i="24" s="1"/>
  <c r="BF45" i="15"/>
  <c r="BF120" i="15"/>
  <c r="Q139" i="22"/>
  <c r="E170" i="22" s="1" a="1"/>
  <c r="AM125" i="22"/>
  <c r="FC149" i="9"/>
  <c r="AI73" i="23"/>
  <c r="AP67" i="23"/>
  <c r="FL149" i="9"/>
  <c r="FM145" i="9"/>
  <c r="FM149" i="9" s="1"/>
  <c r="FM141" i="9" s="1"/>
  <c r="FK141" i="9" s="1"/>
  <c r="T59" i="23"/>
  <c r="BO32" i="23"/>
  <c r="BP32" i="23" s="1"/>
  <c r="AK138" i="15"/>
  <c r="BM117" i="15"/>
  <c r="EQ131" i="9"/>
  <c r="Q65" i="14" s="1"/>
  <c r="AB65" i="14" s="1"/>
  <c r="E218" i="11"/>
  <c r="BM117" i="37" l="1"/>
  <c r="BN117" i="37" s="1"/>
  <c r="AK138" i="37"/>
  <c r="AK140" i="37"/>
  <c r="AM138" i="37"/>
  <c r="AK141" i="36"/>
  <c r="AN139" i="36"/>
  <c r="E228" i="36" s="1"/>
  <c r="F173" i="24"/>
  <c r="J169" i="24"/>
  <c r="AE233" i="9"/>
  <c r="AE234" i="9" s="1"/>
  <c r="AF231" i="9" s="1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BN117" i="15"/>
  <c r="L240" i="9"/>
  <c r="L242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81" i="24"/>
  <c r="BX52" i="24" s="1"/>
  <c r="L145" i="24" s="1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83" i="24"/>
  <c r="G18" i="29"/>
  <c r="AI143" i="20"/>
  <c r="AP137" i="20"/>
  <c r="H226" i="20" s="1"/>
  <c r="L102" i="23" a="1"/>
  <c r="E224" i="11"/>
  <c r="E223" i="11"/>
  <c r="C231" i="11"/>
  <c r="N223" i="11" s="1"/>
  <c r="T73" i="23"/>
  <c r="AP59" i="23"/>
  <c r="D65" i="14"/>
  <c r="E35" i="14"/>
  <c r="I217" i="11"/>
  <c r="I218" i="11" s="1"/>
  <c r="K218" i="11"/>
  <c r="K242" i="9" l="1"/>
  <c r="U236" i="9" s="1"/>
  <c r="AU87" i="36"/>
  <c r="F157" i="36"/>
  <c r="F164" i="36" s="1"/>
  <c r="C172" i="36" s="1" a="1"/>
  <c r="J173" i="24"/>
  <c r="G22" i="29" s="1"/>
  <c r="M223" i="11"/>
  <c r="O223" i="11" s="1"/>
  <c r="P223" i="11" s="1"/>
  <c r="L128" i="23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H102" i="23" a="1"/>
  <c r="K206" i="22"/>
  <c r="U242" i="9"/>
  <c r="V240" i="9"/>
  <c r="V242" i="9" s="1"/>
  <c r="V236" i="9" s="1"/>
  <c r="T236" i="9" s="1"/>
  <c r="AT86" i="37" s="1"/>
  <c r="AN83" i="24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AN143" i="20"/>
  <c r="AP141" i="20"/>
  <c r="H230" i="20" s="1"/>
  <c r="AF233" i="9"/>
  <c r="AN227" i="9" l="1"/>
  <c r="F163" i="37"/>
  <c r="AF234" i="9"/>
  <c r="Q127" i="36"/>
  <c r="CF84" i="36" s="1" a="1"/>
  <c r="CF84" i="36" s="1"/>
  <c r="BN98" i="36"/>
  <c r="BO98" i="36" s="1"/>
  <c r="I172" i="36" s="1" a="1"/>
  <c r="C200" i="36"/>
  <c r="C180" i="36"/>
  <c r="C190" i="36"/>
  <c r="C185" i="36"/>
  <c r="C204" i="36"/>
  <c r="C199" i="36"/>
  <c r="C179" i="36"/>
  <c r="C198" i="36"/>
  <c r="C178" i="36"/>
  <c r="C197" i="36"/>
  <c r="C177" i="36"/>
  <c r="C184" i="36"/>
  <c r="C202" i="36"/>
  <c r="C196" i="36"/>
  <c r="C176" i="36"/>
  <c r="C206" i="36"/>
  <c r="C195" i="36"/>
  <c r="C175" i="36"/>
  <c r="C189" i="36"/>
  <c r="C194" i="36"/>
  <c r="C174" i="36"/>
  <c r="C193" i="36"/>
  <c r="C173" i="36"/>
  <c r="C183" i="36"/>
  <c r="C181" i="36"/>
  <c r="C192" i="36"/>
  <c r="C172" i="36"/>
  <c r="C187" i="36"/>
  <c r="C186" i="36"/>
  <c r="C182" i="36"/>
  <c r="C191" i="36"/>
  <c r="C188" i="36"/>
  <c r="C203" i="36"/>
  <c r="C201" i="36"/>
  <c r="C207" i="36"/>
  <c r="C205" i="36"/>
  <c r="AU46" i="36"/>
  <c r="BH87" i="36"/>
  <c r="G175" i="36" s="1"/>
  <c r="AU121" i="36"/>
  <c r="C214" i="36" s="1" a="1"/>
  <c r="BM97" i="15"/>
  <c r="Q126" i="15"/>
  <c r="H174" i="20" a="1"/>
  <c r="P226" i="9"/>
  <c r="T226" i="9" s="1"/>
  <c r="U226" i="9" s="1"/>
  <c r="P144" i="9"/>
  <c r="T144" i="9" s="1"/>
  <c r="U144" i="9" s="1"/>
  <c r="P63" i="9"/>
  <c r="T63" i="9" s="1"/>
  <c r="U63" i="9" s="1"/>
  <c r="I159" i="20"/>
  <c r="I166" i="20" s="1"/>
  <c r="AW90" i="20"/>
  <c r="I97" i="24"/>
  <c r="I104" i="24" s="1"/>
  <c r="F111" i="24" s="1" a="1"/>
  <c r="F163" i="15"/>
  <c r="C171" i="15" s="1" a="1"/>
  <c r="N113" i="23"/>
  <c r="N129" i="23"/>
  <c r="BD21" i="24"/>
  <c r="BD55" i="24" s="1"/>
  <c r="AT45" i="15"/>
  <c r="BG86" i="15"/>
  <c r="G174" i="15" s="1"/>
  <c r="AT120" i="15"/>
  <c r="C213" i="15" s="1" a="1"/>
  <c r="H136" i="23"/>
  <c r="N136" i="23" s="1"/>
  <c r="H126" i="23"/>
  <c r="N126" i="23" s="1"/>
  <c r="H116" i="23"/>
  <c r="N116" i="23" s="1"/>
  <c r="H106" i="23"/>
  <c r="H135" i="23"/>
  <c r="N135" i="23" s="1"/>
  <c r="H125" i="23"/>
  <c r="N125" i="23" s="1"/>
  <c r="H115" i="23"/>
  <c r="N115" i="23" s="1"/>
  <c r="H105" i="23"/>
  <c r="H134" i="23"/>
  <c r="N134" i="23" s="1"/>
  <c r="H124" i="23"/>
  <c r="N124" i="23" s="1"/>
  <c r="H114" i="23"/>
  <c r="N114" i="23" s="1"/>
  <c r="H104" i="23"/>
  <c r="N104" i="23" s="1"/>
  <c r="H137" i="23"/>
  <c r="N137" i="23" s="1"/>
  <c r="H121" i="23"/>
  <c r="N121" i="23" s="1"/>
  <c r="H108" i="23"/>
  <c r="N108" i="23" s="1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N128" i="23" s="1"/>
  <c r="H112" i="23"/>
  <c r="N112" i="23" s="1"/>
  <c r="H111" i="23"/>
  <c r="N111" i="23" s="1"/>
  <c r="H110" i="23"/>
  <c r="N110" i="23" s="1"/>
  <c r="H109" i="23"/>
  <c r="N109" i="23" s="1"/>
  <c r="H103" i="23"/>
  <c r="N103" i="23" s="1"/>
  <c r="H132" i="23"/>
  <c r="N132" i="23" s="1"/>
  <c r="H127" i="23"/>
  <c r="N127" i="23" s="1"/>
  <c r="H123" i="23"/>
  <c r="N123" i="23" s="1"/>
  <c r="H122" i="23"/>
  <c r="N122" i="23" s="1"/>
  <c r="H119" i="23"/>
  <c r="N119" i="23" s="1"/>
  <c r="BM97" i="37" l="1"/>
  <c r="BN97" i="37" s="1"/>
  <c r="I171" i="37" s="1" a="1"/>
  <c r="Q126" i="37"/>
  <c r="AT45" i="37"/>
  <c r="BG86" i="37"/>
  <c r="G174" i="37" s="1"/>
  <c r="I204" i="37"/>
  <c r="I184" i="37"/>
  <c r="I203" i="37"/>
  <c r="I183" i="37"/>
  <c r="I202" i="37"/>
  <c r="I182" i="37"/>
  <c r="I201" i="37"/>
  <c r="I181" i="37"/>
  <c r="I200" i="37"/>
  <c r="I180" i="37"/>
  <c r="I199" i="37"/>
  <c r="I179" i="37"/>
  <c r="I198" i="37"/>
  <c r="I178" i="37"/>
  <c r="I197" i="37"/>
  <c r="I177" i="37"/>
  <c r="I196" i="37"/>
  <c r="I176" i="37"/>
  <c r="I195" i="37"/>
  <c r="I175" i="37"/>
  <c r="I194" i="37"/>
  <c r="I174" i="37"/>
  <c r="I191" i="37"/>
  <c r="I171" i="37"/>
  <c r="I193" i="37"/>
  <c r="I173" i="37"/>
  <c r="I192" i="37"/>
  <c r="I172" i="37"/>
  <c r="I190" i="37"/>
  <c r="I189" i="37"/>
  <c r="I188" i="37"/>
  <c r="I187" i="37"/>
  <c r="I206" i="37"/>
  <c r="I186" i="37"/>
  <c r="I205" i="37"/>
  <c r="I185" i="37"/>
  <c r="Q140" i="37"/>
  <c r="E171" i="37" s="1" a="1"/>
  <c r="AM126" i="37"/>
  <c r="DR84" i="36"/>
  <c r="FG125" i="36" s="1"/>
  <c r="DR85" i="36"/>
  <c r="FG126" i="36" s="1"/>
  <c r="FH126" i="36" s="1"/>
  <c r="DR86" i="36"/>
  <c r="FG127" i="36" s="1"/>
  <c r="FH127" i="36" s="1"/>
  <c r="DR87" i="36"/>
  <c r="FG128" i="36" s="1"/>
  <c r="FH128" i="36" s="1"/>
  <c r="DR88" i="36"/>
  <c r="FG129" i="36" s="1"/>
  <c r="FH129" i="36" s="1"/>
  <c r="DR89" i="36"/>
  <c r="FG130" i="36" s="1"/>
  <c r="FH130" i="36" s="1"/>
  <c r="DR90" i="36"/>
  <c r="FG131" i="36" s="1"/>
  <c r="FH131" i="36" s="1"/>
  <c r="DR91" i="36"/>
  <c r="FG132" i="36" s="1"/>
  <c r="FH132" i="36" s="1"/>
  <c r="DR92" i="36"/>
  <c r="FG133" i="36" s="1"/>
  <c r="FH133" i="36" s="1"/>
  <c r="DR93" i="36"/>
  <c r="FG134" i="36" s="1"/>
  <c r="FH134" i="36" s="1"/>
  <c r="DR94" i="36"/>
  <c r="FG135" i="36" s="1"/>
  <c r="FH135" i="36" s="1"/>
  <c r="DR95" i="36"/>
  <c r="FG136" i="36" s="1"/>
  <c r="FH136" i="36" s="1"/>
  <c r="DR96" i="36"/>
  <c r="FG137" i="36" s="1"/>
  <c r="FH137" i="36" s="1"/>
  <c r="DR97" i="36"/>
  <c r="FG138" i="36" s="1"/>
  <c r="FH138" i="36" s="1"/>
  <c r="DR98" i="36"/>
  <c r="FG139" i="36" s="1"/>
  <c r="FH139" i="36" s="1"/>
  <c r="I205" i="36"/>
  <c r="I185" i="36"/>
  <c r="I204" i="36"/>
  <c r="I184" i="36"/>
  <c r="I192" i="36"/>
  <c r="I189" i="36"/>
  <c r="I206" i="36"/>
  <c r="I203" i="36"/>
  <c r="I183" i="36"/>
  <c r="I190" i="36"/>
  <c r="I202" i="36"/>
  <c r="I182" i="36"/>
  <c r="I174" i="36"/>
  <c r="I193" i="36"/>
  <c r="I201" i="36"/>
  <c r="I181" i="36"/>
  <c r="I194" i="36"/>
  <c r="I200" i="36"/>
  <c r="I180" i="36"/>
  <c r="I173" i="36"/>
  <c r="I207" i="36"/>
  <c r="I199" i="36"/>
  <c r="I179" i="36"/>
  <c r="I195" i="36"/>
  <c r="I198" i="36"/>
  <c r="I178" i="36"/>
  <c r="I175" i="36"/>
  <c r="I197" i="36"/>
  <c r="I177" i="36"/>
  <c r="I196" i="36"/>
  <c r="I176" i="36"/>
  <c r="I172" i="36"/>
  <c r="I187" i="36"/>
  <c r="I186" i="36"/>
  <c r="I191" i="36"/>
  <c r="I188" i="36"/>
  <c r="C218" i="36"/>
  <c r="G218" i="36" s="1"/>
  <c r="C220" i="36"/>
  <c r="G220" i="36" s="1"/>
  <c r="C217" i="36"/>
  <c r="G217" i="36" s="1"/>
  <c r="C228" i="36"/>
  <c r="G228" i="36" s="1"/>
  <c r="C226" i="36"/>
  <c r="G226" i="36" s="1"/>
  <c r="C216" i="36"/>
  <c r="C219" i="36"/>
  <c r="G219" i="36" s="1"/>
  <c r="C215" i="36"/>
  <c r="G215" i="36" s="1"/>
  <c r="C224" i="36"/>
  <c r="G224" i="36" s="1"/>
  <c r="C214" i="36"/>
  <c r="G214" i="36" s="1"/>
  <c r="C221" i="36"/>
  <c r="G221" i="36" s="1"/>
  <c r="C227" i="36"/>
  <c r="G227" i="36" s="1"/>
  <c r="C225" i="36"/>
  <c r="G225" i="36" s="1"/>
  <c r="C223" i="36"/>
  <c r="G223" i="36" s="1"/>
  <c r="C222" i="36"/>
  <c r="G222" i="36" s="1"/>
  <c r="Q141" i="36"/>
  <c r="E172" i="36" s="1" a="1"/>
  <c r="AN127" i="36"/>
  <c r="E216" i="36" s="1"/>
  <c r="F161" i="24"/>
  <c r="N138" i="23"/>
  <c r="V226" i="9"/>
  <c r="V227" i="9" s="1"/>
  <c r="V222" i="9" s="1"/>
  <c r="T222" i="9" s="1"/>
  <c r="U227" i="9"/>
  <c r="U145" i="9"/>
  <c r="V144" i="9"/>
  <c r="V145" i="9" s="1"/>
  <c r="V140" i="9" s="1"/>
  <c r="T140" i="9" s="1"/>
  <c r="AS88" i="37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Q21" i="24"/>
  <c r="J114" i="24" s="1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T59" i="9" s="1"/>
  <c r="AR88" i="37" s="1"/>
  <c r="F137" i="24"/>
  <c r="F127" i="24"/>
  <c r="F117" i="24"/>
  <c r="F146" i="24"/>
  <c r="F136" i="24"/>
  <c r="F126" i="24"/>
  <c r="F116" i="24"/>
  <c r="F140" i="24"/>
  <c r="F130" i="24"/>
  <c r="F120" i="24"/>
  <c r="F111" i="24"/>
  <c r="F139" i="24"/>
  <c r="F129" i="24"/>
  <c r="F119" i="24"/>
  <c r="F134" i="24"/>
  <c r="F118" i="24"/>
  <c r="F133" i="24"/>
  <c r="F115" i="24"/>
  <c r="F145" i="24"/>
  <c r="F131" i="24"/>
  <c r="F113" i="24"/>
  <c r="F143" i="24"/>
  <c r="F125" i="24"/>
  <c r="F142" i="24"/>
  <c r="F124" i="24"/>
  <c r="F141" i="24"/>
  <c r="F123" i="24"/>
  <c r="F144" i="24"/>
  <c r="F138" i="24"/>
  <c r="F135" i="24"/>
  <c r="F132" i="24"/>
  <c r="F122" i="24"/>
  <c r="F114" i="24"/>
  <c r="F128" i="24"/>
  <c r="F121" i="24"/>
  <c r="F112" i="24"/>
  <c r="T69" i="24"/>
  <c r="BX32" i="24" s="1"/>
  <c r="Q140" i="15"/>
  <c r="E171" i="15" s="1" a="1"/>
  <c r="AM126" i="15"/>
  <c r="E215" i="15" s="1"/>
  <c r="AW45" i="20"/>
  <c r="BJ90" i="20"/>
  <c r="J177" i="20" s="1"/>
  <c r="BN97" i="15"/>
  <c r="I171" i="15" s="1" a="1"/>
  <c r="AS47" i="37" l="1"/>
  <c r="AS120" i="37"/>
  <c r="H158" i="37"/>
  <c r="H163" i="37" s="1"/>
  <c r="C171" i="37" s="1" a="1"/>
  <c r="AT88" i="37"/>
  <c r="AR47" i="37"/>
  <c r="AR120" i="37"/>
  <c r="BG88" i="37"/>
  <c r="G176" i="37" s="1"/>
  <c r="E202" i="37"/>
  <c r="E182" i="37"/>
  <c r="E201" i="37"/>
  <c r="E181" i="37"/>
  <c r="E200" i="37"/>
  <c r="E180" i="37"/>
  <c r="E199" i="37"/>
  <c r="E179" i="37"/>
  <c r="E198" i="37"/>
  <c r="E178" i="37"/>
  <c r="E197" i="37"/>
  <c r="E177" i="37"/>
  <c r="E196" i="37"/>
  <c r="E176" i="37"/>
  <c r="E195" i="37"/>
  <c r="E175" i="37"/>
  <c r="E194" i="37"/>
  <c r="E174" i="37"/>
  <c r="E193" i="37"/>
  <c r="E173" i="37"/>
  <c r="E192" i="37"/>
  <c r="E172" i="37"/>
  <c r="E189" i="37"/>
  <c r="E191" i="37"/>
  <c r="E171" i="37"/>
  <c r="E190" i="37"/>
  <c r="E188" i="37"/>
  <c r="E187" i="37"/>
  <c r="E206" i="37"/>
  <c r="E186" i="37"/>
  <c r="E205" i="37"/>
  <c r="E185" i="37"/>
  <c r="E204" i="37"/>
  <c r="E184" i="37"/>
  <c r="E203" i="37"/>
  <c r="E183" i="37"/>
  <c r="FH125" i="36"/>
  <c r="GI120" i="36"/>
  <c r="GJ120" i="36" s="1"/>
  <c r="G216" i="36"/>
  <c r="G215" i="15"/>
  <c r="E203" i="36"/>
  <c r="K203" i="36" s="1"/>
  <c r="E183" i="36"/>
  <c r="K183" i="36" s="1"/>
  <c r="E193" i="36"/>
  <c r="K193" i="36" s="1"/>
  <c r="E189" i="36"/>
  <c r="K189" i="36" s="1"/>
  <c r="E202" i="36"/>
  <c r="K202" i="36" s="1"/>
  <c r="E182" i="36"/>
  <c r="K182" i="36" s="1"/>
  <c r="E206" i="36"/>
  <c r="K206" i="36" s="1"/>
  <c r="E201" i="36"/>
  <c r="K201" i="36" s="1"/>
  <c r="E181" i="36"/>
  <c r="K181" i="36" s="1"/>
  <c r="E187" i="36"/>
  <c r="K187" i="36" s="1"/>
  <c r="E200" i="36"/>
  <c r="K200" i="36" s="1"/>
  <c r="E180" i="36"/>
  <c r="K180" i="36" s="1"/>
  <c r="E184" i="36"/>
  <c r="K184" i="36" s="1"/>
  <c r="E199" i="36"/>
  <c r="K199" i="36" s="1"/>
  <c r="E179" i="36"/>
  <c r="K179" i="36" s="1"/>
  <c r="E190" i="36"/>
  <c r="K190" i="36" s="1"/>
  <c r="E204" i="36"/>
  <c r="K204" i="36" s="1"/>
  <c r="E198" i="36"/>
  <c r="K198" i="36" s="1"/>
  <c r="E178" i="36"/>
  <c r="K178" i="36" s="1"/>
  <c r="E197" i="36"/>
  <c r="K197" i="36" s="1"/>
  <c r="E177" i="36"/>
  <c r="K177" i="36" s="1"/>
  <c r="E196" i="36"/>
  <c r="K196" i="36" s="1"/>
  <c r="E176" i="36"/>
  <c r="K176" i="36" s="1"/>
  <c r="E191" i="36"/>
  <c r="K191" i="36" s="1"/>
  <c r="E185" i="36"/>
  <c r="K185" i="36" s="1"/>
  <c r="E195" i="36"/>
  <c r="K195" i="36" s="1"/>
  <c r="E175" i="36"/>
  <c r="K175" i="36" s="1"/>
  <c r="E188" i="36"/>
  <c r="K188" i="36" s="1"/>
  <c r="E186" i="36"/>
  <c r="K186" i="36" s="1"/>
  <c r="E194" i="36"/>
  <c r="K194" i="36" s="1"/>
  <c r="E174" i="36"/>
  <c r="K174" i="36" s="1"/>
  <c r="E173" i="36"/>
  <c r="K173" i="36" s="1"/>
  <c r="E172" i="36"/>
  <c r="K172" i="36" s="1"/>
  <c r="E207" i="36"/>
  <c r="K207" i="36" s="1"/>
  <c r="E205" i="36"/>
  <c r="K205" i="36" s="1"/>
  <c r="E192" i="36"/>
  <c r="K192" i="36" s="1"/>
  <c r="J161" i="24"/>
  <c r="G10" i="29" s="1"/>
  <c r="L125" i="24"/>
  <c r="L170" i="24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AV92" i="20"/>
  <c r="AA131" i="9"/>
  <c r="AA130" i="9"/>
  <c r="X130" i="9"/>
  <c r="E204" i="15"/>
  <c r="E194" i="15"/>
  <c r="E184" i="15"/>
  <c r="E174" i="15"/>
  <c r="E202" i="15"/>
  <c r="E192" i="15"/>
  <c r="E182" i="15"/>
  <c r="E172" i="15"/>
  <c r="E201" i="15"/>
  <c r="E191" i="15"/>
  <c r="E181" i="15"/>
  <c r="E197" i="15"/>
  <c r="E187" i="15"/>
  <c r="E177" i="15"/>
  <c r="E206" i="15"/>
  <c r="E196" i="15"/>
  <c r="E186" i="15"/>
  <c r="E176" i="15"/>
  <c r="E205" i="15"/>
  <c r="E195" i="15"/>
  <c r="E185" i="15"/>
  <c r="E175" i="15"/>
  <c r="E203" i="15"/>
  <c r="E179" i="15"/>
  <c r="E200" i="15"/>
  <c r="E178" i="15"/>
  <c r="E199" i="15"/>
  <c r="E173" i="15"/>
  <c r="E198" i="15"/>
  <c r="E171" i="15"/>
  <c r="E193" i="15"/>
  <c r="E190" i="15"/>
  <c r="E189" i="15"/>
  <c r="E188" i="15"/>
  <c r="E183" i="15"/>
  <c r="E180" i="15"/>
  <c r="F24" i="17"/>
  <c r="G24" i="17" s="1"/>
  <c r="AW92" i="20"/>
  <c r="Y210" i="9"/>
  <c r="AB211" i="9"/>
  <c r="AB210" i="9"/>
  <c r="T83" i="24"/>
  <c r="I206" i="15"/>
  <c r="I196" i="15"/>
  <c r="I186" i="15"/>
  <c r="I176" i="15"/>
  <c r="I204" i="15"/>
  <c r="I194" i="15"/>
  <c r="I184" i="15"/>
  <c r="I174" i="15"/>
  <c r="I203" i="15"/>
  <c r="I193" i="15"/>
  <c r="I183" i="15"/>
  <c r="I173" i="15"/>
  <c r="I199" i="15"/>
  <c r="I189" i="15"/>
  <c r="I179" i="15"/>
  <c r="I198" i="15"/>
  <c r="I188" i="15"/>
  <c r="I178" i="15"/>
  <c r="I197" i="15"/>
  <c r="I187" i="15"/>
  <c r="I177" i="15"/>
  <c r="I191" i="15"/>
  <c r="I190" i="15"/>
  <c r="I185" i="15"/>
  <c r="I182" i="15"/>
  <c r="K182" i="15" s="1"/>
  <c r="I205" i="15"/>
  <c r="I181" i="15"/>
  <c r="I202" i="15"/>
  <c r="I180" i="15"/>
  <c r="I201" i="15"/>
  <c r="I175" i="15"/>
  <c r="I200" i="15"/>
  <c r="I172" i="15"/>
  <c r="I195" i="15"/>
  <c r="I192" i="15"/>
  <c r="I171" i="15"/>
  <c r="K192" i="37" l="1"/>
  <c r="K171" i="37"/>
  <c r="K173" i="37"/>
  <c r="K203" i="37"/>
  <c r="K195" i="37"/>
  <c r="K190" i="37"/>
  <c r="K184" i="37"/>
  <c r="K176" i="37"/>
  <c r="K175" i="37"/>
  <c r="K196" i="37"/>
  <c r="K197" i="37"/>
  <c r="K178" i="37"/>
  <c r="AT47" i="37"/>
  <c r="AT120" i="37"/>
  <c r="C171" i="37"/>
  <c r="C190" i="37"/>
  <c r="C189" i="37"/>
  <c r="K189" i="37" s="1"/>
  <c r="C199" i="37"/>
  <c r="K199" i="37" s="1"/>
  <c r="C206" i="37"/>
  <c r="K206" i="37" s="1"/>
  <c r="C179" i="37"/>
  <c r="K179" i="37" s="1"/>
  <c r="C186" i="37"/>
  <c r="K186" i="37" s="1"/>
  <c r="C198" i="37"/>
  <c r="K198" i="37" s="1"/>
  <c r="C188" i="37"/>
  <c r="K188" i="37" s="1"/>
  <c r="C178" i="37"/>
  <c r="C187" i="37"/>
  <c r="C197" i="37"/>
  <c r="C205" i="37"/>
  <c r="K205" i="37" s="1"/>
  <c r="C177" i="37"/>
  <c r="K177" i="37" s="1"/>
  <c r="C185" i="37"/>
  <c r="K185" i="37" s="1"/>
  <c r="C196" i="37"/>
  <c r="C204" i="37"/>
  <c r="K204" i="37" s="1"/>
  <c r="C176" i="37"/>
  <c r="C184" i="37"/>
  <c r="C203" i="37"/>
  <c r="C195" i="37"/>
  <c r="C175" i="37"/>
  <c r="C183" i="37"/>
  <c r="K183" i="37" s="1"/>
  <c r="C194" i="37"/>
  <c r="K194" i="37" s="1"/>
  <c r="C202" i="37"/>
  <c r="K202" i="37" s="1"/>
  <c r="C174" i="37"/>
  <c r="K174" i="37" s="1"/>
  <c r="C182" i="37"/>
  <c r="K182" i="37" s="1"/>
  <c r="C193" i="37"/>
  <c r="K193" i="37" s="1"/>
  <c r="C201" i="37"/>
  <c r="K201" i="37" s="1"/>
  <c r="C173" i="37"/>
  <c r="C181" i="37"/>
  <c r="K181" i="37" s="1"/>
  <c r="C192" i="37"/>
  <c r="C200" i="37"/>
  <c r="K200" i="37" s="1"/>
  <c r="C172" i="37"/>
  <c r="K172" i="37" s="1"/>
  <c r="C180" i="37"/>
  <c r="K180" i="37" s="1"/>
  <c r="C191" i="37"/>
  <c r="K191" i="37" s="1"/>
  <c r="K187" i="37"/>
  <c r="K202" i="15"/>
  <c r="K184" i="15"/>
  <c r="K175" i="15"/>
  <c r="K179" i="15"/>
  <c r="K187" i="15"/>
  <c r="K195" i="15"/>
  <c r="K181" i="15"/>
  <c r="K192" i="15"/>
  <c r="K178" i="15"/>
  <c r="K198" i="15"/>
  <c r="K172" i="15"/>
  <c r="K173" i="15"/>
  <c r="K199" i="15"/>
  <c r="K185" i="15"/>
  <c r="K177" i="15"/>
  <c r="K206" i="15"/>
  <c r="K203" i="15"/>
  <c r="K208" i="36"/>
  <c r="K171" i="15"/>
  <c r="K200" i="15"/>
  <c r="K191" i="15"/>
  <c r="K205" i="15"/>
  <c r="K176" i="15"/>
  <c r="K196" i="15"/>
  <c r="K186" i="15"/>
  <c r="K180" i="15"/>
  <c r="K197" i="15"/>
  <c r="K183" i="15"/>
  <c r="K201" i="15"/>
  <c r="K188" i="15"/>
  <c r="K174" i="15"/>
  <c r="K194" i="15"/>
  <c r="K204" i="15"/>
  <c r="K189" i="15"/>
  <c r="K190" i="15"/>
  <c r="K193" i="15"/>
  <c r="E25" i="14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16" i="29"/>
  <c r="I16" i="29" s="1"/>
  <c r="K16" i="29" s="1"/>
  <c r="M78" i="14" s="1"/>
  <c r="L167" i="24"/>
  <c r="C19" i="29"/>
  <c r="I19" i="29" s="1"/>
  <c r="K19" i="29" s="1"/>
  <c r="M81" i="14" s="1"/>
  <c r="P62" i="14"/>
  <c r="Y62" i="14" s="1"/>
  <c r="E26" i="14"/>
  <c r="D53" i="14"/>
  <c r="T5" i="13"/>
  <c r="BJ92" i="20"/>
  <c r="J179" i="20" s="1"/>
  <c r="AU47" i="20"/>
  <c r="AU124" i="20"/>
  <c r="C10" i="29"/>
  <c r="I10" i="29" s="1"/>
  <c r="K10" i="29" s="1"/>
  <c r="M72" i="14" s="1"/>
  <c r="L161" i="24"/>
  <c r="C9" i="29"/>
  <c r="I9" i="29" s="1"/>
  <c r="K9" i="29" s="1"/>
  <c r="M71" i="14" s="1"/>
  <c r="L160" i="24"/>
  <c r="C52" i="14"/>
  <c r="E17" i="14"/>
  <c r="C13" i="29"/>
  <c r="I13" i="29" s="1"/>
  <c r="K13" i="29" s="1"/>
  <c r="M75" i="14" s="1"/>
  <c r="L164" i="24"/>
  <c r="C20" i="29"/>
  <c r="I20" i="29" s="1"/>
  <c r="K20" i="29" s="1"/>
  <c r="M82" i="14" s="1"/>
  <c r="L171" i="24"/>
  <c r="C14" i="29"/>
  <c r="I14" i="29" s="1"/>
  <c r="K14" i="29" s="1"/>
  <c r="M76" i="14" s="1"/>
  <c r="L165" i="24"/>
  <c r="C8" i="29"/>
  <c r="I8" i="29" s="1"/>
  <c r="K8" i="29" s="1"/>
  <c r="M70" i="14" s="1"/>
  <c r="L159" i="24"/>
  <c r="AV47" i="20"/>
  <c r="AV124" i="20"/>
  <c r="C15" i="29"/>
  <c r="I15" i="29" s="1"/>
  <c r="K15" i="29" s="1"/>
  <c r="M77" i="14" s="1"/>
  <c r="L166" i="24"/>
  <c r="C17" i="29"/>
  <c r="I17" i="29" s="1"/>
  <c r="K17" i="29" s="1"/>
  <c r="M79" i="14" s="1"/>
  <c r="L168" i="24"/>
  <c r="E18" i="14"/>
  <c r="D52" i="14"/>
  <c r="C51" i="14"/>
  <c r="E8" i="14"/>
  <c r="C18" i="29"/>
  <c r="I18" i="29" s="1"/>
  <c r="K18" i="29" s="1"/>
  <c r="M80" i="14" s="1"/>
  <c r="L169" i="24"/>
  <c r="AW47" i="20"/>
  <c r="AW124" i="20"/>
  <c r="C21" i="29"/>
  <c r="I21" i="29" s="1"/>
  <c r="K21" i="29" s="1"/>
  <c r="M83" i="14" s="1"/>
  <c r="L172" i="24"/>
  <c r="C11" i="29"/>
  <c r="I11" i="29" s="1"/>
  <c r="K11" i="29" s="1"/>
  <c r="M73" i="14" s="1"/>
  <c r="L162" i="24"/>
  <c r="C22" i="29"/>
  <c r="I22" i="29" s="1"/>
  <c r="K22" i="29" s="1"/>
  <c r="M84" i="14" s="1"/>
  <c r="L173" i="24"/>
  <c r="E9" i="14"/>
  <c r="D51" i="14"/>
  <c r="C12" i="29"/>
  <c r="I12" i="29" s="1"/>
  <c r="K12" i="29" s="1"/>
  <c r="M74" i="14" s="1"/>
  <c r="L163" i="24"/>
  <c r="K207" i="37" l="1"/>
  <c r="K207" i="15"/>
  <c r="P58" i="14"/>
  <c r="Y58" i="14" s="1"/>
  <c r="P55" i="14"/>
  <c r="Y55" i="14" s="1"/>
  <c r="P59" i="14"/>
  <c r="Y59" i="14" s="1"/>
  <c r="P63" i="14"/>
  <c r="Y63" i="14" s="1"/>
  <c r="P56" i="14"/>
  <c r="Y56" i="14" s="1"/>
  <c r="P64" i="14"/>
  <c r="Y64" i="14" s="1"/>
  <c r="P54" i="14"/>
  <c r="Y54" i="14" s="1"/>
  <c r="N179" i="20"/>
  <c r="F216" i="20" a="1"/>
  <c r="P53" i="14"/>
  <c r="Y53" i="14" s="1"/>
  <c r="AD242" i="9"/>
  <c r="P65" i="14"/>
  <c r="Y65" i="14" s="1"/>
  <c r="FA161" i="9"/>
  <c r="P60" i="14"/>
  <c r="Y60" i="14" s="1"/>
  <c r="CJ155" i="9"/>
  <c r="P52" i="14"/>
  <c r="Y52" i="14" s="1"/>
  <c r="AC159" i="9"/>
  <c r="P51" i="14"/>
  <c r="Y51" i="14" s="1"/>
  <c r="AC78" i="9"/>
  <c r="P61" i="14"/>
  <c r="Y61" i="14" s="1"/>
  <c r="CL293" i="9"/>
  <c r="P57" i="14"/>
  <c r="Y57" i="14" s="1"/>
  <c r="BP74" i="9"/>
  <c r="FD161" i="9" l="1"/>
  <c r="CO293" i="9"/>
  <c r="AF78" i="9"/>
  <c r="S157" i="24"/>
  <c r="AF159" i="9"/>
  <c r="CM155" i="9"/>
  <c r="AG242" i="9"/>
  <c r="AP69" i="24"/>
  <c r="BS74" i="9"/>
  <c r="F230" i="20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AP73" i="24" l="1"/>
  <c r="AP76" i="24"/>
  <c r="AP68" i="24"/>
  <c r="AP81" i="24"/>
  <c r="AP77" i="24"/>
  <c r="F181" i="24" a="1"/>
  <c r="O61" i="14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  <c r="H111" i="24" l="1" a="1"/>
  <c r="F181" i="24"/>
  <c r="J181" i="24" a="1"/>
  <c r="L192" i="24" s="1"/>
  <c r="H111" i="24" l="1"/>
  <c r="N111" i="24" s="1"/>
  <c r="N112" i="24"/>
  <c r="N140" i="24"/>
  <c r="N137" i="24"/>
  <c r="N119" i="24"/>
  <c r="N133" i="24"/>
  <c r="N120" i="24"/>
  <c r="N146" i="24"/>
  <c r="N143" i="24"/>
  <c r="N138" i="24"/>
  <c r="N131" i="24"/>
  <c r="N135" i="24"/>
  <c r="N144" i="24"/>
  <c r="N115" i="24"/>
  <c r="N127" i="24"/>
  <c r="N145" i="24"/>
  <c r="N113" i="24"/>
  <c r="N130" i="24"/>
  <c r="N136" i="24"/>
  <c r="N117" i="24"/>
  <c r="N129" i="24"/>
  <c r="N118" i="24"/>
  <c r="N139" i="24"/>
  <c r="N116" i="24"/>
  <c r="N114" i="24"/>
  <c r="N134" i="24"/>
  <c r="N142" i="24"/>
  <c r="N123" i="24"/>
  <c r="N132" i="24"/>
  <c r="N141" i="24"/>
  <c r="N124" i="24"/>
  <c r="N126" i="24"/>
  <c r="N121" i="24"/>
  <c r="N128" i="24"/>
  <c r="N125" i="24"/>
  <c r="N122" i="24"/>
  <c r="L184" i="24"/>
  <c r="L195" i="24"/>
  <c r="L188" i="24"/>
  <c r="L182" i="24"/>
  <c r="L194" i="24"/>
  <c r="L185" i="24"/>
  <c r="L189" i="24"/>
  <c r="L191" i="24"/>
  <c r="L190" i="24"/>
  <c r="L183" i="24"/>
  <c r="L187" i="24"/>
  <c r="J181" i="24"/>
  <c r="L181" i="24" s="1"/>
  <c r="L193" i="24"/>
  <c r="L186" i="24"/>
  <c r="N147" i="24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</futureMetadata>
  <cellMetadata count="1">
    <bk>
      <rc t="1" v="0"/>
    </bk>
  </cellMetadata>
  <valueMetadata count="5">
    <bk>
      <rc t="2" v="0"/>
    </bk>
    <bk>
      <rc t="2" v="1"/>
    </bk>
    <bk>
      <rc t="2" v="2"/>
    </bk>
    <bk>
      <rc t="2" v="3"/>
    </bk>
    <bk>
      <rc t="2" v="4"/>
    </bk>
  </valueMetadata>
</metadata>
</file>

<file path=xl/sharedStrings.xml><?xml version="1.0" encoding="utf-8"?>
<sst xmlns="http://schemas.openxmlformats.org/spreadsheetml/2006/main" count="9203" uniqueCount="815">
  <si>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</si>
  <si>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</si>
  <si>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</si>
  <si>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</si>
  <si>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</si>
  <si>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</si>
  <si>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</si>
  <si>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</si>
  <si>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</si>
  <si>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</si>
  <si>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</si>
  <si>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</si>
  <si>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</si>
  <si>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</si>
  <si>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</si>
  <si>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</si>
  <si>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</si>
  <si>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</si>
  <si>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</si>
  <si>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</si>
  <si>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</si>
  <si>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</si>
  <si>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</si>
  <si>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</si>
  <si>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</si>
  <si>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</si>
  <si>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</si>
  <si>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</si>
  <si>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</si>
  <si>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</si>
  <si>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</si>
  <si>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</si>
  <si>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</si>
  <si>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</si>
  <si>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</si>
  <si>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</si>
  <si>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</si>
  <si>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</si>
  <si>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</si>
  <si>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</si>
  <si>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</si>
  <si>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</si>
  <si>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</si>
  <si>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</si>
  <si>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</si>
  <si>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</si>
  <si>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</si>
  <si>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</si>
  <si>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</si>
  <si>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</si>
  <si>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</si>
  <si>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</si>
  <si>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</si>
  <si>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</si>
  <si>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</si>
  <si>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</si>
  <si>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</si>
  <si>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</si>
  <si>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</si>
  <si>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</si>
  <si>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</si>
  <si>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</si>
  <si>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</si>
  <si>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</si>
  <si>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</si>
  <si>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</si>
  <si>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</si>
  <si>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</si>
  <si>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</si>
  <si>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</si>
  <si>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</si>
  <si>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</si>
  <si>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</si>
  <si>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</si>
  <si>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</si>
  <si>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</si>
  <si>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</si>
  <si>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</si>
  <si>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</si>
  <si>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</si>
  <si>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</si>
  <si>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</si>
  <si>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</si>
  <si>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</si>
  <si>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</si>
  <si>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</si>
  <si>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</si>
  <si>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</si>
  <si>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</si>
  <si>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</si>
  <si>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</si>
  <si>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</si>
  <si>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</si>
  <si>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</si>
  <si>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</si>
  <si>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</si>
  <si>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</si>
  <si>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</si>
  <si>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</si>
  <si>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</si>
  <si>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</si>
  <si>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</si>
  <si>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</si>
  <si>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</si>
  <si>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</si>
  <si>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</si>
  <si>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</si>
  <si>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</si>
  <si>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</si>
  <si>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</si>
  <si>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</si>
  <si>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</si>
  <si>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</si>
  <si>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</si>
  <si>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</si>
  <si>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</si>
  <si>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</si>
  <si>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</si>
  <si>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</si>
  <si>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</si>
  <si>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</si>
  <si>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</si>
  <si>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</si>
  <si>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</si>
  <si>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</si>
  <si>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</si>
  <si>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</si>
  <si>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</si>
  <si>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</si>
  <si>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</si>
  <si>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</si>
  <si>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</si>
  <si>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</si>
  <si>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</si>
  <si>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</si>
  <si>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</si>
  <si>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</si>
  <si>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</si>
  <si>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</si>
  <si>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</si>
  <si>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</si>
  <si>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</si>
  <si>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</si>
  <si>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</si>
  <si>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</si>
  <si>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</si>
  <si>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</si>
  <si>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</si>
  <si>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</si>
  <si>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</si>
  <si>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</si>
  <si>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</si>
  <si>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</si>
  <si>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</si>
  <si>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</si>
  <si>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</si>
  <si>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</si>
  <si>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</si>
  <si>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</si>
  <si>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</si>
  <si>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</si>
  <si>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</si>
  <si>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</si>
  <si>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</si>
  <si>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</si>
  <si>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</si>
  <si>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</si>
  <si>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</si>
  <si>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</si>
  <si>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</si>
  <si>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</si>
  <si>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</si>
  <si>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</si>
  <si>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</si>
  <si>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</si>
  <si>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</si>
  <si>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</si>
  <si>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</si>
  <si>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</si>
  <si>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</si>
  <si>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</si>
  <si>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</si>
  <si>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</si>
  <si>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</si>
  <si>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</si>
  <si>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</si>
  <si>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</si>
  <si>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</si>
  <si>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</si>
  <si>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</si>
  <si>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</si>
  <si>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</si>
  <si>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</si>
  <si>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</si>
  <si>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</si>
  <si>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</si>
  <si>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</si>
  <si>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</si>
  <si>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</si>
  <si>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</si>
  <si>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</si>
  <si>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</si>
  <si>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</si>
  <si>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</si>
  <si>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</si>
  <si>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</si>
  <si>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</si>
  <si>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</si>
  <si>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</si>
  <si>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</si>
  <si>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</si>
  <si>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</si>
  <si>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</si>
  <si>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</si>
  <si>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</si>
  <si>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</si>
  <si>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</si>
  <si>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</si>
  <si>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</si>
  <si>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</si>
  <si>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</si>
  <si>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</si>
  <si>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</si>
  <si>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</si>
  <si>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</si>
  <si>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</si>
  <si>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</si>
  <si>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</si>
  <si>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</si>
  <si>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</si>
  <si>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</si>
  <si>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</si>
  <si>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</si>
  <si>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</si>
  <si>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</si>
  <si>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</si>
  <si>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</si>
  <si>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</si>
  <si>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</si>
  <si>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</si>
  <si>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</si>
  <si>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</si>
  <si>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</si>
  <si>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</si>
  <si>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</si>
  <si>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</si>
  <si>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</si>
  <si>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</si>
  <si>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</si>
  <si>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</si>
  <si>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</si>
  <si>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</si>
  <si>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</si>
  <si>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</si>
  <si>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</si>
  <si>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</si>
  <si>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</si>
  <si>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</si>
  <si>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</si>
  <si>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</si>
  <si>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</si>
  <si>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</si>
  <si>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</si>
  <si>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</si>
  <si>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</si>
  <si>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</si>
  <si>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</si>
  <si>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</si>
  <si>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</si>
  <si>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</si>
  <si>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</si>
  <si>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</si>
  <si>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</si>
  <si>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</si>
  <si>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</si>
  <si>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</si>
  <si>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</si>
  <si>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</si>
  <si>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</si>
  <si>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</si>
  <si>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</si>
  <si>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</si>
  <si>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</si>
  <si>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</si>
  <si>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</si>
  <si>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</si>
  <si>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</si>
  <si>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</si>
  <si>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</si>
  <si>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</si>
  <si>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</si>
  <si>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</si>
  <si>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</si>
  <si>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</si>
  <si>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</si>
  <si>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</si>
  <si>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</si>
  <si>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</si>
  <si>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</si>
  <si>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</si>
  <si>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</si>
  <si>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</si>
  <si>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</si>
  <si>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</si>
  <si>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</si>
  <si>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</si>
  <si>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</si>
  <si>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</si>
  <si>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</si>
  <si>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</si>
  <si>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</si>
  <si>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</si>
  <si>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</si>
  <si>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</si>
  <si>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</si>
  <si>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</si>
  <si>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</si>
  <si>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</si>
  <si>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</si>
  <si>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</si>
  <si>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</si>
  <si>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</si>
  <si>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</si>
  <si>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</si>
  <si>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</si>
  <si>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</si>
  <si>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</si>
  <si>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</si>
  <si>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</si>
  <si>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</si>
  <si>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</si>
  <si>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</si>
  <si>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</si>
  <si>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</si>
  <si>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</si>
  <si>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</si>
  <si>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</si>
  <si>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</si>
  <si>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</si>
  <si>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</si>
  <si>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</si>
  <si>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</si>
  <si>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</si>
  <si>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</si>
  <si>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</si>
  <si>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</si>
  <si>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</si>
  <si>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</si>
  <si>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</si>
  <si>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</si>
  <si>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</si>
  <si>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</si>
  <si>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</si>
  <si>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</si>
  <si>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</si>
  <si>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</si>
  <si>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</si>
  <si>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</si>
  <si>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</si>
  <si>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</si>
  <si>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</si>
  <si>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</si>
  <si>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</si>
  <si>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</si>
  <si>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</si>
  <si>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</si>
  <si>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</si>
  <si>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</si>
  <si>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</si>
  <si>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</si>
  <si>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</si>
  <si>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</si>
  <si>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</si>
  <si>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</si>
  <si>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</si>
  <si>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</si>
  <si>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</si>
  <si>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</si>
  <si>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</si>
  <si>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</si>
  <si>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</si>
  <si>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</si>
  <si>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</si>
  <si>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</si>
  <si>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</si>
  <si>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</si>
  <si>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</si>
  <si>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</si>
  <si>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</si>
  <si>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</si>
  <si>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</si>
  <si>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</si>
  <si>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</si>
  <si>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</si>
  <si>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</si>
  <si>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</si>
  <si>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</si>
  <si>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</si>
  <si>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</si>
  <si>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</si>
  <si>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</si>
  <si>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</si>
  <si>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</si>
  <si>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</si>
  <si>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</si>
  <si>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</si>
  <si>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</si>
  <si>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</si>
  <si>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</si>
  <si>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</si>
  <si>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</si>
  <si>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</si>
  <si>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</si>
  <si>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</si>
  <si>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</si>
  <si>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</si>
  <si>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</si>
  <si>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</si>
  <si>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</si>
  <si>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</si>
  <si>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</si>
  <si>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</si>
  <si>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</si>
  <si>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</si>
  <si>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</si>
  <si>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</si>
  <si>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</si>
  <si>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</si>
  <si>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</si>
  <si>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</si>
  <si>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</si>
  <si>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</si>
  <si>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</si>
  <si>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</si>
  <si>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</si>
  <si>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</si>
  <si>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</si>
  <si>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</si>
  <si>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</si>
  <si>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</si>
  <si>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</si>
  <si>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</si>
  <si>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</si>
  <si>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</si>
  <si>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</si>
  <si>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</si>
  <si>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</si>
  <si>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</si>
  <si>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</si>
  <si>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</si>
  <si>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</si>
  <si>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</si>
  <si>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</si>
  <si>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</si>
  <si>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</si>
  <si>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</si>
  <si>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</si>
  <si>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</si>
  <si>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</si>
  <si>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</si>
  <si>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</si>
  <si>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</si>
  <si>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</si>
  <si>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</si>
  <si>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</si>
  <si>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</si>
  <si>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</si>
  <si>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</si>
  <si>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</si>
  <si>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</si>
  <si>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</si>
  <si>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</si>
  <si>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</si>
  <si>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</si>
  <si>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</si>
  <si>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</si>
  <si>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</si>
  <si>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</si>
  <si>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</si>
  <si>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</si>
  <si>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</si>
  <si>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</si>
  <si>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</si>
  <si>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</si>
  <si>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</si>
  <si>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</si>
  <si>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</si>
  <si>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</si>
  <si>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</si>
  <si>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</si>
  <si>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</si>
  <si>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</si>
  <si>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</si>
  <si>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</si>
  <si>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</si>
  <si>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</si>
  <si>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</si>
  <si>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</si>
  <si>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</si>
  <si>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</si>
  <si>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</si>
  <si>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</si>
  <si>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</si>
  <si>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</si>
  <si>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</si>
  <si>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</si>
  <si>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</si>
  <si>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</si>
  <si>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</si>
  <si>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</si>
  <si>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</si>
  <si>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</si>
  <si>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</si>
  <si>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</si>
  <si>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</si>
  <si>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</si>
  <si>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</si>
  <si>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</si>
  <si>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</si>
  <si>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</si>
  <si>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</si>
  <si>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</si>
  <si>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</si>
  <si>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</si>
  <si>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</si>
  <si>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</si>
  <si>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</si>
  <si>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</si>
  <si>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</si>
  <si>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</si>
  <si>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</si>
  <si>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</si>
  <si>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</si>
  <si>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</si>
  <si>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</si>
  <si>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</si>
  <si>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</si>
  <si>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</si>
  <si>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</si>
  <si>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</si>
  <si>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</si>
  <si>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</si>
  <si>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</si>
  <si>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</si>
  <si>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</si>
  <si>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</si>
  <si>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</si>
  <si>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</si>
  <si>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</si>
  <si>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</si>
  <si>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</si>
  <si>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</si>
  <si>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</si>
  <si>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</si>
  <si>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</si>
  <si>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</si>
  <si>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</si>
  <si>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</si>
  <si>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</si>
  <si>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</si>
  <si>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</si>
  <si>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</si>
  <si>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</si>
  <si>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</si>
  <si>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</si>
  <si>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</si>
  <si>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</si>
  <si>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</si>
  <si>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</si>
  <si>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</si>
  <si>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</si>
  <si>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</si>
  <si>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</si>
  <si>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</si>
  <si>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</si>
  <si>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</si>
  <si>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</si>
  <si>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</si>
  <si>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</si>
  <si>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</si>
  <si>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</si>
  <si>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</si>
  <si>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</si>
  <si>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</si>
  <si>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</si>
  <si>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</si>
  <si>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</si>
  <si>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</si>
  <si>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</si>
  <si>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</si>
  <si>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</si>
  <si>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</si>
  <si>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</si>
  <si>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</si>
  <si>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</si>
  <si>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</si>
  <si>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</si>
  <si>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</si>
  <si>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</si>
  <si>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</si>
  <si>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</si>
  <si>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</si>
  <si>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</si>
  <si>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</si>
  <si>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</si>
  <si>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</si>
  <si>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</si>
  <si>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</si>
  <si>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</si>
  <si>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</si>
  <si>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</si>
  <si>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</si>
  <si>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</si>
  <si>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</si>
  <si>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</si>
  <si>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</si>
  <si>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</si>
  <si>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</si>
  <si>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</si>
  <si>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</si>
  <si>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</si>
  <si>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</si>
  <si>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</si>
  <si>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</si>
  <si>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</si>
  <si>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</si>
  <si>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</si>
  <si>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</si>
  <si>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</si>
  <si>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</si>
  <si>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</si>
  <si>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</si>
  <si>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</si>
  <si>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</si>
  <si>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</si>
  <si>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</si>
  <si>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</si>
  <si>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</si>
  <si>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</si>
  <si>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</si>
  <si>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</si>
  <si>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</si>
  <si>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</si>
  <si>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</si>
  <si>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</si>
  <si>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</si>
  <si>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</si>
  <si>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</si>
  <si>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</si>
  <si>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</si>
  <si>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</si>
  <si>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</si>
  <si>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</si>
  <si>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</si>
  <si>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</si>
  <si>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</si>
  <si>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</si>
  <si>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</si>
  <si>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</si>
  <si>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</si>
  <si>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</si>
  <si>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</si>
  <si>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</si>
  <si>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</si>
  <si>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</si>
  <si>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</si>
  <si>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</si>
  <si>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</si>
  <si>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</si>
  <si>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</si>
  <si>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</si>
  <si>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</si>
  <si>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</si>
  <si>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</si>
  <si>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</si>
  <si>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</si>
  <si>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</si>
  <si>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</si>
  <si>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</si>
  <si>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</si>
  <si>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</si>
  <si>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</si>
  <si>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</si>
  <si>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</si>
  <si>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</si>
  <si>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</si>
  <si>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</si>
  <si>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</si>
  <si>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</si>
  <si>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</si>
  <si>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</si>
  <si>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</si>
  <si>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</si>
  <si>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</si>
  <si>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</si>
  <si>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</si>
  <si>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</si>
  <si>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</si>
  <si>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</si>
  <si>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</si>
  <si>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</si>
  <si>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</si>
  <si>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</si>
  <si>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</si>
  <si>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</si>
  <si>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</si>
  <si>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</si>
  <si>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</si>
  <si>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</si>
  <si>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</si>
  <si>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</si>
  <si>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</si>
  <si>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</si>
  <si>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</si>
  <si>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</si>
  <si>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</si>
  <si>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</si>
  <si>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</si>
  <si>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</si>
  <si>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</si>
  <si>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</si>
  <si>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</si>
  <si>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</si>
  <si>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</si>
  <si>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</si>
  <si>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</si>
  <si>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</si>
  <si>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</si>
  <si>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</si>
  <si>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</si>
  <si>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</si>
  <si>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</si>
  <si>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Blast furnaces</t>
  </si>
  <si>
    <t>Charcoal production plants</t>
  </si>
  <si>
    <t>Coke ovens</t>
  </si>
  <si>
    <t>Gas works</t>
  </si>
  <si>
    <t>Manufacture [of Solar thermal]</t>
  </si>
  <si>
    <t>X_loss</t>
  </si>
  <si>
    <t>XCC energy balance across industries</t>
  </si>
  <si>
    <t>1200 F</t>
  </si>
  <si>
    <t>Diesel engine exhaust temperature = 922 K</t>
  </si>
  <si>
    <t>Energy balance between industries</t>
  </si>
  <si>
    <t>yi</t>
  </si>
  <si>
    <t>Energy balance across industries for Q_loss</t>
  </si>
  <si>
    <t xml:space="preserve">Energy balance across industries </t>
  </si>
  <si>
    <t>Sheet Name</t>
  </si>
  <si>
    <t>Contents</t>
  </si>
  <si>
    <t>Constants</t>
  </si>
  <si>
    <t>Calculators</t>
  </si>
  <si>
    <t>Energy X</t>
  </si>
  <si>
    <t>MCC_B_RUVY_matrices_mat_level</t>
  </si>
  <si>
    <t>MCC_M_RUVY_matrices_mat_level</t>
  </si>
  <si>
    <t>MCC_h_RUVY_matrices_mat_level</t>
  </si>
  <si>
    <t>MCC_MW_RUVY_matrices_mat_level</t>
  </si>
  <si>
    <t>MCC_Q_RUVY_matrices_mat_level</t>
  </si>
  <si>
    <t>Ore_to_PI</t>
  </si>
  <si>
    <t>Appx_exergy_account</t>
  </si>
  <si>
    <t>Tables for Paper</t>
  </si>
  <si>
    <t>BXCC Q loss</t>
  </si>
  <si>
    <t>BX</t>
  </si>
  <si>
    <t xml:space="preserve">Constant values and references </t>
  </si>
  <si>
    <t>Mole and mass calculations that will update when a new output ore mass value is input</t>
  </si>
  <si>
    <t>Energy required for PI production used for finding energy conversion chains</t>
  </si>
  <si>
    <t>RUVY matrices for material exergy values</t>
  </si>
  <si>
    <t>RUVY matrices for mass values</t>
  </si>
  <si>
    <t>RUVY matrices for enthalpy values</t>
  </si>
  <si>
    <t>RUVY matrices for molecular weight values</t>
  </si>
  <si>
    <t>RUVY matrices for heat values</t>
  </si>
  <si>
    <t>Material and energy conversion chain for iron, limestone, and coal ore to be converted to pig iron</t>
  </si>
  <si>
    <t>Exergy waste from each process to find embodied exergy</t>
  </si>
  <si>
    <t>Complete material exergy accounting for an appendix in the paper</t>
  </si>
  <si>
    <t>Tables made for the paper</t>
  </si>
  <si>
    <t>Heat loss from the unified conversion chain</t>
  </si>
  <si>
    <t>RUVY matrices for material exergy created when the paper builds</t>
  </si>
  <si>
    <t>RUVY matrices for energy exergy created when the paper builds</t>
  </si>
  <si>
    <t>RUVY matrices for material and energy exergy created when the paper builds</t>
  </si>
  <si>
    <t>Importance</t>
  </si>
  <si>
    <t>Information in paper</t>
  </si>
  <si>
    <t>Cited sources</t>
  </si>
  <si>
    <t>All mass and mole values for the conversion chain come from the calculator</t>
  </si>
  <si>
    <t>Connects to exterior database to find energy conversion chains</t>
  </si>
  <si>
    <t>Exergy balance and irreversibility values</t>
  </si>
  <si>
    <t>Mass balance</t>
  </si>
  <si>
    <t>Enthalpy balance and multiplier for heat values</t>
  </si>
  <si>
    <t>Molecular weight for heat value calculation</t>
  </si>
  <si>
    <t>Heat balance</t>
  </si>
  <si>
    <t>Conversion chain example to provide consistent exergy analysis</t>
  </si>
  <si>
    <t>Total exergy lost from the UCC</t>
  </si>
  <si>
    <t>Methods for comminution and physical exergy calculations</t>
  </si>
  <si>
    <t>Concise visual representations of the work done</t>
  </si>
  <si>
    <t>?</t>
  </si>
  <si>
    <t>Built to connect to unified conversion chain using code</t>
  </si>
  <si>
    <t>Coded unified conversion chain</t>
  </si>
  <si>
    <t>Transformation losses</t>
  </si>
  <si>
    <r>
      <t>U</t>
    </r>
    <r>
      <rPr>
        <b/>
        <vertAlign val="superscript"/>
        <sz val="11"/>
        <color rgb="FF000000"/>
        <rFont val="Aptos Narrow"/>
      </rPr>
      <t>T</t>
    </r>
    <r>
      <rPr>
        <sz val="11"/>
        <color rgb="FF000000"/>
        <rFont val="Aptos Narrow"/>
      </rPr>
      <t xml:space="preserve"> – </t>
    </r>
    <r>
      <rPr>
        <b/>
        <sz val="11"/>
        <color rgb="FF000000"/>
        <rFont val="Aptos Narrow"/>
      </rPr>
      <t>V</t>
    </r>
  </si>
  <si>
    <r>
      <rPr>
        <sz val="11"/>
        <color rgb="FF000000"/>
        <rFont val="Aptos Narrow"/>
      </rPr>
      <t>(</t>
    </r>
    <r>
      <rPr>
        <b/>
        <sz val="11"/>
        <color rgb="FF000000"/>
        <rFont val="Aptos Narrow"/>
      </rPr>
      <t>U</t>
    </r>
    <r>
      <rPr>
        <b/>
        <vertAlign val="superscript"/>
        <sz val="11"/>
        <color rgb="FF000000"/>
        <rFont val="Aptos Narrow"/>
      </rPr>
      <t>T</t>
    </r>
    <r>
      <rPr>
        <sz val="11"/>
        <color rgb="FF000000"/>
        <rFont val="Aptos Narrow"/>
      </rPr>
      <t xml:space="preserve"> – </t>
    </r>
    <r>
      <rPr>
        <b/>
        <sz val="11"/>
        <color rgb="FF000000"/>
        <rFont val="Aptos Narrow"/>
      </rPr>
      <t>V</t>
    </r>
    <r>
      <rPr>
        <sz val="11"/>
        <color rgb="FF000000"/>
        <rFont val="Aptos Narrow"/>
      </rPr>
      <t>)</t>
    </r>
    <r>
      <rPr>
        <b/>
        <sz val="11"/>
        <color rgb="FF000000"/>
        <rFont val="Aptos Narrow"/>
      </rPr>
      <t>i</t>
    </r>
  </si>
  <si>
    <t>Intra-industry balance gives transformation losses</t>
  </si>
  <si>
    <t>Original MCC</t>
  </si>
  <si>
    <t>Calculate mass losses (waste material)</t>
  </si>
  <si>
    <t>Transformation loss</t>
  </si>
  <si>
    <t>Convert to exergy (BXCC)</t>
  </si>
  <si>
    <t>Combustion emissions -&gt; Transformation losses [from Limestone extraction]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</si>
  <si>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mix</t>
    </r>
    <r>
      <rPr>
        <sz val="12"/>
        <color rgb="FF000000"/>
        <rFont val="Aptos Narrow"/>
        <family val="2"/>
        <scheme val="minor"/>
      </rPr>
      <t>]</t>
    </r>
  </si>
  <si>
    <t>[kJ_bch / kg_m]</t>
  </si>
  <si>
    <t xml:space="preserve">https://www.greatphe.com/mining.html </t>
  </si>
  <si>
    <t xml:space="preserve">https://bulkcarrierguide.com/iron-ore.html </t>
  </si>
  <si>
    <t xml:space="preserve">https://ifrf.net/research/handbook/what-are-the-combustion-and-flue-gas-properties-of-coke-oven-gas/#:~:text=The%20high%20hydrogen%20concentration%20in,gas%20flame%20at%20stoichiometric%20conditions </t>
  </si>
  <si>
    <t>LTH.65.C-&gt; Transformation losses</t>
  </si>
  <si>
    <t>LTH.50.C -&gt; Transformation losses</t>
  </si>
  <si>
    <t>LTH.25.K -&gt; Transformation losses</t>
  </si>
  <si>
    <t>HTH.1175.C -&gt; Transformation losses</t>
  </si>
  <si>
    <t>HTH.900.C -&gt; Transformation losses</t>
  </si>
  <si>
    <t>HTH.1300.C -&gt; Transformation losses</t>
  </si>
  <si>
    <t>HTH.2100.C -&gt; Transformation losses</t>
  </si>
  <si>
    <t>HTH.871.C-&gt; Transformation losses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</si>
</sst>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8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  <font>
      <b/>
      <sz val="11"/>
      <color theme="1"/>
      <name val="Aptos Narrow"/>
      <family val="2"/>
    </font>
    <font>
      <b/>
      <sz val="11"/>
      <name val="Aptos Narrow"/>
      <family val="2"/>
      <scheme val="minor"/>
    </font>
    <font>
      <sz val="11"/>
      <color rgb="FF000000"/>
      <name val="Aptos Narrow"/>
      <scheme val="minor"/>
    </font>
    <font>
      <b/>
      <sz val="48"/>
      <color theme="1"/>
      <name val="Aptos Narrow"/>
      <scheme val="minor"/>
    </font>
    <font>
      <b/>
      <vertAlign val="superscript"/>
      <sz val="11"/>
      <color rgb="FF000000"/>
      <name val="Aptos Narrow"/>
    </font>
    <font>
      <b/>
      <sz val="30"/>
      <color theme="1"/>
      <name val="Aptos Narrow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8" tint="0.59999389629810485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42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" fillId="34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53" fillId="0" borderId="0" xfId="0" applyFont="1" applyAlignment="1">
      <alignment horizontal="center"/>
    </xf>
    <xf numFmtId="0" fontId="78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65" fillId="0" borderId="0" xfId="0" applyFont="1"/>
    <xf numFmtId="0" fontId="65" fillId="0" borderId="0" xfId="0" applyFont="1" applyAlignment="1">
      <alignment horizontal="center"/>
    </xf>
    <xf numFmtId="0" fontId="79" fillId="22" borderId="0" xfId="0" applyFont="1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center"/>
    </xf>
    <xf numFmtId="0" fontId="0" fillId="0" borderId="0" xfId="0" applyAlignment="1">
      <alignment horizontal="left"/>
    </xf>
    <xf numFmtId="0" fontId="0" fillId="16" borderId="0" xfId="0" applyFill="1" applyAlignment="1">
      <alignment horizontal="left"/>
    </xf>
    <xf numFmtId="0" fontId="0" fillId="16" borderId="0" xfId="0" applyFill="1"/>
    <xf numFmtId="0" fontId="0" fillId="5" borderId="0" xfId="0" applyFill="1" applyAlignment="1">
      <alignment horizontal="left"/>
    </xf>
    <xf numFmtId="0" fontId="0" fillId="5" borderId="0" xfId="0" applyFill="1"/>
    <xf numFmtId="0" fontId="0" fillId="3" borderId="0" xfId="0" applyFill="1" applyAlignment="1">
      <alignment horizontal="left"/>
    </xf>
    <xf numFmtId="0" fontId="0" fillId="3" borderId="0" xfId="0" applyFill="1"/>
    <xf numFmtId="0" fontId="0" fillId="35" borderId="0" xfId="0" applyFill="1"/>
    <xf numFmtId="0" fontId="82" fillId="0" borderId="0" xfId="0" applyFont="1"/>
    <xf numFmtId="0" fontId="82" fillId="35" borderId="0" xfId="0" applyFont="1" applyFill="1"/>
    <xf numFmtId="0" fontId="0" fillId="29" borderId="0" xfId="0" applyFill="1" applyAlignment="1">
      <alignment horizontal="center"/>
    </xf>
    <xf numFmtId="0" fontId="7" fillId="29" borderId="0" xfId="0" applyFont="1" applyFill="1" applyAlignment="1">
      <alignment horizontal="center"/>
    </xf>
    <xf numFmtId="0" fontId="57" fillId="0" borderId="28" xfId="0" applyFont="1" applyBorder="1" applyAlignment="1">
      <alignment horizontal="center" vertical="center"/>
    </xf>
    <xf numFmtId="0" fontId="0" fillId="0" borderId="42" xfId="0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2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80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31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3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3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5" fillId="13" borderId="0" xfId="0" applyFont="1" applyFill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31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34" fillId="0" borderId="0" xfId="0" applyFont="1" applyAlignment="1">
      <alignment horizontal="center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  <xf numFmtId="0" fontId="69" fillId="0" borderId="0" xfId="1" applyAlignment="1">
      <alignment horizontal="center"/>
    </xf>
    <xf numFmtId="0" fontId="28" fillId="0" borderId="0" xfId="0" applyFont="1" applyAlignment="1"/>
    <xf numFmtId="0" fontId="0" fillId="27" borderId="0" xfId="0" applyFill="1"/>
    <xf numFmtId="0" fontId="7" fillId="27" borderId="0" xfId="0" applyFont="1" applyFill="1" applyAlignment="1">
      <alignment horizontal="center"/>
    </xf>
    <xf numFmtId="0" fontId="65" fillId="0" borderId="0" xfId="0" applyFont="1" applyAlignment="1">
      <alignment horizontal="center"/>
    </xf>
    <xf numFmtId="0" fontId="16" fillId="0" borderId="0" xfId="0" applyFont="1" applyFill="1" applyAlignment="1">
      <alignment horizontal="center"/>
    </xf>
    <xf numFmtId="0" fontId="0" fillId="17" borderId="0" xfId="0" applyFill="1" applyAlignment="1">
      <alignment horizontal="center"/>
    </xf>
    <xf numFmtId="0" fontId="12" fillId="17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7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Types" Target="richData/rdRichValueTyp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151</xdr:col>
      <xdr:colOff>747749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144</xdr:col>
      <xdr:colOff>10745</xdr:colOff>
      <xdr:row>199</xdr:row>
      <xdr:rowOff>0</xdr:rowOff>
    </xdr:from>
    <xdr:to>
      <xdr:col>144</xdr:col>
      <xdr:colOff>47625</xdr:colOff>
      <xdr:row>233</xdr:row>
      <xdr:rowOff>139078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31582745" y="42703750"/>
          <a:ext cx="36880" cy="760032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20053</xdr:colOff>
      <xdr:row>233</xdr:row>
      <xdr:rowOff>220579</xdr:rowOff>
    </xdr:from>
    <xdr:to>
      <xdr:col>108</xdr:col>
      <xdr:colOff>20053</xdr:colOff>
      <xdr:row>246</xdr:row>
      <xdr:rowOff>147052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>
          <a:off x="102041158" y="50673000"/>
          <a:ext cx="0" cy="306136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523875</xdr:colOff>
      <xdr:row>152</xdr:row>
      <xdr:rowOff>174625</xdr:rowOff>
    </xdr:from>
    <xdr:to>
      <xdr:col>144</xdr:col>
      <xdr:colOff>2</xdr:colOff>
      <xdr:row>198</xdr:row>
      <xdr:rowOff>111127</xdr:rowOff>
    </xdr:to>
    <xdr:cxnSp macro="">
      <xdr:nvCxnSpPr>
        <xdr:cNvPr id="54" name="Elbow Connector 53">
          <a:extLst>
            <a:ext uri="{FF2B5EF4-FFF2-40B4-BE49-F238E27FC236}">
              <a16:creationId xmlns:a16="http://schemas.microsoft.com/office/drawing/2014/main" id="{8F911082-D367-5436-3CD5-0F1E94BF306B}"/>
            </a:ext>
          </a:extLst>
        </xdr:cNvPr>
        <xdr:cNvCxnSpPr/>
      </xdr:nvCxnSpPr>
      <xdr:spPr>
        <a:xfrm rot="10800000">
          <a:off x="118046500" y="32877125"/>
          <a:ext cx="13525502" cy="9747252"/>
        </a:xfrm>
        <a:prstGeom prst="bentConnector3">
          <a:avLst>
            <a:gd name="adj1" fmla="val 121361"/>
          </a:avLst>
        </a:prstGeom>
        <a:ln w="762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kh2/github/MaterialExergyPaper2025/data/ecc_supply_to_mcc.xlsx" TargetMode="External"/><Relationship Id="rId1" Type="http://schemas.openxmlformats.org/officeDocument/2006/relationships/externalLinkPath" Target="ecc_supply_to_mc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AF_2013_X"/>
      <sheetName val="ecc_supply_to_mcc"/>
    </sheetNames>
    <definedNames>
      <definedName name="X_loss" refersTo="='ZAF_2013_X'!$B$193:$F$211"/>
    </definedNames>
    <sheetDataSet>
      <sheetData sheetId="0">
        <row r="193">
          <cell r="B193">
            <v>2.7035257213616101E-11</v>
          </cell>
          <cell r="D193">
            <v>1.0711098672120199E-11</v>
          </cell>
          <cell r="F193">
            <v>1.6324158541495901E-11</v>
          </cell>
        </row>
        <row r="194">
          <cell r="B194">
            <v>-3.93451133810275E-13</v>
          </cell>
          <cell r="D194">
            <v>-5.6964684791701695E-14</v>
          </cell>
          <cell r="F194">
            <v>-3.3648644901857331E-13</v>
          </cell>
        </row>
        <row r="195">
          <cell r="B195">
            <v>80113.817233021196</v>
          </cell>
          <cell r="D195">
            <v>16030.243919636299</v>
          </cell>
          <cell r="F195">
            <v>64083.573313384899</v>
          </cell>
        </row>
        <row r="196">
          <cell r="B196">
            <v>3207824.8619437884</v>
          </cell>
          <cell r="D196">
            <v>3202004.12978845</v>
          </cell>
          <cell r="F196">
            <v>5820.7321553383954</v>
          </cell>
        </row>
        <row r="197">
          <cell r="B197">
            <v>3.9089210146248001E-11</v>
          </cell>
          <cell r="D197">
            <v>2.7035253348937101E-11</v>
          </cell>
          <cell r="F197">
            <v>1.20539567973109E-11</v>
          </cell>
        </row>
        <row r="198">
          <cell r="B198">
            <v>-8.2794817109293496E-10</v>
          </cell>
          <cell r="D198">
            <v>-2.1850384186490701E-10</v>
          </cell>
          <cell r="F198">
            <v>-6.0944432922802798E-10</v>
          </cell>
        </row>
        <row r="199">
          <cell r="B199">
            <v>10407.5335702297</v>
          </cell>
          <cell r="D199">
            <v>5653.4469866310001</v>
          </cell>
          <cell r="F199">
            <v>4754.0865835986997</v>
          </cell>
        </row>
        <row r="200">
          <cell r="B200">
            <v>3284366.0335815852</v>
          </cell>
          <cell r="D200">
            <v>1032997.83916021</v>
          </cell>
          <cell r="F200">
            <v>2251368.1944213752</v>
          </cell>
        </row>
        <row r="201">
          <cell r="B201">
            <v>4830.4442158522497</v>
          </cell>
          <cell r="C201" t="str">
            <v>-</v>
          </cell>
          <cell r="D201">
            <v>4830.4442158522497</v>
          </cell>
          <cell r="E201" t="str">
            <v>=</v>
          </cell>
          <cell r="F201">
            <v>0</v>
          </cell>
        </row>
        <row r="202">
          <cell r="B202">
            <v>184686.52821315001</v>
          </cell>
          <cell r="D202">
            <v>184686.52821315001</v>
          </cell>
          <cell r="F202">
            <v>0</v>
          </cell>
        </row>
        <row r="203">
          <cell r="B203">
            <v>5023.7890204089899</v>
          </cell>
          <cell r="D203">
            <v>5023.7890204089899</v>
          </cell>
          <cell r="F203">
            <v>0</v>
          </cell>
        </row>
        <row r="204">
          <cell r="B204">
            <v>82.091627997489695</v>
          </cell>
          <cell r="D204">
            <v>82.091627997489695</v>
          </cell>
          <cell r="F204">
            <v>0</v>
          </cell>
        </row>
        <row r="205">
          <cell r="B205">
            <v>0</v>
          </cell>
          <cell r="D205">
            <v>0</v>
          </cell>
          <cell r="F205">
            <v>0</v>
          </cell>
        </row>
        <row r="206">
          <cell r="B206">
            <v>43.206119998678503</v>
          </cell>
          <cell r="D206">
            <v>43.206119998678503</v>
          </cell>
          <cell r="F206">
            <v>0</v>
          </cell>
        </row>
        <row r="207">
          <cell r="B207">
            <v>3749358.3680556798</v>
          </cell>
          <cell r="D207">
            <v>3749358.3680556798</v>
          </cell>
          <cell r="F207">
            <v>0</v>
          </cell>
        </row>
        <row r="208">
          <cell r="B208">
            <v>184686.52821315001</v>
          </cell>
          <cell r="D208">
            <v>60946.554310340602</v>
          </cell>
          <cell r="F208">
            <v>123739.9739028094</v>
          </cell>
        </row>
        <row r="209">
          <cell r="B209">
            <v>958.99457187396001</v>
          </cell>
          <cell r="D209">
            <v>958.99457187396001</v>
          </cell>
          <cell r="F209">
            <v>0</v>
          </cell>
        </row>
        <row r="210">
          <cell r="B210">
            <v>99968.352638963552</v>
          </cell>
          <cell r="D210">
            <v>92166.861405407893</v>
          </cell>
          <cell r="F210">
            <v>7801.4912335556583</v>
          </cell>
        </row>
        <row r="211">
          <cell r="B211">
            <v>21683.690906267198</v>
          </cell>
          <cell r="D211">
            <v>23208.442077419659</v>
          </cell>
          <cell r="F211">
            <v>-1524.7511711524603</v>
          </cell>
        </row>
      </sheetData>
      <sheetData sheetId="1" refreshError="1"/>
    </sheetDataSet>
  </externalBook>
</externalLink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">
  <rv s="0">
    <v>14</v>
    <v>8</v>
    <v>35</v>
    <v>1</v>
  </rv>
  <rv s="1">
    <v>8</v>
    <v>1</v>
  </rv>
  <rv s="0">
    <v>1</v>
    <v>8</v>
    <v>35</v>
    <v>1</v>
  </rv>
  <rv s="0">
    <v>35</v>
    <v>8</v>
    <v>14</v>
    <v>1</v>
  </rv>
  <rv s="0">
    <v>35</v>
    <v>8</v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18" Type="http://schemas.openxmlformats.org/officeDocument/2006/relationships/hyperlink" Target="https://ifrf.net/research/handbook/what-are-the-combustion-and-flue-gas-properties-of-coke-oven-gas/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17" Type="http://schemas.openxmlformats.org/officeDocument/2006/relationships/hyperlink" Target="https://bulkcarrierguide.com/iron-ore.html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hyperlink" Target="https://www.greatphe.com/mining.html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hyperlink" Target="https://www.greatphe.com/mining.html" TargetMode="External"/><Relationship Id="rId10" Type="http://schemas.openxmlformats.org/officeDocument/2006/relationships/hyperlink" Target="https://www.energy.gov/sites/prod/files/2015/08/f26/iron_and_steel_bandwidth_report_0.pdf" TargetMode="External"/><Relationship Id="rId19" Type="http://schemas.openxmlformats.org/officeDocument/2006/relationships/drawing" Target="../drawings/drawing2.xm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49C7-FB86-CE41-8CE4-5E2C8AEFC517}">
  <dimension ref="B4:E20"/>
  <sheetViews>
    <sheetView zoomScale="172" workbookViewId="0">
      <selection activeCell="D21" sqref="D21"/>
    </sheetView>
  </sheetViews>
  <sheetFormatPr baseColWidth="10" defaultRowHeight="15" x14ac:dyDescent="0.2"/>
  <cols>
    <col min="2" max="2" width="27.5" customWidth="1"/>
    <col min="3" max="3" width="72.5" bestFit="1" customWidth="1"/>
    <col min="4" max="4" width="58" bestFit="1" customWidth="1"/>
  </cols>
  <sheetData>
    <row r="4" spans="2:5" x14ac:dyDescent="0.2">
      <c r="B4" s="319" t="s">
        <v>745</v>
      </c>
      <c r="C4" s="318" t="s">
        <v>746</v>
      </c>
      <c r="D4" t="s">
        <v>776</v>
      </c>
      <c r="E4" t="s">
        <v>777</v>
      </c>
    </row>
    <row r="5" spans="2:5" x14ac:dyDescent="0.2">
      <c r="B5" s="323" t="s">
        <v>747</v>
      </c>
      <c r="C5" t="s">
        <v>760</v>
      </c>
      <c r="D5" t="s">
        <v>778</v>
      </c>
    </row>
    <row r="6" spans="2:5" x14ac:dyDescent="0.2">
      <c r="B6" s="326" t="s">
        <v>748</v>
      </c>
      <c r="C6" s="327" t="s">
        <v>761</v>
      </c>
      <c r="D6" t="s">
        <v>779</v>
      </c>
    </row>
    <row r="7" spans="2:5" x14ac:dyDescent="0.2">
      <c r="B7" s="323" t="s">
        <v>749</v>
      </c>
      <c r="C7" t="s">
        <v>762</v>
      </c>
      <c r="D7" t="s">
        <v>780</v>
      </c>
    </row>
    <row r="8" spans="2:5" x14ac:dyDescent="0.2">
      <c r="B8" s="324" t="s">
        <v>750</v>
      </c>
      <c r="C8" s="325" t="s">
        <v>763</v>
      </c>
      <c r="D8" t="s">
        <v>781</v>
      </c>
    </row>
    <row r="9" spans="2:5" x14ac:dyDescent="0.2">
      <c r="B9" s="324" t="s">
        <v>751</v>
      </c>
      <c r="C9" s="325" t="s">
        <v>764</v>
      </c>
      <c r="D9" t="s">
        <v>782</v>
      </c>
    </row>
    <row r="10" spans="2:5" x14ac:dyDescent="0.2">
      <c r="B10" s="324" t="s">
        <v>752</v>
      </c>
      <c r="C10" s="325" t="s">
        <v>765</v>
      </c>
      <c r="D10" t="s">
        <v>783</v>
      </c>
    </row>
    <row r="11" spans="2:5" x14ac:dyDescent="0.2">
      <c r="B11" s="324" t="s">
        <v>753</v>
      </c>
      <c r="C11" s="325" t="s">
        <v>766</v>
      </c>
      <c r="D11" t="s">
        <v>784</v>
      </c>
    </row>
    <row r="12" spans="2:5" x14ac:dyDescent="0.2">
      <c r="B12" s="324" t="s">
        <v>754</v>
      </c>
      <c r="C12" s="325" t="s">
        <v>767</v>
      </c>
      <c r="D12" t="s">
        <v>785</v>
      </c>
    </row>
    <row r="13" spans="2:5" x14ac:dyDescent="0.2">
      <c r="B13" s="326" t="s">
        <v>755</v>
      </c>
      <c r="C13" s="327" t="s">
        <v>768</v>
      </c>
      <c r="D13" t="s">
        <v>786</v>
      </c>
    </row>
    <row r="14" spans="2:5" x14ac:dyDescent="0.2">
      <c r="B14" s="328" t="s">
        <v>279</v>
      </c>
      <c r="C14" s="329" t="s">
        <v>769</v>
      </c>
      <c r="D14" t="s">
        <v>787</v>
      </c>
    </row>
    <row r="15" spans="2:5" x14ac:dyDescent="0.2">
      <c r="B15" s="328" t="s">
        <v>756</v>
      </c>
      <c r="C15" s="329" t="s">
        <v>770</v>
      </c>
      <c r="D15" t="s">
        <v>788</v>
      </c>
    </row>
    <row r="16" spans="2:5" x14ac:dyDescent="0.2">
      <c r="B16" s="328" t="s">
        <v>757</v>
      </c>
      <c r="C16" s="329" t="s">
        <v>771</v>
      </c>
      <c r="D16" t="s">
        <v>789</v>
      </c>
    </row>
    <row r="17" spans="2:4" x14ac:dyDescent="0.2">
      <c r="B17" s="323" t="s">
        <v>758</v>
      </c>
      <c r="C17" t="s">
        <v>772</v>
      </c>
      <c r="D17" t="s">
        <v>790</v>
      </c>
    </row>
    <row r="18" spans="2:4" x14ac:dyDescent="0.2">
      <c r="B18" s="324" t="s">
        <v>0</v>
      </c>
      <c r="C18" s="325" t="s">
        <v>773</v>
      </c>
      <c r="D18" t="s">
        <v>791</v>
      </c>
    </row>
    <row r="19" spans="2:4" x14ac:dyDescent="0.2">
      <c r="B19" s="324" t="s">
        <v>244</v>
      </c>
      <c r="C19" s="325" t="s">
        <v>774</v>
      </c>
      <c r="D19" t="s">
        <v>791</v>
      </c>
    </row>
    <row r="20" spans="2:4" x14ac:dyDescent="0.2">
      <c r="B20" s="324" t="s">
        <v>759</v>
      </c>
      <c r="C20" s="325" t="s">
        <v>775</v>
      </c>
      <c r="D20" t="s">
        <v>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zoomScale="89" workbookViewId="0">
      <selection activeCell="AH13" sqref="AE13:AH13"/>
    </sheetView>
  </sheetViews>
  <sheetFormatPr baseColWidth="10" defaultColWidth="11.5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37" t="s">
        <v>95</v>
      </c>
      <c r="S2" s="338"/>
      <c r="T2" s="337" t="s">
        <v>100</v>
      </c>
      <c r="U2" s="338"/>
      <c r="W2" s="337" t="s">
        <v>164</v>
      </c>
      <c r="X2" s="341"/>
      <c r="Y2" s="338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39" t="s">
        <v>305</v>
      </c>
      <c r="AJ2" s="339"/>
    </row>
    <row r="3" spans="2:41" ht="18" customHeight="1" x14ac:dyDescent="0.25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 x14ac:dyDescent="0.25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7" customHeight="1" x14ac:dyDescent="0.25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 x14ac:dyDescent="0.25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40" t="s">
        <v>548</v>
      </c>
      <c r="AJ6" s="340"/>
    </row>
    <row r="7" spans="2:41" ht="18" customHeight="1" x14ac:dyDescent="0.25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 x14ac:dyDescent="0.25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 x14ac:dyDescent="0.25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 x14ac:dyDescent="0.25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 x14ac:dyDescent="0.25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 x14ac:dyDescent="0.25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 x14ac:dyDescent="0.25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 x14ac:dyDescent="0.25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" customHeight="1" x14ac:dyDescent="0.2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" customHeight="1" x14ac:dyDescent="0.2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7" customHeight="1" x14ac:dyDescent="0.25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 x14ac:dyDescent="0.25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7" customHeight="1" x14ac:dyDescent="0.25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" customHeight="1" x14ac:dyDescent="0.2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" customHeight="1" x14ac:dyDescent="0.2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" customHeight="1" x14ac:dyDescent="0.2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7" customHeight="1" x14ac:dyDescent="0.25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" customHeight="1" x14ac:dyDescent="0.2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7" customHeight="1" x14ac:dyDescent="0.25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7" customHeight="1" x14ac:dyDescent="0.25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" customHeight="1" x14ac:dyDescent="0.2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7" customHeight="1" x14ac:dyDescent="0.25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" customHeight="1" x14ac:dyDescent="0.2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7" customHeight="1" x14ac:dyDescent="0.25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7" customHeight="1" x14ac:dyDescent="0.25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7" customHeight="1" x14ac:dyDescent="0.25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7" customHeight="1" x14ac:dyDescent="0.25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7" customHeight="1" x14ac:dyDescent="0.25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7" customHeight="1" x14ac:dyDescent="0.25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" customHeight="1" x14ac:dyDescent="0.2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7" customHeight="1" x14ac:dyDescent="0.25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7" customHeight="1" x14ac:dyDescent="0.25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7" customHeight="1" x14ac:dyDescent="0.25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7" customHeight="1" x14ac:dyDescent="0.25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7" customHeight="1" x14ac:dyDescent="0.25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7" customHeight="1" x14ac:dyDescent="0.25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7" customHeight="1" x14ac:dyDescent="0.25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7" customHeight="1" x14ac:dyDescent="0.25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7" customHeight="1" x14ac:dyDescent="0.25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7" customHeight="1" x14ac:dyDescent="0.25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7" customHeight="1" x14ac:dyDescent="0.25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 x14ac:dyDescent="0.25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7" customHeight="1" x14ac:dyDescent="0.25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21"/>
    </row>
    <row r="54" spans="2:8" x14ac:dyDescent="0.2">
      <c r="B54" s="14" t="s">
        <v>99</v>
      </c>
    </row>
    <row r="55" spans="2:8" ht="17" customHeight="1" x14ac:dyDescent="0.25">
      <c r="B55" s="20" t="s">
        <v>53</v>
      </c>
      <c r="C55" s="14" t="s">
        <v>114</v>
      </c>
    </row>
    <row r="56" spans="2:8" ht="17" customHeight="1" x14ac:dyDescent="0.25">
      <c r="B56" s="20" t="s">
        <v>53</v>
      </c>
      <c r="C56" s="3" t="s">
        <v>295</v>
      </c>
    </row>
    <row r="57" spans="2:8" ht="18" customHeight="1" x14ac:dyDescent="0.25">
      <c r="B57" s="5" t="s">
        <v>6</v>
      </c>
      <c r="C57" s="3" t="s">
        <v>283</v>
      </c>
    </row>
    <row r="58" spans="2:8" ht="18" customHeight="1" x14ac:dyDescent="0.25">
      <c r="B58" s="5" t="s">
        <v>6</v>
      </c>
      <c r="C58" s="14" t="s">
        <v>118</v>
      </c>
    </row>
    <row r="59" spans="2:8" ht="17" customHeight="1" x14ac:dyDescent="0.25">
      <c r="B59" s="20" t="s">
        <v>125</v>
      </c>
      <c r="C59" s="14" t="s">
        <v>126</v>
      </c>
    </row>
    <row r="60" spans="2:8" x14ac:dyDescent="0.2">
      <c r="B60" s="20" t="s">
        <v>270</v>
      </c>
      <c r="C60" s="3" t="s">
        <v>272</v>
      </c>
    </row>
    <row r="61" spans="2:8" x14ac:dyDescent="0.2">
      <c r="B61" s="20" t="s">
        <v>5</v>
      </c>
      <c r="C61" s="3" t="s">
        <v>282</v>
      </c>
    </row>
    <row r="62" spans="2:8" x14ac:dyDescent="0.2">
      <c r="B62" s="20" t="s">
        <v>306</v>
      </c>
      <c r="C62" s="3" t="s">
        <v>513</v>
      </c>
    </row>
    <row r="63" spans="2:8" x14ac:dyDescent="0.2">
      <c r="B63" s="20" t="s">
        <v>311</v>
      </c>
      <c r="C63" s="14" t="s">
        <v>313</v>
      </c>
    </row>
    <row r="64" spans="2:8" x14ac:dyDescent="0.2">
      <c r="B64" s="20" t="s">
        <v>570</v>
      </c>
      <c r="C64" s="12" t="s">
        <v>571</v>
      </c>
    </row>
    <row r="65" spans="2:3" x14ac:dyDescent="0.2">
      <c r="B65" s="20" t="s">
        <v>396</v>
      </c>
      <c r="C65" s="14" t="s">
        <v>397</v>
      </c>
    </row>
    <row r="66" spans="2:3" ht="17" customHeight="1" x14ac:dyDescent="0.25">
      <c r="B66" s="20" t="s">
        <v>391</v>
      </c>
      <c r="C66" s="14" t="s">
        <v>390</v>
      </c>
    </row>
    <row r="67" spans="2:3" x14ac:dyDescent="0.2">
      <c r="B67" s="20" t="s">
        <v>39</v>
      </c>
      <c r="C67" s="14" t="s">
        <v>508</v>
      </c>
    </row>
    <row r="68" spans="2:3" x14ac:dyDescent="0.2">
      <c r="B68" s="20" t="s">
        <v>511</v>
      </c>
      <c r="C68" s="3" t="s">
        <v>568</v>
      </c>
    </row>
    <row r="69" spans="2:3" x14ac:dyDescent="0.2">
      <c r="B69" s="20" t="s">
        <v>524</v>
      </c>
      <c r="C69" s="14" t="s">
        <v>544</v>
      </c>
    </row>
    <row r="75" spans="2:3" ht="20" customHeight="1" x14ac:dyDescent="0.2">
      <c r="C75" s="11"/>
    </row>
    <row r="76" spans="2:3" ht="20" customHeight="1" x14ac:dyDescent="0.2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baseColWidth="10" defaultColWidth="11.5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3" t="s">
        <v>116</v>
      </c>
      <c r="B2" s="14" t="s">
        <v>117</v>
      </c>
      <c r="C2" s="14" t="s">
        <v>127</v>
      </c>
    </row>
    <row r="10" spans="1:28" ht="17" customHeight="1" x14ac:dyDescent="0.25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48" t="s">
        <v>115</v>
      </c>
      <c r="P10" s="348"/>
      <c r="Q10" s="348"/>
      <c r="R10" s="348"/>
      <c r="S10" s="348"/>
      <c r="T10" s="348"/>
      <c r="U10" s="348"/>
      <c r="V10" s="348" t="s">
        <v>115</v>
      </c>
      <c r="W10" s="348"/>
      <c r="X10" s="348"/>
      <c r="Y10" s="348"/>
      <c r="Z10" s="348"/>
      <c r="AA10" s="348"/>
      <c r="AB10" s="348"/>
    </row>
    <row r="11" spans="1:28" ht="18" customHeight="1" x14ac:dyDescent="0.25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48" t="s">
        <v>236</v>
      </c>
      <c r="P11" s="348"/>
      <c r="Q11" s="348"/>
      <c r="R11" s="337"/>
      <c r="S11" s="338"/>
      <c r="T11" s="356" t="s">
        <v>235</v>
      </c>
      <c r="U11" s="356"/>
      <c r="V11" s="348" t="str">
        <f>_xlfn.CONCAT(E19," ",C19," ","+"," ",E21," ",C21," ","--&gt;"," ",E22," ",C22," ","+"," ",E20*E21," ",C20)</f>
        <v>1.5 C + 1.5 O2 --&gt; 1.5 CO2 + 5.64 N2</v>
      </c>
      <c r="W11" s="348"/>
      <c r="X11" s="348"/>
      <c r="Y11" s="348"/>
      <c r="Z11" s="348"/>
      <c r="AA11" s="348"/>
      <c r="AB11" s="348"/>
    </row>
    <row r="12" spans="1:28" ht="18" customHeight="1" x14ac:dyDescent="0.25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48" t="s">
        <v>156</v>
      </c>
      <c r="P12" s="348"/>
      <c r="Q12" s="348"/>
      <c r="R12" s="337"/>
      <c r="S12" s="338"/>
      <c r="T12" s="348" t="s">
        <v>155</v>
      </c>
      <c r="U12" s="348"/>
      <c r="V12" s="348" t="str">
        <f>_xlfn.CONCAT(E25," ",C25," ","+"," ",E26," ",C26," ","--&gt;"," ",E27," ",C27)</f>
        <v>1.5 CO2 + 1.5 C --&gt; 3 CO</v>
      </c>
      <c r="W12" s="348"/>
      <c r="X12" s="348"/>
      <c r="Y12" s="348"/>
      <c r="Z12" s="348"/>
      <c r="AA12" s="348"/>
      <c r="AB12" s="348"/>
    </row>
    <row r="13" spans="1:28" ht="18" customHeight="1" x14ac:dyDescent="0.25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48" t="s">
        <v>157</v>
      </c>
      <c r="P13" s="348"/>
      <c r="Q13" s="348"/>
      <c r="R13" s="337"/>
      <c r="S13" s="338"/>
      <c r="T13" s="356" t="s">
        <v>158</v>
      </c>
      <c r="U13" s="356"/>
      <c r="V13" s="348" t="str">
        <f>_xlfn.CONCAT(E29," ",C29," ","+"," ",E30," ",C30," ","--&gt;"," ",E31," ",C31," ","+"," ",E32," ",C32)</f>
        <v>1 Fe2O3 + 3 CO --&gt; 2 Fe + 3 CO2</v>
      </c>
      <c r="W13" s="348"/>
      <c r="X13" s="348"/>
      <c r="Y13" s="348"/>
      <c r="Z13" s="348"/>
      <c r="AA13" s="348"/>
      <c r="AB13" s="348"/>
    </row>
    <row r="14" spans="1:28" x14ac:dyDescent="0.2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48"/>
      <c r="P14" s="348"/>
      <c r="Q14" s="348"/>
      <c r="R14" s="337"/>
      <c r="S14" s="338"/>
      <c r="T14" s="348"/>
      <c r="U14" s="348"/>
      <c r="V14" s="348" t="str">
        <f>_xlfn.CONCAT(E36," ",C36," ","--&gt;"," ",E37," ",C37," ","+"," ",E39," ",C39)</f>
        <v>1 CaCO3 --&gt; 1 CaO + 0.0624775822865075 MgO</v>
      </c>
      <c r="W14" s="348"/>
      <c r="X14" s="348"/>
      <c r="Y14" s="348"/>
      <c r="Z14" s="348"/>
      <c r="AA14" s="348"/>
      <c r="AB14" s="348"/>
    </row>
    <row r="15" spans="1:28" ht="17" customHeight="1" x14ac:dyDescent="0.25">
      <c r="O15" s="348" t="s">
        <v>159</v>
      </c>
      <c r="P15" s="348"/>
      <c r="Q15" s="348"/>
      <c r="R15" s="337"/>
      <c r="S15" s="338"/>
      <c r="T15" s="348" t="s">
        <v>160</v>
      </c>
      <c r="U15" s="348"/>
      <c r="V15" s="348" t="str">
        <f>_xlfn.CONCAT(E41," ",C41," ","+"," ",E42," ",C42," ","--&gt;"," ",E43," ",C43)</f>
        <v>1 CaO + 1 SiO2 --&gt; 1 CaSiO3</v>
      </c>
      <c r="W15" s="348"/>
      <c r="X15" s="348"/>
      <c r="Y15" s="348"/>
      <c r="Z15" s="348"/>
      <c r="AA15" s="348"/>
      <c r="AB15" s="348"/>
    </row>
    <row r="16" spans="1:28" x14ac:dyDescent="0.2">
      <c r="L16" s="29" t="s">
        <v>323</v>
      </c>
      <c r="M16" s="33" t="s">
        <v>324</v>
      </c>
    </row>
    <row r="17" spans="1:28" x14ac:dyDescent="0.2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48" t="s">
        <v>261</v>
      </c>
      <c r="P17" s="348"/>
      <c r="Q17" s="348"/>
      <c r="R17" s="348"/>
      <c r="S17" s="348"/>
      <c r="T17" s="348"/>
      <c r="U17" s="348"/>
      <c r="V17" s="348" t="s">
        <v>115</v>
      </c>
      <c r="W17" s="348"/>
      <c r="X17" s="348"/>
      <c r="Y17" s="348"/>
      <c r="Z17" s="348"/>
      <c r="AA17" s="348"/>
      <c r="AB17" s="348"/>
    </row>
    <row r="18" spans="1:28" ht="17" customHeight="1" x14ac:dyDescent="0.25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48" t="s">
        <v>262</v>
      </c>
      <c r="P18" s="348"/>
      <c r="Q18" s="348"/>
      <c r="R18" s="348"/>
      <c r="S18" s="348"/>
      <c r="T18" s="348" t="s">
        <v>263</v>
      </c>
      <c r="U18" s="337"/>
      <c r="V18" s="360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60"/>
      <c r="X18" s="360"/>
      <c r="Y18" s="360"/>
      <c r="Z18" s="360"/>
      <c r="AA18" s="360"/>
      <c r="AB18" s="360"/>
    </row>
    <row r="19" spans="1:28" ht="16" customHeight="1" x14ac:dyDescent="0.2">
      <c r="B19" s="351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60"/>
      <c r="W19" s="360"/>
      <c r="X19" s="360"/>
      <c r="Y19" s="360"/>
      <c r="Z19" s="360"/>
      <c r="AA19" s="360"/>
      <c r="AB19" s="360"/>
    </row>
    <row r="20" spans="1:28" ht="18" customHeight="1" x14ac:dyDescent="0.25">
      <c r="A20" s="1"/>
      <c r="B20" s="352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7" customHeight="1" x14ac:dyDescent="0.25">
      <c r="A21" s="1"/>
      <c r="B21" s="353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54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 x14ac:dyDescent="0.25">
      <c r="B23" s="355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 x14ac:dyDescent="0.2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7" customHeight="1" x14ac:dyDescent="0.25">
      <c r="B25" s="357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 x14ac:dyDescent="0.2">
      <c r="B26" s="357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" customHeight="1" x14ac:dyDescent="0.2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" customHeight="1" x14ac:dyDescent="0.2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 x14ac:dyDescent="0.25">
      <c r="B29" s="357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 x14ac:dyDescent="0.2">
      <c r="B30" s="357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 x14ac:dyDescent="0.2">
      <c r="B31" s="358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7" customHeight="1" x14ac:dyDescent="0.25">
      <c r="B32" s="359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 x14ac:dyDescent="0.2">
      <c r="M33" s="14" t="s">
        <v>5</v>
      </c>
      <c r="N33" s="14" t="s">
        <v>1</v>
      </c>
      <c r="O33" s="14" t="s">
        <v>1</v>
      </c>
    </row>
    <row r="34" spans="2:23" x14ac:dyDescent="0.2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 x14ac:dyDescent="0.25">
      <c r="B35" s="344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 x14ac:dyDescent="0.25">
      <c r="B36" s="345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" customHeight="1" x14ac:dyDescent="0.2">
      <c r="B37" s="357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7" customHeight="1" x14ac:dyDescent="0.25">
      <c r="B38" s="351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 x14ac:dyDescent="0.2">
      <c r="B39" s="351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 x14ac:dyDescent="0.2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" customHeight="1" x14ac:dyDescent="0.2">
      <c r="B41" s="357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 x14ac:dyDescent="0.25">
      <c r="B42" s="357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 x14ac:dyDescent="0.2">
      <c r="B44" s="340" t="s">
        <v>18</v>
      </c>
      <c r="C44" s="340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46" t="s">
        <v>276</v>
      </c>
      <c r="D47" s="346"/>
      <c r="E47" s="346"/>
      <c r="F47" s="346"/>
    </row>
    <row r="48" spans="2:23" x14ac:dyDescent="0.2">
      <c r="C48" s="347"/>
      <c r="D48" s="347"/>
      <c r="E48" s="347"/>
      <c r="F48" s="347"/>
      <c r="H48" s="348" t="s">
        <v>69</v>
      </c>
      <c r="I48" s="348"/>
      <c r="J48" s="348"/>
      <c r="K48" s="348"/>
      <c r="L48" s="348"/>
      <c r="M48" s="348"/>
    </row>
    <row r="49" spans="1:17" ht="18" customHeight="1" x14ac:dyDescent="0.25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48" t="s">
        <v>73</v>
      </c>
      <c r="I49" s="348"/>
      <c r="J49" s="348"/>
      <c r="K49" s="20"/>
      <c r="L49" s="356" t="s">
        <v>281</v>
      </c>
      <c r="M49" s="356"/>
    </row>
    <row r="50" spans="1:17" ht="17" customHeight="1" x14ac:dyDescent="0.25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 x14ac:dyDescent="0.2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43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3"/>
      <c r="J51" s="343"/>
      <c r="K51" s="343"/>
      <c r="L51" s="343"/>
      <c r="M51" s="343"/>
    </row>
    <row r="52" spans="1:17" ht="16.25" customHeight="1" x14ac:dyDescent="0.2">
      <c r="C52" s="24"/>
      <c r="H52" s="343"/>
      <c r="I52" s="343"/>
      <c r="J52" s="343"/>
      <c r="K52" s="343"/>
      <c r="L52" s="343"/>
      <c r="M52" s="343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 x14ac:dyDescent="0.25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7" customHeight="1" x14ac:dyDescent="0.25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49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 x14ac:dyDescent="0.25">
      <c r="A60" s="342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50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 x14ac:dyDescent="0.25">
      <c r="A61" s="342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50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 x14ac:dyDescent="0.2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50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19"/>
      <c r="L63" s="49"/>
      <c r="M63" s="49"/>
      <c r="N63" s="49"/>
      <c r="O63" s="49"/>
      <c r="P63" s="18"/>
      <c r="Q63" s="18"/>
    </row>
    <row r="64" spans="1:17" ht="18" customHeight="1" x14ac:dyDescent="0.25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5" customHeight="1" x14ac:dyDescent="0.25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46" t="s">
        <v>296</v>
      </c>
      <c r="C69" s="346"/>
      <c r="D69" s="346"/>
      <c r="E69" s="346"/>
      <c r="F69" s="346"/>
      <c r="G69" s="346"/>
      <c r="Y69" s="361" t="s">
        <v>514</v>
      </c>
      <c r="Z69" s="362"/>
      <c r="AA69" s="362"/>
      <c r="AB69" s="362"/>
      <c r="AC69" s="362"/>
      <c r="AD69" s="362"/>
      <c r="AE69" s="362"/>
      <c r="AF69" s="362"/>
    </row>
    <row r="70" spans="2:45" x14ac:dyDescent="0.2">
      <c r="B70" s="363"/>
      <c r="C70" s="363"/>
      <c r="D70" s="363"/>
      <c r="E70" s="363"/>
      <c r="F70" s="363"/>
      <c r="G70" s="363"/>
      <c r="K70" s="14" t="s">
        <v>523</v>
      </c>
      <c r="Y70" s="361"/>
      <c r="Z70" s="362"/>
      <c r="AA70" s="362"/>
      <c r="AB70" s="362"/>
      <c r="AC70" s="362"/>
      <c r="AD70" s="362"/>
      <c r="AE70" s="362"/>
      <c r="AF70" s="362"/>
    </row>
    <row r="71" spans="2:45" x14ac:dyDescent="0.2">
      <c r="E71" s="20"/>
      <c r="F71" s="20" t="s">
        <v>298</v>
      </c>
      <c r="G71" s="20" t="s">
        <v>298</v>
      </c>
      <c r="Y71" s="361"/>
      <c r="Z71" s="362"/>
      <c r="AA71" s="362"/>
      <c r="AB71" s="362"/>
      <c r="AC71" s="362"/>
      <c r="AD71" s="362"/>
      <c r="AE71" s="362"/>
      <c r="AF71" s="362"/>
    </row>
    <row r="72" spans="2:45" x14ac:dyDescent="0.2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7" customHeight="1" x14ac:dyDescent="0.25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 x14ac:dyDescent="0.25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7" customHeight="1" x14ac:dyDescent="0.25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7" customHeight="1" x14ac:dyDescent="0.25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" customHeight="1" x14ac:dyDescent="0.2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 x14ac:dyDescent="0.25">
      <c r="E78" s="20" t="s">
        <v>524</v>
      </c>
      <c r="F78" s="20">
        <v>1415</v>
      </c>
      <c r="G78" s="20">
        <f>(G74*F78)/F74</f>
        <v>23.982067525572877</v>
      </c>
      <c r="H78" s="339"/>
      <c r="I78" s="339"/>
      <c r="J78" s="339"/>
      <c r="K78" s="339"/>
      <c r="L78" s="339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7" customHeight="1" x14ac:dyDescent="0.25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603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24"/>
    </row>
    <row r="85" spans="1:39" ht="16" customHeight="1" x14ac:dyDescent="0.2">
      <c r="G85" s="21"/>
      <c r="P85" s="1"/>
      <c r="Y85" s="53" t="s">
        <v>604</v>
      </c>
      <c r="AG85" s="24"/>
      <c r="AI85" s="24"/>
      <c r="AL85" s="24"/>
    </row>
    <row r="86" spans="1:39" ht="17" customHeight="1" x14ac:dyDescent="0.25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" customHeight="1" x14ac:dyDescent="0.25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50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67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50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67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50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67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50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67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" customHeight="1" x14ac:dyDescent="0.2">
      <c r="A93" s="367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" customHeight="1" x14ac:dyDescent="0.2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 x14ac:dyDescent="0.25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 x14ac:dyDescent="0.25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42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7" customHeight="1" x14ac:dyDescent="0.2">
      <c r="A99" s="342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42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42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 x14ac:dyDescent="0.2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64" t="s">
        <v>504</v>
      </c>
      <c r="I103" s="364"/>
      <c r="J103" s="364"/>
      <c r="K103" s="364"/>
      <c r="Y103" s="53">
        <v>0.7</v>
      </c>
      <c r="AG103" s="14">
        <v>0.3</v>
      </c>
    </row>
    <row r="104" spans="1:38" ht="17" customHeight="1" x14ac:dyDescent="0.25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 x14ac:dyDescent="0.25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65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67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65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67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65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67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65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67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 x14ac:dyDescent="0.25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65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67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 x14ac:dyDescent="0.25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65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67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 x14ac:dyDescent="0.25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65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 x14ac:dyDescent="0.2">
      <c r="A114" s="365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7" customHeight="1" x14ac:dyDescent="0.25">
      <c r="A115" s="365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 x14ac:dyDescent="0.25">
      <c r="A116" s="365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 x14ac:dyDescent="0.25">
      <c r="A117" s="365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 x14ac:dyDescent="0.2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7" customHeight="1" x14ac:dyDescent="0.2">
      <c r="B119" s="52"/>
      <c r="E119" s="14"/>
      <c r="H119" s="52"/>
      <c r="K119" s="14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24"/>
      <c r="I121" s="57"/>
      <c r="J121" s="57"/>
      <c r="K121" s="57"/>
    </row>
    <row r="122" spans="1:31" ht="16" customHeight="1" x14ac:dyDescent="0.2">
      <c r="B122" s="24"/>
      <c r="I122" s="57"/>
      <c r="J122" s="57"/>
      <c r="K122" s="57"/>
    </row>
    <row r="123" spans="1:31" ht="16" customHeight="1" x14ac:dyDescent="0.2">
      <c r="B123" s="24"/>
      <c r="H123" s="24"/>
      <c r="I123" s="57"/>
      <c r="J123" s="57"/>
      <c r="K123" s="57"/>
    </row>
    <row r="127" spans="1:31" ht="16" customHeight="1" x14ac:dyDescent="0.2">
      <c r="D127" s="24"/>
      <c r="AE127" s="3"/>
    </row>
    <row r="136" spans="4:19" x14ac:dyDescent="0.2">
      <c r="M136" s="3"/>
    </row>
    <row r="143" spans="4:19" x14ac:dyDescent="0.2">
      <c r="D143" s="339" t="s">
        <v>557</v>
      </c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</row>
    <row r="155" spans="1:30" x14ac:dyDescent="0.2">
      <c r="D155" s="14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66" t="s">
        <v>506</v>
      </c>
      <c r="D158" s="366"/>
      <c r="E158" s="366"/>
      <c r="F158" s="366"/>
      <c r="G158" s="366"/>
    </row>
    <row r="159" spans="1:30" x14ac:dyDescent="0.2">
      <c r="B159" s="52" t="s">
        <v>358</v>
      </c>
      <c r="C159" s="362"/>
      <c r="D159" s="362"/>
      <c r="E159" s="362"/>
      <c r="F159" s="362"/>
      <c r="G159" s="362"/>
    </row>
    <row r="160" spans="1:30" x14ac:dyDescent="0.2">
      <c r="B160" s="14">
        <v>0.7</v>
      </c>
      <c r="I160" s="20" t="s">
        <v>264</v>
      </c>
    </row>
    <row r="161" spans="2:14" ht="18" customHeight="1" x14ac:dyDescent="0.25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 x14ac:dyDescent="0.25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 x14ac:dyDescent="0.25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 x14ac:dyDescent="0.25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 x14ac:dyDescent="0.2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 x14ac:dyDescent="0.25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 x14ac:dyDescent="0.2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 x14ac:dyDescent="0.2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 x14ac:dyDescent="0.2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 x14ac:dyDescent="0.2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62" t="s">
        <v>563</v>
      </c>
      <c r="C180" s="362"/>
      <c r="D180" s="362"/>
      <c r="E180" s="362"/>
      <c r="F180" s="362"/>
      <c r="G180" s="362"/>
    </row>
    <row r="181" spans="1:21" x14ac:dyDescent="0.2">
      <c r="B181" s="362"/>
      <c r="C181" s="362"/>
      <c r="D181" s="362"/>
      <c r="E181" s="362"/>
      <c r="F181" s="362"/>
      <c r="G181" s="362"/>
    </row>
    <row r="182" spans="1:21" x14ac:dyDescent="0.2">
      <c r="B182" s="362"/>
      <c r="C182" s="362"/>
      <c r="D182" s="362"/>
      <c r="E182" s="362"/>
      <c r="F182" s="362"/>
      <c r="G182" s="362"/>
    </row>
    <row r="185" spans="1:21" x14ac:dyDescent="0.2">
      <c r="I185" s="20" t="s">
        <v>264</v>
      </c>
    </row>
    <row r="186" spans="1:21" ht="18" customHeight="1" x14ac:dyDescent="0.25">
      <c r="B186" s="52"/>
      <c r="I186" s="5" t="s">
        <v>83</v>
      </c>
    </row>
    <row r="187" spans="1:21" x14ac:dyDescent="0.2">
      <c r="I187" s="20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 x14ac:dyDescent="0.25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 x14ac:dyDescent="0.25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 x14ac:dyDescent="0.25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 x14ac:dyDescent="0.2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 x14ac:dyDescent="0.2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 x14ac:dyDescent="0.2">
      <c r="G197" s="14" t="s">
        <v>28</v>
      </c>
    </row>
    <row r="198" spans="1:101" ht="18" customHeight="1" x14ac:dyDescent="0.25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 x14ac:dyDescent="0.25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 x14ac:dyDescent="0.2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 x14ac:dyDescent="0.2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39"/>
    </row>
    <row r="202" spans="1:101" x14ac:dyDescent="0.2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39"/>
    </row>
    <row r="203" spans="1:101" x14ac:dyDescent="0.2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39"/>
    </row>
    <row r="204" spans="1:101" x14ac:dyDescent="0.2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39"/>
    </row>
    <row r="205" spans="1:101" x14ac:dyDescent="0.2">
      <c r="CJ205" s="339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39"/>
    </row>
    <row r="208" spans="1:101" ht="18" customHeight="1" x14ac:dyDescent="0.25">
      <c r="B208" s="362" t="s">
        <v>392</v>
      </c>
      <c r="C208" s="362"/>
      <c r="D208" s="362"/>
      <c r="E208" s="362"/>
      <c r="G208" s="7" t="s">
        <v>66</v>
      </c>
      <c r="H208" s="7" t="s">
        <v>23</v>
      </c>
      <c r="J208" s="348" t="s">
        <v>69</v>
      </c>
      <c r="K208" s="348"/>
      <c r="L208" s="348"/>
      <c r="M208" s="348"/>
      <c r="N208" s="348"/>
      <c r="O208" s="348"/>
    </row>
    <row r="209" spans="1:88" ht="18" customHeight="1" x14ac:dyDescent="0.25">
      <c r="B209" s="362"/>
      <c r="C209" s="362"/>
      <c r="D209" s="362"/>
      <c r="E209" s="362"/>
      <c r="G209" s="20">
        <v>3.76</v>
      </c>
      <c r="H209" s="20">
        <v>2</v>
      </c>
      <c r="J209" s="348" t="s">
        <v>394</v>
      </c>
      <c r="K209" s="348"/>
      <c r="L209" s="348"/>
      <c r="M209" s="20"/>
      <c r="N209" s="356" t="s">
        <v>74</v>
      </c>
      <c r="O209" s="356"/>
    </row>
    <row r="210" spans="1:88" x14ac:dyDescent="0.2">
      <c r="B210" s="362"/>
      <c r="C210" s="362"/>
      <c r="D210" s="362"/>
      <c r="E210" s="362"/>
      <c r="J210" s="348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48"/>
      <c r="L210" s="348"/>
      <c r="M210" s="348"/>
      <c r="N210" s="348"/>
      <c r="O210" s="348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 x14ac:dyDescent="0.2">
      <c r="B211" s="339" t="s">
        <v>507</v>
      </c>
      <c r="C211" s="339"/>
      <c r="D211" s="339"/>
      <c r="E211" s="339"/>
    </row>
    <row r="213" spans="1:88" ht="17" customHeight="1" x14ac:dyDescent="0.25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 x14ac:dyDescent="0.25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 x14ac:dyDescent="0.25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 x14ac:dyDescent="0.25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39"/>
      <c r="BL216" s="339"/>
      <c r="BM216" s="339"/>
      <c r="BN216" s="339"/>
    </row>
    <row r="217" spans="1:88" ht="18" customHeight="1" x14ac:dyDescent="0.25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39"/>
      <c r="BL217" s="339"/>
      <c r="BM217" s="339"/>
      <c r="BN217" s="339"/>
      <c r="CJ217" s="339"/>
    </row>
    <row r="218" spans="1:88" ht="22" customHeight="1" x14ac:dyDescent="0.2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39"/>
      <c r="BQ218" s="14" t="e">
        <f>BS218*BT218</f>
        <v>#DIV/0!</v>
      </c>
      <c r="BT218" s="14" t="e">
        <f>O2_Naturalgas_molcoeff*BT230</f>
        <v>#DIV/0!</v>
      </c>
      <c r="CJ218" s="339"/>
    </row>
    <row r="219" spans="1:88" x14ac:dyDescent="0.2">
      <c r="BO219" s="339"/>
      <c r="BQ219" s="14">
        <f>N2_for_coke_oven_comb</f>
        <v>0</v>
      </c>
      <c r="CJ219" s="339"/>
    </row>
    <row r="220" spans="1:88" x14ac:dyDescent="0.2">
      <c r="CJ220" s="339"/>
    </row>
    <row r="221" spans="1:88" x14ac:dyDescent="0.2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39"/>
    </row>
    <row r="222" spans="1:88" x14ac:dyDescent="0.2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 x14ac:dyDescent="0.25">
      <c r="A223" s="367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 x14ac:dyDescent="0.2">
      <c r="A224" s="367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 x14ac:dyDescent="0.25">
      <c r="A225" s="367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 x14ac:dyDescent="0.2">
      <c r="C227" s="14" t="s">
        <v>1</v>
      </c>
      <c r="N227" s="92" t="s">
        <v>603</v>
      </c>
    </row>
    <row r="228" spans="1:94" x14ac:dyDescent="0.2">
      <c r="C228" s="14" t="s">
        <v>10</v>
      </c>
      <c r="BK228" s="339" t="s">
        <v>376</v>
      </c>
      <c r="BL228" s="339"/>
      <c r="BM228" s="339"/>
      <c r="BN228" s="339"/>
    </row>
    <row r="229" spans="1:94" x14ac:dyDescent="0.2">
      <c r="A229" s="367" t="s">
        <v>608</v>
      </c>
      <c r="B229" s="20" t="s">
        <v>135</v>
      </c>
      <c r="C229" s="14">
        <f>C223*MW_H</f>
        <v>7.0992995338357623E-2</v>
      </c>
      <c r="BK229" s="339"/>
      <c r="BL229" s="339"/>
      <c r="BM229" s="339"/>
      <c r="BN229" s="339"/>
    </row>
    <row r="230" spans="1:94" x14ac:dyDescent="0.2">
      <c r="A230" s="367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 x14ac:dyDescent="0.25">
      <c r="A231" s="368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62" t="s">
        <v>399</v>
      </c>
      <c r="C233" s="362"/>
      <c r="D233" s="362"/>
      <c r="E233" s="362"/>
      <c r="J233" s="348" t="s">
        <v>69</v>
      </c>
      <c r="K233" s="348"/>
      <c r="L233" s="348"/>
      <c r="M233" s="348"/>
      <c r="N233" s="348"/>
      <c r="O233" s="348"/>
    </row>
    <row r="234" spans="1:94" ht="22" customHeight="1" x14ac:dyDescent="0.25">
      <c r="B234" s="362"/>
      <c r="C234" s="362"/>
      <c r="D234" s="362"/>
      <c r="E234" s="362"/>
      <c r="J234" s="348" t="s">
        <v>401</v>
      </c>
      <c r="K234" s="348"/>
      <c r="L234" s="348"/>
      <c r="M234" s="20"/>
      <c r="N234" s="356" t="s">
        <v>74</v>
      </c>
      <c r="O234" s="356"/>
      <c r="CJ234" s="339"/>
      <c r="CL234" s="14" t="e">
        <f>CO234*CN234</f>
        <v>#DIV/0!</v>
      </c>
      <c r="CO234" s="14" t="e">
        <f>H2O_Naturalgas_molcoeff*BT230</f>
        <v>#DIV/0!</v>
      </c>
    </row>
    <row r="235" spans="1:94" x14ac:dyDescent="0.2">
      <c r="B235" s="362"/>
      <c r="C235" s="362"/>
      <c r="D235" s="362"/>
      <c r="E235" s="362"/>
      <c r="J235" s="348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48"/>
      <c r="L235" s="348"/>
      <c r="M235" s="348"/>
      <c r="N235" s="348"/>
      <c r="O235" s="348"/>
      <c r="CJ235" s="339"/>
      <c r="CL235" s="14" t="e">
        <f>CN235*CO235</f>
        <v>#DIV/0!</v>
      </c>
      <c r="CO235" s="14" t="e">
        <f>BT230</f>
        <v>#DIV/0!</v>
      </c>
    </row>
    <row r="236" spans="1:94" ht="20" customHeight="1" x14ac:dyDescent="0.2">
      <c r="B236" s="339" t="s">
        <v>507</v>
      </c>
      <c r="C236" s="339"/>
      <c r="D236" s="339"/>
      <c r="E236" s="339"/>
      <c r="CJ236" s="339"/>
      <c r="CL236" s="14">
        <f>CO236*CN236</f>
        <v>0</v>
      </c>
    </row>
    <row r="237" spans="1:94" x14ac:dyDescent="0.2">
      <c r="CP237" s="14" t="e">
        <f t="array" ref="CP237">SUM(CL234:CL236*CP234:CP236) / CL237</f>
        <v>#DIV/0!</v>
      </c>
    </row>
    <row r="238" spans="1:94" ht="17" customHeight="1" x14ac:dyDescent="0.25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 x14ac:dyDescent="0.25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 x14ac:dyDescent="0.25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 x14ac:dyDescent="0.25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 x14ac:dyDescent="0.25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 x14ac:dyDescent="0.2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 x14ac:dyDescent="0.2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 x14ac:dyDescent="0.2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 x14ac:dyDescent="0.2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62" t="s">
        <v>404</v>
      </c>
      <c r="C250" s="362"/>
      <c r="D250" s="362"/>
      <c r="E250" s="362"/>
      <c r="J250" s="348" t="s">
        <v>69</v>
      </c>
      <c r="K250" s="348"/>
      <c r="L250" s="348"/>
      <c r="M250" s="348"/>
      <c r="N250" s="348"/>
      <c r="O250" s="348"/>
      <c r="CJ250" s="339"/>
    </row>
    <row r="251" spans="1:88" ht="18" customHeight="1" x14ac:dyDescent="0.25">
      <c r="B251" s="362"/>
      <c r="C251" s="362"/>
      <c r="D251" s="362"/>
      <c r="E251" s="362"/>
      <c r="J251" s="348" t="s">
        <v>406</v>
      </c>
      <c r="K251" s="348"/>
      <c r="L251" s="348"/>
      <c r="M251" s="20"/>
      <c r="N251" s="356" t="s">
        <v>74</v>
      </c>
      <c r="O251" s="356"/>
      <c r="CJ251" s="339"/>
    </row>
    <row r="252" spans="1:88" x14ac:dyDescent="0.2">
      <c r="B252" s="362"/>
      <c r="C252" s="362"/>
      <c r="D252" s="362"/>
      <c r="E252" s="362"/>
      <c r="J252" s="348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48"/>
      <c r="L252" s="348"/>
      <c r="M252" s="348"/>
      <c r="N252" s="348"/>
      <c r="O252" s="348"/>
      <c r="CJ252" s="339"/>
    </row>
    <row r="253" spans="1:88" x14ac:dyDescent="0.2">
      <c r="B253" s="339" t="s">
        <v>507</v>
      </c>
      <c r="C253" s="339"/>
      <c r="D253" s="339"/>
      <c r="E253" s="339"/>
      <c r="CJ253" s="339"/>
    </row>
    <row r="254" spans="1:88" x14ac:dyDescent="0.2">
      <c r="CJ254" s="339"/>
    </row>
    <row r="255" spans="1:88" ht="17" customHeight="1" x14ac:dyDescent="0.25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39"/>
    </row>
    <row r="256" spans="1:88" ht="18" customHeight="1" x14ac:dyDescent="0.25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39"/>
    </row>
    <row r="257" spans="1:88" ht="18" customHeight="1" x14ac:dyDescent="0.25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39"/>
    </row>
    <row r="258" spans="1:88" ht="18" customHeight="1" x14ac:dyDescent="0.25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39"/>
    </row>
    <row r="259" spans="1:88" ht="18" customHeight="1" x14ac:dyDescent="0.25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39"/>
    </row>
    <row r="260" spans="1:88" x14ac:dyDescent="0.2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39"/>
    </row>
    <row r="262" spans="1:88" x14ac:dyDescent="0.2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 x14ac:dyDescent="0.2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62" t="s">
        <v>403</v>
      </c>
      <c r="C266" s="362"/>
      <c r="D266" s="362"/>
      <c r="E266" s="362"/>
      <c r="J266" s="348" t="s">
        <v>69</v>
      </c>
      <c r="K266" s="348"/>
      <c r="L266" s="348"/>
      <c r="M266" s="348"/>
      <c r="N266" s="348"/>
      <c r="O266" s="348"/>
    </row>
    <row r="267" spans="1:88" ht="18" customHeight="1" x14ac:dyDescent="0.25">
      <c r="B267" s="362"/>
      <c r="C267" s="362"/>
      <c r="D267" s="362"/>
      <c r="E267" s="362"/>
      <c r="J267" s="348" t="s">
        <v>73</v>
      </c>
      <c r="K267" s="348"/>
      <c r="L267" s="348"/>
      <c r="M267" s="20"/>
      <c r="N267" s="356" t="s">
        <v>74</v>
      </c>
      <c r="O267" s="356"/>
    </row>
    <row r="268" spans="1:88" x14ac:dyDescent="0.2">
      <c r="B268" s="362"/>
      <c r="C268" s="362"/>
      <c r="D268" s="362"/>
      <c r="E268" s="362"/>
      <c r="J268" s="348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48"/>
      <c r="L268" s="348"/>
      <c r="M268" s="348"/>
      <c r="N268" s="348"/>
      <c r="O268" s="348"/>
    </row>
    <row r="269" spans="1:88" x14ac:dyDescent="0.2">
      <c r="B269" s="339" t="s">
        <v>507</v>
      </c>
      <c r="C269" s="339"/>
      <c r="D269" s="339"/>
      <c r="E269" s="339"/>
    </row>
    <row r="271" spans="1:88" ht="17" customHeight="1" x14ac:dyDescent="0.25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 x14ac:dyDescent="0.25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 x14ac:dyDescent="0.25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 x14ac:dyDescent="0.25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 x14ac:dyDescent="0.25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 x14ac:dyDescent="0.2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 x14ac:dyDescent="0.2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 x14ac:dyDescent="0.25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 x14ac:dyDescent="0.2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7" customHeight="1" x14ac:dyDescent="0.25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 x14ac:dyDescent="0.2">
      <c r="A283" s="367" t="s">
        <v>609</v>
      </c>
      <c r="B283" s="20" t="s">
        <v>480</v>
      </c>
      <c r="C283" s="14">
        <f>C280/C281</f>
        <v>0.33567230039130802</v>
      </c>
    </row>
    <row r="284" spans="1:13" x14ac:dyDescent="0.2">
      <c r="A284" s="367"/>
      <c r="B284" s="62" t="s">
        <v>481</v>
      </c>
      <c r="C284" s="14">
        <f>(1-C283)</f>
        <v>0.66432769960869198</v>
      </c>
    </row>
    <row r="285" spans="1:13" x14ac:dyDescent="0.2">
      <c r="A285" s="93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zoomScale="86" workbookViewId="0">
      <selection activeCell="F19" sqref="F19"/>
    </sheetView>
  </sheetViews>
  <sheetFormatPr baseColWidth="10" defaultColWidth="11.5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5"/>
      <c r="E5" s="216" t="s">
        <v>195</v>
      </c>
      <c r="F5" s="219" t="s">
        <v>166</v>
      </c>
      <c r="G5" s="222" t="s">
        <v>244</v>
      </c>
      <c r="H5" s="219" t="s">
        <v>166</v>
      </c>
      <c r="I5" s="222" t="s">
        <v>244</v>
      </c>
    </row>
    <row r="6" spans="4:9" ht="20" customHeight="1" x14ac:dyDescent="0.25">
      <c r="D6" s="215"/>
      <c r="E6" s="223" t="s">
        <v>91</v>
      </c>
      <c r="F6" s="224" t="s">
        <v>47</v>
      </c>
      <c r="G6" s="225" t="s">
        <v>47</v>
      </c>
      <c r="H6" s="224" t="s">
        <v>341</v>
      </c>
      <c r="I6" s="225" t="s">
        <v>341</v>
      </c>
    </row>
    <row r="7" spans="4:9" ht="19" customHeight="1" x14ac:dyDescent="0.25">
      <c r="D7" s="369" t="s">
        <v>340</v>
      </c>
      <c r="E7" s="218" t="s">
        <v>462</v>
      </c>
      <c r="F7" s="221">
        <f>Ore_to_PI!F72</f>
        <v>88160.656904773379</v>
      </c>
      <c r="G7" s="226">
        <f>1.06*F7</f>
        <v>93450.29631905978</v>
      </c>
      <c r="H7" s="221">
        <f>F7/1000000000</f>
        <v>8.8160656904773385E-5</v>
      </c>
      <c r="I7" s="227">
        <f>G7/1000000000</f>
        <v>9.3450296319059779E-5</v>
      </c>
    </row>
    <row r="8" spans="4:9" ht="20" customHeight="1" x14ac:dyDescent="0.25">
      <c r="D8" s="370"/>
      <c r="E8" s="218" t="s">
        <v>342</v>
      </c>
      <c r="F8" s="221">
        <f>Ore_to_PI!$AS$28+Ore_to_PI!$BL$35</f>
        <v>622271.50143934821</v>
      </c>
      <c r="G8" s="226">
        <f>F8</f>
        <v>622271.50143934821</v>
      </c>
      <c r="H8" s="221">
        <f t="shared" ref="H8:H18" si="0">F8/1000000000</f>
        <v>6.2227150143934825E-4</v>
      </c>
      <c r="I8" s="227">
        <f t="shared" ref="I8:I18" si="1">G8/1000000000</f>
        <v>6.2227150143934825E-4</v>
      </c>
    </row>
    <row r="9" spans="4:9" ht="19" customHeight="1" x14ac:dyDescent="0.25">
      <c r="D9" s="371" t="s">
        <v>19</v>
      </c>
      <c r="E9" s="218" t="s">
        <v>462</v>
      </c>
      <c r="F9" s="221">
        <f>Ore_to_PI!K144</f>
        <v>241.59146310558401</v>
      </c>
      <c r="G9" s="226">
        <f>F9*1.06</f>
        <v>256.08695089191906</v>
      </c>
      <c r="H9" s="221">
        <f t="shared" si="0"/>
        <v>2.4159146310558403E-7</v>
      </c>
      <c r="I9" s="227">
        <f t="shared" si="1"/>
        <v>2.5608695089191904E-7</v>
      </c>
    </row>
    <row r="10" spans="4:9" ht="19" customHeight="1" x14ac:dyDescent="0.25">
      <c r="D10" s="372"/>
      <c r="E10" s="218" t="s">
        <v>463</v>
      </c>
      <c r="F10" s="221">
        <f>Ore_to_PI!K155</f>
        <v>22.443944839719084</v>
      </c>
      <c r="G10" s="226">
        <f>F10*1.04</f>
        <v>23.341702633307847</v>
      </c>
      <c r="H10" s="221">
        <f t="shared" si="0"/>
        <v>2.2443944839719083E-8</v>
      </c>
      <c r="I10" s="227">
        <f t="shared" si="1"/>
        <v>2.3341702633307846E-8</v>
      </c>
    </row>
    <row r="11" spans="4:9" ht="19" customHeight="1" x14ac:dyDescent="0.25">
      <c r="D11" s="372"/>
      <c r="E11" s="218" t="s">
        <v>196</v>
      </c>
      <c r="F11" s="221">
        <f>Ore_to_PI!AS113+Ore_to_PI!BK116</f>
        <v>2859.5637429090343</v>
      </c>
      <c r="G11" s="226">
        <f>F11</f>
        <v>2859.5637429090343</v>
      </c>
      <c r="H11" s="221">
        <f t="shared" si="0"/>
        <v>2.8595637429090342E-6</v>
      </c>
      <c r="I11" s="227">
        <f t="shared" si="1"/>
        <v>2.8595637429090342E-6</v>
      </c>
    </row>
    <row r="12" spans="4:9" ht="20" customHeight="1" x14ac:dyDescent="0.25">
      <c r="D12" s="373"/>
      <c r="E12" s="218" t="s">
        <v>343</v>
      </c>
      <c r="F12" s="221">
        <f>Ore_to_PI!BQ156</f>
        <v>1881501.0603161759</v>
      </c>
      <c r="G12" s="226">
        <f>F12*1.04</f>
        <v>1956761.102728823</v>
      </c>
      <c r="H12" s="221">
        <f t="shared" si="0"/>
        <v>1.8815010603161759E-3</v>
      </c>
      <c r="I12" s="227">
        <f t="shared" si="1"/>
        <v>1.9567611027288228E-3</v>
      </c>
    </row>
    <row r="13" spans="4:9" ht="19" customHeight="1" x14ac:dyDescent="0.25">
      <c r="D13" s="374" t="s">
        <v>278</v>
      </c>
      <c r="E13" s="218" t="s">
        <v>462</v>
      </c>
      <c r="F13" s="221">
        <f>Ore_to_PI!K226</f>
        <v>21827.121921766418</v>
      </c>
      <c r="G13" s="226">
        <f>F13*1.06</f>
        <v>23136.749237072403</v>
      </c>
      <c r="H13" s="221">
        <f t="shared" si="0"/>
        <v>2.1827121921766417E-5</v>
      </c>
      <c r="I13" s="227">
        <f t="shared" si="1"/>
        <v>2.3136749237072402E-5</v>
      </c>
    </row>
    <row r="14" spans="4:9" ht="19" customHeight="1" x14ac:dyDescent="0.25">
      <c r="D14" s="375"/>
      <c r="E14" s="218" t="s">
        <v>343</v>
      </c>
      <c r="F14" s="221">
        <f>Ore_to_PI!BQ248</f>
        <v>10206361.17590105</v>
      </c>
      <c r="G14" s="226">
        <f>F14*1.04</f>
        <v>10614615.622937093</v>
      </c>
      <c r="H14" s="221">
        <f t="shared" si="0"/>
        <v>1.020636117590105E-2</v>
      </c>
      <c r="I14" s="227">
        <f t="shared" si="1"/>
        <v>1.0614615622937093E-2</v>
      </c>
    </row>
    <row r="15" spans="4:9" ht="20" customHeight="1" x14ac:dyDescent="0.25">
      <c r="D15" s="376"/>
      <c r="E15" s="218" t="s">
        <v>342</v>
      </c>
      <c r="F15" s="221">
        <f>Ore_to_PI!AA195+Ore_to_PI!AS190+Ore_to_PI!BK195+Ore_to_PI!DB229</f>
        <v>114140.71648877421</v>
      </c>
      <c r="G15" s="226">
        <f>F15</f>
        <v>114140.71648877421</v>
      </c>
      <c r="H15" s="221">
        <f t="shared" si="0"/>
        <v>1.1414071648877421E-4</v>
      </c>
      <c r="I15" s="227">
        <f t="shared" si="1"/>
        <v>1.1414071648877421E-4</v>
      </c>
    </row>
    <row r="16" spans="4:9" ht="19" customHeight="1" x14ac:dyDescent="0.25">
      <c r="D16" s="377" t="s">
        <v>277</v>
      </c>
      <c r="E16" s="218" t="s">
        <v>342</v>
      </c>
      <c r="F16" s="221">
        <f>Ore_to_PI!ES117</f>
        <v>318930.1042317453</v>
      </c>
      <c r="G16" s="226">
        <f>F16</f>
        <v>318930.1042317453</v>
      </c>
      <c r="H16" s="221">
        <f t="shared" si="0"/>
        <v>3.1893010423174529E-4</v>
      </c>
      <c r="I16" s="227">
        <f t="shared" si="1"/>
        <v>3.1893010423174529E-4</v>
      </c>
    </row>
    <row r="17" spans="4:9" ht="19" customHeight="1" x14ac:dyDescent="0.25">
      <c r="D17" s="377"/>
      <c r="E17" s="218" t="s">
        <v>343</v>
      </c>
      <c r="F17" s="221">
        <f>Ore_to_PI!EB118</f>
        <v>2246377.2558931625</v>
      </c>
      <c r="G17" s="226">
        <f>F17*1.04</f>
        <v>2336232.3461288889</v>
      </c>
      <c r="H17" s="221">
        <f t="shared" si="0"/>
        <v>2.2463772558931625E-3</v>
      </c>
      <c r="I17" s="227">
        <f t="shared" si="1"/>
        <v>2.3362323461288887E-3</v>
      </c>
    </row>
    <row r="18" spans="4:9" ht="20" customHeight="1" x14ac:dyDescent="0.25">
      <c r="D18" s="378"/>
      <c r="E18" s="217" t="s">
        <v>448</v>
      </c>
      <c r="F18" s="220">
        <f>Ore_to_PI!EB105</f>
        <v>194131.36779323628</v>
      </c>
      <c r="G18" s="228">
        <f>1.06*F18</f>
        <v>205779.24986083046</v>
      </c>
      <c r="H18" s="221">
        <f t="shared" si="0"/>
        <v>1.9413136779323627E-4</v>
      </c>
      <c r="I18" s="227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2" t="s">
        <v>465</v>
      </c>
      <c r="F23" s="14" t="s">
        <v>464</v>
      </c>
      <c r="G23" s="14" t="s">
        <v>492</v>
      </c>
    </row>
    <row r="24" spans="4:9" x14ac:dyDescent="0.2">
      <c r="E24" s="132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2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2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2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2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AJ86" zoomScale="93" zoomScaleNormal="20" workbookViewId="0">
      <selection activeCell="BL126" sqref="BL126"/>
    </sheetView>
  </sheetViews>
  <sheetFormatPr baseColWidth="10" defaultColWidth="11.5" defaultRowHeight="15" x14ac:dyDescent="0.2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1" t="s">
        <v>474</v>
      </c>
      <c r="AT1" s="245"/>
      <c r="AU1" s="231" t="s">
        <v>325</v>
      </c>
      <c r="AV1" s="231" t="s">
        <v>326</v>
      </c>
      <c r="AW1" s="231" t="s">
        <v>327</v>
      </c>
      <c r="AX1" s="231" t="s">
        <v>455</v>
      </c>
      <c r="AY1" s="231" t="s">
        <v>435</v>
      </c>
      <c r="AZ1" s="231" t="s">
        <v>434</v>
      </c>
      <c r="BA1" s="231" t="s">
        <v>351</v>
      </c>
      <c r="BB1" s="231" t="s">
        <v>348</v>
      </c>
      <c r="BC1" s="231" t="s">
        <v>362</v>
      </c>
      <c r="BD1" s="231" t="s">
        <v>349</v>
      </c>
      <c r="BE1" s="231" t="s">
        <v>344</v>
      </c>
      <c r="BF1" s="231" t="s">
        <v>514</v>
      </c>
      <c r="BG1" s="231" t="s">
        <v>516</v>
      </c>
      <c r="BH1" s="231" t="s">
        <v>76</v>
      </c>
      <c r="BI1" s="231" t="s">
        <v>337</v>
      </c>
      <c r="BN1" s="245"/>
      <c r="BO1" s="231" t="s">
        <v>325</v>
      </c>
      <c r="BP1" s="231" t="s">
        <v>326</v>
      </c>
      <c r="BQ1" s="231" t="s">
        <v>327</v>
      </c>
      <c r="BR1" s="231" t="s">
        <v>455</v>
      </c>
      <c r="BS1" s="231" t="s">
        <v>435</v>
      </c>
      <c r="BT1" s="231" t="s">
        <v>434</v>
      </c>
      <c r="BU1" s="231" t="s">
        <v>351</v>
      </c>
      <c r="BV1" s="231" t="s">
        <v>348</v>
      </c>
      <c r="BW1" s="231" t="s">
        <v>362</v>
      </c>
      <c r="BX1" s="231" t="s">
        <v>349</v>
      </c>
      <c r="BY1" s="231" t="s">
        <v>344</v>
      </c>
      <c r="BZ1" s="231" t="s">
        <v>514</v>
      </c>
      <c r="CA1" s="231" t="s">
        <v>516</v>
      </c>
      <c r="CB1" s="231" t="s">
        <v>76</v>
      </c>
      <c r="CC1" s="231" t="s">
        <v>337</v>
      </c>
    </row>
    <row r="2" spans="2:81" x14ac:dyDescent="0.2">
      <c r="B2" s="132" t="s">
        <v>333</v>
      </c>
      <c r="C2" s="246">
        <v>1</v>
      </c>
      <c r="AT2" s="132" t="s">
        <v>333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G2" s="246">
        <v>0</v>
      </c>
      <c r="BH2" s="246">
        <v>0</v>
      </c>
      <c r="BI2" s="246">
        <v>0</v>
      </c>
      <c r="BN2" s="132" t="s">
        <v>333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  <c r="CA2" s="246">
        <v>0</v>
      </c>
      <c r="CB2" s="246">
        <v>0</v>
      </c>
      <c r="CC2" s="246">
        <v>0</v>
      </c>
    </row>
    <row r="3" spans="2:81" x14ac:dyDescent="0.2">
      <c r="B3" s="132" t="s">
        <v>335</v>
      </c>
      <c r="C3" s="246">
        <v>1</v>
      </c>
      <c r="AT3" s="132" t="s">
        <v>335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G3" s="246">
        <v>0</v>
      </c>
      <c r="BH3" s="246">
        <v>0</v>
      </c>
      <c r="BI3" s="246">
        <v>0</v>
      </c>
      <c r="BN3" s="132" t="s">
        <v>335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  <c r="CA3" s="246">
        <v>0</v>
      </c>
      <c r="CB3" s="246">
        <v>0</v>
      </c>
      <c r="CC3" s="246">
        <v>0</v>
      </c>
    </row>
    <row r="4" spans="2:81" x14ac:dyDescent="0.2">
      <c r="B4" s="132" t="s">
        <v>336</v>
      </c>
      <c r="C4" s="246">
        <v>1</v>
      </c>
      <c r="AT4" s="132" t="s">
        <v>336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G4" s="246">
        <v>0</v>
      </c>
      <c r="BH4" s="246">
        <v>0</v>
      </c>
      <c r="BI4" s="246">
        <v>0</v>
      </c>
      <c r="BN4" s="132" t="s">
        <v>336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  <c r="CA4" s="246">
        <v>0</v>
      </c>
      <c r="CB4" s="246">
        <v>0</v>
      </c>
      <c r="CC4" s="246">
        <v>0</v>
      </c>
    </row>
    <row r="5" spans="2:81" x14ac:dyDescent="0.2">
      <c r="B5" s="132" t="s">
        <v>355</v>
      </c>
      <c r="C5" s="246">
        <v>1</v>
      </c>
      <c r="AT5" s="132" t="s">
        <v>355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G5" s="246">
        <v>0</v>
      </c>
      <c r="BH5" s="246">
        <v>0</v>
      </c>
      <c r="BI5" s="246">
        <v>0</v>
      </c>
      <c r="BN5" s="132" t="s">
        <v>355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  <c r="CA5" s="246">
        <v>0</v>
      </c>
      <c r="CB5" s="246">
        <v>0</v>
      </c>
      <c r="CC5" s="246">
        <v>0</v>
      </c>
    </row>
    <row r="6" spans="2:81" x14ac:dyDescent="0.2">
      <c r="B6" s="132" t="s">
        <v>377</v>
      </c>
      <c r="C6" s="246">
        <v>1</v>
      </c>
      <c r="AM6" s="132"/>
      <c r="AT6" s="132" t="s">
        <v>377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G6" s="246">
        <v>0</v>
      </c>
      <c r="BH6" s="246">
        <v>0</v>
      </c>
      <c r="BI6" s="246">
        <v>0</v>
      </c>
      <c r="BN6" s="132" t="s">
        <v>377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  <c r="CA6" s="246">
        <v>0</v>
      </c>
      <c r="CB6" s="246">
        <v>0</v>
      </c>
      <c r="CC6" s="246">
        <v>0</v>
      </c>
    </row>
    <row r="7" spans="2:81" x14ac:dyDescent="0.2">
      <c r="B7" s="132" t="s">
        <v>466</v>
      </c>
      <c r="C7" s="246">
        <v>1</v>
      </c>
      <c r="AM7" s="132"/>
      <c r="AT7" s="132" t="s">
        <v>466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G7" s="246">
        <v>0</v>
      </c>
      <c r="BH7" s="246">
        <v>0</v>
      </c>
      <c r="BI7" s="246">
        <v>0</v>
      </c>
      <c r="BN7" s="132" t="s">
        <v>466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  <c r="CA7" s="246">
        <v>0</v>
      </c>
      <c r="CB7" s="246">
        <v>0</v>
      </c>
      <c r="CC7" s="246">
        <v>0</v>
      </c>
    </row>
    <row r="8" spans="2:81" x14ac:dyDescent="0.2">
      <c r="B8" s="132" t="s">
        <v>467</v>
      </c>
      <c r="C8" s="246">
        <v>1</v>
      </c>
      <c r="AM8" s="132"/>
      <c r="AT8" s="132" t="s">
        <v>467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G8" s="246">
        <v>0</v>
      </c>
      <c r="BH8" s="246">
        <v>0</v>
      </c>
      <c r="BI8" s="246">
        <v>0</v>
      </c>
      <c r="BN8" s="132" t="s">
        <v>467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  <c r="CA8" s="246">
        <v>0</v>
      </c>
      <c r="CB8" s="246">
        <v>0</v>
      </c>
      <c r="CC8" s="246">
        <v>0</v>
      </c>
    </row>
    <row r="9" spans="2:81" x14ac:dyDescent="0.2">
      <c r="B9" s="132" t="s">
        <v>411</v>
      </c>
      <c r="C9" s="246">
        <v>1</v>
      </c>
      <c r="AM9" s="132"/>
      <c r="AT9" s="132" t="s">
        <v>411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G9" s="246">
        <v>0</v>
      </c>
      <c r="BH9" s="246">
        <v>0</v>
      </c>
      <c r="BI9" s="246">
        <v>0</v>
      </c>
      <c r="BN9" s="132" t="s">
        <v>411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  <c r="CA9" s="246">
        <v>0</v>
      </c>
      <c r="CB9" s="246">
        <v>0</v>
      </c>
      <c r="CC9" s="246">
        <v>0</v>
      </c>
    </row>
    <row r="10" spans="2:81" x14ac:dyDescent="0.2">
      <c r="B10" s="132" t="s">
        <v>459</v>
      </c>
      <c r="C10" s="246">
        <v>1</v>
      </c>
      <c r="AM10" s="132"/>
      <c r="AT10" s="132" t="s">
        <v>459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G10" s="246">
        <v>0</v>
      </c>
      <c r="BH10" s="246">
        <v>0</v>
      </c>
      <c r="BI10" s="246">
        <v>0</v>
      </c>
      <c r="BN10" s="132" t="s">
        <v>459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  <c r="CA10" s="246">
        <v>0</v>
      </c>
      <c r="CB10" s="246">
        <v>0</v>
      </c>
      <c r="CC10" s="246">
        <v>0</v>
      </c>
    </row>
    <row r="11" spans="2:81" ht="16" customHeight="1" x14ac:dyDescent="0.2">
      <c r="B11" s="132" t="s">
        <v>442</v>
      </c>
      <c r="C11" s="246">
        <v>1</v>
      </c>
      <c r="AT11" s="229" t="s">
        <v>442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G11" s="246">
        <v>0</v>
      </c>
      <c r="BH11" s="246">
        <v>0</v>
      </c>
      <c r="BI11" s="246">
        <v>0</v>
      </c>
      <c r="BN11" s="229" t="s">
        <v>442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  <c r="CA11" s="246">
        <v>0</v>
      </c>
      <c r="CB11" s="246">
        <v>0</v>
      </c>
      <c r="CC11" s="246">
        <v>0</v>
      </c>
    </row>
    <row r="12" spans="2:81" x14ac:dyDescent="0.2">
      <c r="B12" s="132" t="s">
        <v>409</v>
      </c>
      <c r="C12" s="246">
        <v>1</v>
      </c>
      <c r="AT12" s="132" t="s">
        <v>409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G12" s="246">
        <v>0</v>
      </c>
      <c r="BH12" s="246">
        <v>0</v>
      </c>
      <c r="BI12" s="246">
        <v>0</v>
      </c>
      <c r="BN12" s="132" t="s">
        <v>409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  <c r="CA12" s="246">
        <v>0</v>
      </c>
      <c r="CB12" s="246">
        <v>0</v>
      </c>
      <c r="CC12" s="246">
        <v>0</v>
      </c>
    </row>
    <row r="13" spans="2:81" ht="16" customHeight="1" x14ac:dyDescent="0.2">
      <c r="B13" s="132" t="s">
        <v>412</v>
      </c>
      <c r="C13" s="246">
        <v>1</v>
      </c>
      <c r="AT13" s="229" t="s">
        <v>412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G13" s="246">
        <v>0</v>
      </c>
      <c r="BH13" s="246">
        <v>0</v>
      </c>
      <c r="BI13" s="246">
        <v>0</v>
      </c>
      <c r="BN13" s="229" t="s">
        <v>412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  <c r="CA13" s="246">
        <v>0</v>
      </c>
      <c r="CB13" s="246">
        <v>0</v>
      </c>
      <c r="CC13" s="246">
        <v>0</v>
      </c>
    </row>
    <row r="14" spans="2:81" x14ac:dyDescent="0.2">
      <c r="B14" s="132" t="s">
        <v>437</v>
      </c>
      <c r="C14" s="246">
        <v>1</v>
      </c>
      <c r="AT14" s="132" t="s">
        <v>437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G14" s="246">
        <v>0</v>
      </c>
      <c r="BH14" s="246">
        <v>0</v>
      </c>
      <c r="BI14" s="246">
        <v>0</v>
      </c>
      <c r="BN14" s="132" t="s">
        <v>437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  <c r="CA14" s="246">
        <v>0</v>
      </c>
      <c r="CB14" s="246">
        <v>0</v>
      </c>
      <c r="CC14" s="246">
        <v>0</v>
      </c>
    </row>
    <row r="15" spans="2:81" x14ac:dyDescent="0.2">
      <c r="B15" s="132" t="s">
        <v>430</v>
      </c>
      <c r="C15" s="246">
        <v>1</v>
      </c>
      <c r="AT15" s="230" t="s">
        <v>430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G15" s="246">
        <v>0</v>
      </c>
      <c r="BH15" s="246">
        <v>0</v>
      </c>
      <c r="BI15" s="246">
        <v>0</v>
      </c>
      <c r="BN15" s="230" t="s">
        <v>430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  <c r="CA15" s="246">
        <v>0</v>
      </c>
      <c r="CB15" s="246">
        <v>0</v>
      </c>
      <c r="CC15" s="246">
        <v>0</v>
      </c>
    </row>
    <row r="16" spans="2:81" x14ac:dyDescent="0.2">
      <c r="B16" s="132" t="s">
        <v>416</v>
      </c>
      <c r="C16" s="246">
        <v>1</v>
      </c>
      <c r="AT16" s="132" t="s">
        <v>416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G16" s="246">
        <v>0</v>
      </c>
      <c r="BH16" s="246">
        <v>0</v>
      </c>
      <c r="BI16" s="246">
        <v>0</v>
      </c>
      <c r="BN16" s="132" t="s">
        <v>416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  <c r="CA16" s="246">
        <v>0</v>
      </c>
      <c r="CB16" s="246">
        <v>0</v>
      </c>
      <c r="CC16" s="246">
        <v>0</v>
      </c>
    </row>
    <row r="17" spans="2:81" ht="16" customHeight="1" x14ac:dyDescent="0.2">
      <c r="B17" s="132" t="s">
        <v>441</v>
      </c>
      <c r="C17" s="246">
        <v>1</v>
      </c>
      <c r="AT17" s="229" t="s">
        <v>441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G17" s="246">
        <v>0</v>
      </c>
      <c r="BH17" s="246">
        <v>0</v>
      </c>
      <c r="BI17" s="246">
        <v>0</v>
      </c>
      <c r="BN17" s="229" t="s">
        <v>441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  <c r="CA17" s="246">
        <v>0</v>
      </c>
      <c r="CB17" s="246">
        <v>0</v>
      </c>
      <c r="CC17" s="246">
        <v>0</v>
      </c>
    </row>
    <row r="18" spans="2:81" ht="16" customHeight="1" x14ac:dyDescent="0.2">
      <c r="B18" s="132" t="s">
        <v>436</v>
      </c>
      <c r="C18" s="246">
        <v>1</v>
      </c>
      <c r="AT18" s="229" t="s">
        <v>436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G18" s="246">
        <v>0</v>
      </c>
      <c r="BH18" s="246">
        <v>0</v>
      </c>
      <c r="BI18" s="246">
        <v>0</v>
      </c>
      <c r="BN18" s="229" t="s">
        <v>436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  <c r="CA18" s="246">
        <v>0</v>
      </c>
      <c r="CB18" s="246">
        <v>0</v>
      </c>
      <c r="CC18" s="246">
        <v>0</v>
      </c>
    </row>
    <row r="19" spans="2:81" ht="16" customHeight="1" x14ac:dyDescent="0.2">
      <c r="B19" s="132" t="s">
        <v>433</v>
      </c>
      <c r="C19" s="246">
        <v>1</v>
      </c>
      <c r="AT19" s="229" t="s">
        <v>433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G19" s="246">
        <v>0</v>
      </c>
      <c r="BH19" s="246">
        <v>0</v>
      </c>
      <c r="BI19" s="246">
        <v>0</v>
      </c>
      <c r="BN19" s="229" t="s">
        <v>433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  <c r="CA19" s="246">
        <v>0</v>
      </c>
      <c r="CB19" s="246">
        <v>0</v>
      </c>
      <c r="CC19" s="246">
        <v>0</v>
      </c>
    </row>
    <row r="20" spans="2:81" ht="16" customHeight="1" x14ac:dyDescent="0.2">
      <c r="B20" s="132" t="s">
        <v>439</v>
      </c>
      <c r="C20" s="246">
        <v>1</v>
      </c>
      <c r="AT20" s="229" t="s">
        <v>439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G20" s="246">
        <v>0</v>
      </c>
      <c r="BH20" s="246">
        <v>0</v>
      </c>
      <c r="BI20" s="246">
        <v>0</v>
      </c>
      <c r="BN20" s="229" t="s">
        <v>439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  <c r="CA20" s="246">
        <v>0</v>
      </c>
      <c r="CB20" s="246">
        <v>0</v>
      </c>
      <c r="CC20" s="246">
        <v>0</v>
      </c>
    </row>
    <row r="21" spans="2:81" x14ac:dyDescent="0.2">
      <c r="B21" s="132" t="s">
        <v>438</v>
      </c>
      <c r="C21" s="246">
        <v>1</v>
      </c>
      <c r="AT21" s="230" t="s">
        <v>438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G21" s="246">
        <v>0</v>
      </c>
      <c r="BH21" s="246">
        <v>0</v>
      </c>
      <c r="BI21" s="246">
        <v>0</v>
      </c>
      <c r="BN21" s="230" t="s">
        <v>438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  <c r="CA21" s="246">
        <v>0</v>
      </c>
      <c r="CB21" s="246">
        <v>0</v>
      </c>
      <c r="CC21" s="246">
        <v>0</v>
      </c>
    </row>
    <row r="22" spans="2:81" x14ac:dyDescent="0.2">
      <c r="B22" s="132" t="s">
        <v>424</v>
      </c>
      <c r="C22" s="246">
        <v>1</v>
      </c>
      <c r="AT22" s="230" t="s">
        <v>424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G22" s="246">
        <v>0</v>
      </c>
      <c r="BH22" s="246">
        <v>0</v>
      </c>
      <c r="BI22" s="246">
        <v>0</v>
      </c>
      <c r="BN22" s="230" t="s">
        <v>424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  <c r="CA22" s="246">
        <v>0</v>
      </c>
      <c r="CB22" s="246">
        <v>0</v>
      </c>
      <c r="CC22" s="246">
        <v>0</v>
      </c>
    </row>
    <row r="23" spans="2:81" x14ac:dyDescent="0.2">
      <c r="B23" s="132" t="s">
        <v>456</v>
      </c>
      <c r="C23" s="246">
        <v>1</v>
      </c>
      <c r="AT23" s="230" t="s">
        <v>456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G23" s="246">
        <v>0</v>
      </c>
      <c r="BH23" s="246">
        <v>0</v>
      </c>
      <c r="BI23" s="246">
        <v>0</v>
      </c>
      <c r="BN23" s="230" t="s">
        <v>456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  <c r="CA23" s="246">
        <v>0</v>
      </c>
      <c r="CB23" s="246">
        <v>0</v>
      </c>
      <c r="CC23" s="246">
        <v>0</v>
      </c>
    </row>
    <row r="24" spans="2:81" x14ac:dyDescent="0.2">
      <c r="B24" s="132" t="s">
        <v>425</v>
      </c>
      <c r="C24" s="246">
        <v>1</v>
      </c>
      <c r="AT24" s="230" t="s">
        <v>425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G24" s="246">
        <v>0</v>
      </c>
      <c r="BH24" s="246">
        <v>0</v>
      </c>
      <c r="BI24" s="246">
        <v>0</v>
      </c>
      <c r="BN24" s="230" t="s">
        <v>425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  <c r="CA24" s="246">
        <v>0</v>
      </c>
      <c r="CB24" s="246">
        <v>0</v>
      </c>
      <c r="CC24" s="246">
        <v>0</v>
      </c>
    </row>
    <row r="25" spans="2:81" x14ac:dyDescent="0.2">
      <c r="B25" s="132" t="s">
        <v>427</v>
      </c>
      <c r="C25" s="246">
        <v>1</v>
      </c>
      <c r="AT25" s="230" t="s">
        <v>427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G25" s="246">
        <v>0</v>
      </c>
      <c r="BH25" s="246">
        <v>0</v>
      </c>
      <c r="BI25" s="246">
        <v>0</v>
      </c>
      <c r="BN25" s="230" t="s">
        <v>427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  <c r="CA25" s="246">
        <v>0</v>
      </c>
      <c r="CB25" s="246">
        <v>0</v>
      </c>
      <c r="CC25" s="246">
        <v>0</v>
      </c>
    </row>
    <row r="26" spans="2:81" x14ac:dyDescent="0.2">
      <c r="B26" s="132" t="s">
        <v>426</v>
      </c>
      <c r="C26" s="246">
        <v>1</v>
      </c>
      <c r="AT26" s="230" t="s">
        <v>426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G26" s="246">
        <v>0</v>
      </c>
      <c r="BH26" s="246">
        <v>0</v>
      </c>
      <c r="BI26" s="246">
        <v>0</v>
      </c>
      <c r="BN26" s="230" t="s">
        <v>426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  <c r="CA26" s="246">
        <v>0</v>
      </c>
      <c r="CB26" s="246">
        <v>0</v>
      </c>
      <c r="CC26" s="246">
        <v>0</v>
      </c>
    </row>
    <row r="27" spans="2:81" x14ac:dyDescent="0.2">
      <c r="B27" s="132" t="s">
        <v>484</v>
      </c>
      <c r="C27" s="246">
        <v>1</v>
      </c>
      <c r="AT27" s="230" t="s">
        <v>484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G27" s="246">
        <v>0</v>
      </c>
      <c r="BH27" s="246">
        <v>0</v>
      </c>
      <c r="BI27" s="246">
        <v>0</v>
      </c>
      <c r="BN27" s="230" t="s">
        <v>484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  <c r="CA27" s="246">
        <v>0</v>
      </c>
      <c r="CB27" s="246">
        <v>0</v>
      </c>
      <c r="CC27" s="246">
        <v>0</v>
      </c>
    </row>
    <row r="28" spans="2:81" ht="16" customHeight="1" x14ac:dyDescent="0.2">
      <c r="B28" s="132" t="s">
        <v>422</v>
      </c>
      <c r="C28" s="246">
        <v>1</v>
      </c>
      <c r="AT28" s="244" t="s">
        <v>422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G28" s="246">
        <v>0</v>
      </c>
      <c r="BH28" s="246">
        <v>0</v>
      </c>
      <c r="BI28" s="246">
        <v>0</v>
      </c>
      <c r="BN28" s="244" t="s">
        <v>422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  <c r="CA28" s="246">
        <v>0</v>
      </c>
      <c r="CB28" s="246">
        <v>0</v>
      </c>
      <c r="CC28" s="246">
        <v>0</v>
      </c>
    </row>
    <row r="29" spans="2:81" ht="16" customHeight="1" x14ac:dyDescent="0.2">
      <c r="B29" s="132" t="s">
        <v>552</v>
      </c>
      <c r="C29" s="246">
        <v>1</v>
      </c>
      <c r="AT29" s="244" t="s">
        <v>552</v>
      </c>
      <c r="AU29" s="246">
        <v>0</v>
      </c>
      <c r="AV29" s="246">
        <v>0</v>
      </c>
      <c r="AW29" s="246">
        <v>0</v>
      </c>
      <c r="AX29" s="246">
        <v>0</v>
      </c>
      <c r="AY29" s="246">
        <v>0</v>
      </c>
      <c r="AZ29" s="246">
        <v>0</v>
      </c>
      <c r="BA29" s="246">
        <v>0</v>
      </c>
      <c r="BB29" s="246">
        <v>0</v>
      </c>
      <c r="BC29" s="246">
        <v>0</v>
      </c>
      <c r="BD29" s="246">
        <v>0</v>
      </c>
      <c r="BE29" s="246">
        <v>0</v>
      </c>
      <c r="BF29" s="246">
        <v>0</v>
      </c>
      <c r="BG29" s="246">
        <v>0</v>
      </c>
      <c r="BH29" s="246">
        <v>0</v>
      </c>
      <c r="BI29" s="246">
        <v>0</v>
      </c>
      <c r="BN29" s="244" t="s">
        <v>552</v>
      </c>
      <c r="BO29" s="246">
        <v>0</v>
      </c>
      <c r="BP29" s="246">
        <v>0</v>
      </c>
      <c r="BQ29" s="246">
        <v>0</v>
      </c>
      <c r="BR29" s="246">
        <v>0</v>
      </c>
      <c r="BS29" s="246">
        <v>0</v>
      </c>
      <c r="BT29" s="246">
        <v>0</v>
      </c>
      <c r="BU29" s="246">
        <v>0</v>
      </c>
      <c r="BV29" s="246">
        <v>0</v>
      </c>
      <c r="BW29" s="246">
        <v>0</v>
      </c>
      <c r="BX29" s="246">
        <v>0</v>
      </c>
      <c r="BY29" s="246">
        <v>0</v>
      </c>
      <c r="BZ29" s="246">
        <v>0</v>
      </c>
      <c r="CA29" s="246">
        <v>0</v>
      </c>
      <c r="CB29" s="246">
        <v>0</v>
      </c>
      <c r="CC29" s="246">
        <v>0</v>
      </c>
    </row>
    <row r="30" spans="2:81" x14ac:dyDescent="0.2">
      <c r="B30" s="132" t="s">
        <v>421</v>
      </c>
      <c r="C30" s="246">
        <v>1</v>
      </c>
      <c r="AT30" s="230" t="s">
        <v>421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G30" s="246">
        <v>0</v>
      </c>
      <c r="BH30" s="246">
        <v>0</v>
      </c>
      <c r="BI30" s="246">
        <v>0</v>
      </c>
      <c r="BN30" s="230" t="s">
        <v>421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  <c r="CA30" s="246">
        <v>0</v>
      </c>
      <c r="CB30" s="246">
        <v>0</v>
      </c>
      <c r="CC30" s="246">
        <v>0</v>
      </c>
    </row>
    <row r="31" spans="2:81" x14ac:dyDescent="0.2">
      <c r="B31" s="132" t="s">
        <v>423</v>
      </c>
      <c r="C31" s="246">
        <v>1</v>
      </c>
      <c r="AT31" s="132" t="s">
        <v>423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G31" s="246">
        <v>0</v>
      </c>
      <c r="BH31" s="246">
        <v>0</v>
      </c>
      <c r="BI31" s="246">
        <v>0</v>
      </c>
      <c r="BN31" s="132" t="s">
        <v>423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  <c r="CA31" s="246">
        <v>0</v>
      </c>
      <c r="CB31" s="246">
        <v>0</v>
      </c>
      <c r="CC31" s="246">
        <v>0</v>
      </c>
    </row>
    <row r="32" spans="2:81" x14ac:dyDescent="0.2">
      <c r="B32" s="132" t="s">
        <v>515</v>
      </c>
      <c r="C32" s="246">
        <v>1</v>
      </c>
      <c r="AT32" s="230" t="s">
        <v>515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G32" s="246">
        <v>0</v>
      </c>
      <c r="BH32" s="246">
        <v>0</v>
      </c>
      <c r="BI32" s="246">
        <v>0</v>
      </c>
      <c r="BN32" s="230" t="s">
        <v>515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  <c r="CA32" s="246">
        <v>0</v>
      </c>
      <c r="CB32" s="246">
        <v>0</v>
      </c>
      <c r="CC32" s="246">
        <v>0</v>
      </c>
    </row>
    <row r="33" spans="2:81" x14ac:dyDescent="0.2">
      <c r="B33" s="132" t="s">
        <v>517</v>
      </c>
      <c r="C33" s="246">
        <v>1</v>
      </c>
      <c r="AT33" s="230" t="s">
        <v>517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G33" s="246">
        <v>0</v>
      </c>
      <c r="BH33" s="246">
        <v>0</v>
      </c>
      <c r="BI33" s="246">
        <v>0</v>
      </c>
      <c r="BN33" s="230" t="s">
        <v>517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  <c r="CA33" s="246">
        <v>0</v>
      </c>
      <c r="CB33" s="246">
        <v>0</v>
      </c>
      <c r="CC33" s="246">
        <v>0</v>
      </c>
    </row>
    <row r="34" spans="2:81" x14ac:dyDescent="0.2">
      <c r="B34" s="132" t="s">
        <v>445</v>
      </c>
      <c r="C34" s="246">
        <v>1</v>
      </c>
      <c r="AT34" s="230" t="s">
        <v>445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G34" s="246">
        <v>0</v>
      </c>
      <c r="BH34" s="246">
        <v>0</v>
      </c>
      <c r="BI34" s="246">
        <v>0</v>
      </c>
      <c r="BN34" s="230" t="s">
        <v>445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  <c r="CA34" s="246">
        <v>0</v>
      </c>
      <c r="CB34" s="246">
        <v>0</v>
      </c>
      <c r="CC34" s="246">
        <v>0</v>
      </c>
    </row>
    <row r="35" spans="2:81" x14ac:dyDescent="0.2">
      <c r="B35" s="132" t="s">
        <v>446</v>
      </c>
      <c r="C35" s="246">
        <v>1</v>
      </c>
      <c r="AT35" s="230" t="s">
        <v>446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G35" s="246">
        <v>0</v>
      </c>
      <c r="BH35" s="246">
        <v>0</v>
      </c>
      <c r="BI35" s="246">
        <v>0</v>
      </c>
      <c r="BN35" s="230" t="s">
        <v>446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  <c r="CA35" s="246">
        <v>0</v>
      </c>
      <c r="CB35" s="246">
        <v>0</v>
      </c>
      <c r="CC35" s="246">
        <v>0</v>
      </c>
    </row>
    <row r="36" spans="2:81" x14ac:dyDescent="0.2">
      <c r="B36" s="132" t="s">
        <v>447</v>
      </c>
      <c r="C36" s="246">
        <v>1</v>
      </c>
      <c r="AT36" s="230" t="s">
        <v>447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G36" s="246">
        <v>0</v>
      </c>
      <c r="BH36" s="246">
        <v>0</v>
      </c>
      <c r="BI36" s="246">
        <v>0</v>
      </c>
      <c r="BN36" s="230" t="s">
        <v>447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  <c r="CA36" s="246">
        <v>0</v>
      </c>
      <c r="CB36" s="246">
        <v>0</v>
      </c>
      <c r="CC36" s="246">
        <v>0</v>
      </c>
    </row>
    <row r="37" spans="2:81" x14ac:dyDescent="0.2">
      <c r="B37" s="132" t="s">
        <v>457</v>
      </c>
      <c r="C37" s="246">
        <v>1</v>
      </c>
      <c r="AT37" s="230" t="s">
        <v>457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G37" s="246">
        <v>0</v>
      </c>
      <c r="BH37" s="246">
        <v>0</v>
      </c>
      <c r="BI37" s="246">
        <v>0</v>
      </c>
      <c r="BN37" s="230" t="s">
        <v>457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  <c r="CA37" s="246">
        <v>0</v>
      </c>
      <c r="CB37" s="246">
        <v>0</v>
      </c>
      <c r="CC37" s="246">
        <v>0</v>
      </c>
    </row>
    <row r="38" spans="2:81" x14ac:dyDescent="0.2">
      <c r="C38" s="52" t="s">
        <v>473</v>
      </c>
      <c r="AT38" s="230"/>
      <c r="AU38" s="379" t="s">
        <v>470</v>
      </c>
      <c r="AV38" s="379"/>
      <c r="AW38" s="379"/>
      <c r="AX38" s="379"/>
      <c r="AY38" s="379"/>
      <c r="AZ38" s="379"/>
      <c r="BA38" s="379"/>
      <c r="BB38" s="379"/>
      <c r="BC38" s="379"/>
      <c r="BD38" s="379"/>
      <c r="BE38" s="379"/>
      <c r="BF38" s="379"/>
      <c r="BG38" s="379"/>
      <c r="BH38" s="379"/>
      <c r="BI38" s="379"/>
      <c r="BN38" s="230"/>
      <c r="BO38" s="379" t="s">
        <v>471</v>
      </c>
      <c r="BP38" s="379"/>
      <c r="BQ38" s="379"/>
      <c r="BR38" s="379"/>
      <c r="BS38" s="379"/>
      <c r="BT38" s="379"/>
      <c r="BU38" s="379"/>
      <c r="BV38" s="379"/>
      <c r="BW38" s="379"/>
      <c r="BX38" s="379"/>
      <c r="BY38" s="379"/>
      <c r="BZ38" s="379"/>
      <c r="CA38" s="379"/>
      <c r="CB38" s="379"/>
      <c r="CC38" s="379"/>
    </row>
    <row r="39" spans="2:81" x14ac:dyDescent="0.2">
      <c r="AT39" s="230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0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0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0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5"/>
      <c r="AU41" s="231" t="s">
        <v>325</v>
      </c>
      <c r="AV41" s="231" t="s">
        <v>326</v>
      </c>
      <c r="AW41" s="231" t="s">
        <v>327</v>
      </c>
      <c r="AX41" s="231" t="s">
        <v>455</v>
      </c>
      <c r="AY41" s="231" t="s">
        <v>435</v>
      </c>
      <c r="AZ41" s="231" t="s">
        <v>434</v>
      </c>
      <c r="BA41" s="231" t="s">
        <v>351</v>
      </c>
      <c r="BB41" s="231" t="s">
        <v>348</v>
      </c>
      <c r="BC41" s="231" t="s">
        <v>362</v>
      </c>
      <c r="BD41" s="231" t="s">
        <v>349</v>
      </c>
      <c r="BE41" s="231" t="s">
        <v>344</v>
      </c>
      <c r="BF41" s="231" t="s">
        <v>514</v>
      </c>
      <c r="BG41" s="231" t="s">
        <v>516</v>
      </c>
      <c r="BH41" s="231" t="s">
        <v>76</v>
      </c>
      <c r="BI41" s="231" t="s">
        <v>337</v>
      </c>
      <c r="BN41" s="230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2" t="s">
        <v>333</v>
      </c>
      <c r="AU42" s="246">
        <f>AU87</f>
        <v>108184.8596728804</v>
      </c>
      <c r="AV42" s="246">
        <f t="shared" ref="AV42:BI42" si="0">AV87</f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  <c r="BG42" s="246">
        <f>BG87</f>
        <v>0</v>
      </c>
      <c r="BH42" s="246">
        <f t="shared" si="0"/>
        <v>0</v>
      </c>
      <c r="BI42" s="246">
        <f t="shared" si="0"/>
        <v>0</v>
      </c>
      <c r="BN42" s="230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2" t="s">
        <v>335</v>
      </c>
      <c r="AU43" s="246">
        <f t="shared" ref="AU43:AU69" si="1">AU88</f>
        <v>0</v>
      </c>
      <c r="AV43" s="246">
        <f t="shared" ref="AV43:BI43" si="2">AV88</f>
        <v>25297.051877142174</v>
      </c>
      <c r="AW43" s="246">
        <f t="shared" si="2"/>
        <v>0</v>
      </c>
      <c r="AX43" s="246">
        <f t="shared" si="2"/>
        <v>0</v>
      </c>
      <c r="AY43" s="246">
        <f t="shared" si="2"/>
        <v>0</v>
      </c>
      <c r="AZ43" s="246">
        <f t="shared" si="2"/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si="2"/>
        <v>0</v>
      </c>
      <c r="BE43" s="246">
        <f t="shared" si="2"/>
        <v>0</v>
      </c>
      <c r="BF43" s="246">
        <f t="shared" si="2"/>
        <v>0</v>
      </c>
      <c r="BG43" s="246">
        <f t="shared" si="2"/>
        <v>0</v>
      </c>
      <c r="BH43" s="246">
        <f t="shared" si="2"/>
        <v>0</v>
      </c>
      <c r="BI43" s="246">
        <f t="shared" si="2"/>
        <v>0</v>
      </c>
      <c r="BN43" s="230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2" t="s">
        <v>336</v>
      </c>
      <c r="AU44" s="246">
        <f t="shared" si="1"/>
        <v>0</v>
      </c>
      <c r="AV44" s="246">
        <f t="shared" ref="AV44:BI44" si="3">AV89</f>
        <v>0</v>
      </c>
      <c r="AW44" s="246">
        <f t="shared" si="3"/>
        <v>8850991.3601140417</v>
      </c>
      <c r="AX44" s="246">
        <f t="shared" si="3"/>
        <v>0</v>
      </c>
      <c r="AY44" s="246">
        <f t="shared" si="3"/>
        <v>0</v>
      </c>
      <c r="AZ44" s="246">
        <f t="shared" si="3"/>
        <v>0</v>
      </c>
      <c r="BA44" s="246">
        <f t="shared" si="3"/>
        <v>0</v>
      </c>
      <c r="BB44" s="246">
        <f t="shared" si="3"/>
        <v>0</v>
      </c>
      <c r="BC44" s="246">
        <f t="shared" si="3"/>
        <v>0</v>
      </c>
      <c r="BD44" s="246">
        <f t="shared" si="3"/>
        <v>0</v>
      </c>
      <c r="BE44" s="246">
        <f t="shared" si="3"/>
        <v>0</v>
      </c>
      <c r="BF44" s="246">
        <f t="shared" si="3"/>
        <v>0</v>
      </c>
      <c r="BG44" s="246">
        <f t="shared" si="3"/>
        <v>0</v>
      </c>
      <c r="BH44" s="246">
        <f t="shared" si="3"/>
        <v>0</v>
      </c>
      <c r="BI44" s="246">
        <f t="shared" si="3"/>
        <v>0</v>
      </c>
      <c r="BN44" s="230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2" t="s">
        <v>355</v>
      </c>
      <c r="AU45" s="246">
        <f t="shared" si="1"/>
        <v>125.02637472887361</v>
      </c>
      <c r="AV45" s="246">
        <f t="shared" ref="AV45:BI45" si="4">AV90</f>
        <v>0.37484270351331089</v>
      </c>
      <c r="AW45" s="246">
        <f t="shared" si="4"/>
        <v>30.954464502133519</v>
      </c>
      <c r="AX45" s="246">
        <f t="shared" si="4"/>
        <v>0</v>
      </c>
      <c r="AY45" s="246">
        <f t="shared" si="4"/>
        <v>0</v>
      </c>
      <c r="AZ45" s="246">
        <f t="shared" si="4"/>
        <v>0</v>
      </c>
      <c r="BA45" s="246">
        <f t="shared" si="4"/>
        <v>0</v>
      </c>
      <c r="BB45" s="246">
        <f t="shared" si="4"/>
        <v>0</v>
      </c>
      <c r="BC45" s="246">
        <f t="shared" si="4"/>
        <v>0</v>
      </c>
      <c r="BD45" s="246">
        <f t="shared" si="4"/>
        <v>2671.5132120132448</v>
      </c>
      <c r="BE45" s="246">
        <f t="shared" si="4"/>
        <v>14491.84871754296</v>
      </c>
      <c r="BF45" s="246">
        <f t="shared" si="4"/>
        <v>0</v>
      </c>
      <c r="BG45" s="246">
        <f t="shared" si="4"/>
        <v>0</v>
      </c>
      <c r="BH45" s="246">
        <f t="shared" si="4"/>
        <v>0</v>
      </c>
      <c r="BI45" s="246">
        <f t="shared" si="4"/>
        <v>11826.742854693757</v>
      </c>
      <c r="BN45" s="230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2" t="s">
        <v>377</v>
      </c>
      <c r="AU46" s="246">
        <f t="shared" si="1"/>
        <v>0</v>
      </c>
      <c r="AV46" s="246">
        <f t="shared" ref="AV46:BI46" si="5">AV91</f>
        <v>0</v>
      </c>
      <c r="AW46" s="246">
        <f t="shared" si="5"/>
        <v>0</v>
      </c>
      <c r="AX46" s="246">
        <f t="shared" si="5"/>
        <v>0</v>
      </c>
      <c r="AY46" s="246">
        <f t="shared" si="5"/>
        <v>0</v>
      </c>
      <c r="AZ46" s="246">
        <f t="shared" si="5"/>
        <v>0</v>
      </c>
      <c r="BA46" s="246">
        <f t="shared" si="5"/>
        <v>0</v>
      </c>
      <c r="BB46" s="246">
        <f t="shared" si="5"/>
        <v>0</v>
      </c>
      <c r="BC46" s="246">
        <f t="shared" si="5"/>
        <v>0</v>
      </c>
      <c r="BD46" s="246">
        <f t="shared" si="5"/>
        <v>1951076.4755827489</v>
      </c>
      <c r="BE46" s="246">
        <f t="shared" si="5"/>
        <v>10583778.883576756</v>
      </c>
      <c r="BF46" s="246">
        <f t="shared" si="5"/>
        <v>0</v>
      </c>
      <c r="BG46" s="246">
        <f t="shared" si="5"/>
        <v>0</v>
      </c>
      <c r="BH46" s="246">
        <f t="shared" si="5"/>
        <v>0</v>
      </c>
      <c r="BI46" s="246">
        <f t="shared" si="5"/>
        <v>2329445.3092260091</v>
      </c>
      <c r="BN46" s="230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2" t="s">
        <v>466</v>
      </c>
      <c r="AU47" s="246">
        <f t="shared" si="1"/>
        <v>94146.207140653787</v>
      </c>
      <c r="AV47" s="246">
        <f t="shared" ref="AV47:BI47" si="6">AV92</f>
        <v>257.99399332425372</v>
      </c>
      <c r="AW47" s="246">
        <f t="shared" si="6"/>
        <v>23309.045257575242</v>
      </c>
      <c r="AX47" s="246">
        <f t="shared" si="6"/>
        <v>0</v>
      </c>
      <c r="AY47" s="246">
        <f t="shared" si="6"/>
        <v>0</v>
      </c>
      <c r="AZ47" s="246">
        <f t="shared" si="6"/>
        <v>0</v>
      </c>
      <c r="BA47" s="246">
        <f t="shared" si="6"/>
        <v>0</v>
      </c>
      <c r="BB47" s="246">
        <f t="shared" si="6"/>
        <v>0</v>
      </c>
      <c r="BC47" s="246">
        <f t="shared" si="6"/>
        <v>0</v>
      </c>
      <c r="BD47" s="246">
        <f t="shared" si="6"/>
        <v>0</v>
      </c>
      <c r="BE47" s="246">
        <f t="shared" si="6"/>
        <v>0</v>
      </c>
      <c r="BF47" s="246">
        <f t="shared" si="6"/>
        <v>0</v>
      </c>
      <c r="BG47" s="246">
        <f t="shared" si="6"/>
        <v>0</v>
      </c>
      <c r="BH47" s="246">
        <f t="shared" si="6"/>
        <v>0</v>
      </c>
      <c r="BI47" s="246">
        <f t="shared" si="6"/>
        <v>0</v>
      </c>
      <c r="BN47" s="230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2" t="s">
        <v>467</v>
      </c>
      <c r="AU48" s="246">
        <f t="shared" si="1"/>
        <v>0</v>
      </c>
      <c r="AV48" s="246">
        <f t="shared" ref="AV48:BI48" si="7">AV93</f>
        <v>24.076233417548465</v>
      </c>
      <c r="AW48" s="246">
        <f t="shared" si="7"/>
        <v>0</v>
      </c>
      <c r="AX48" s="246">
        <f t="shared" si="7"/>
        <v>0</v>
      </c>
      <c r="AY48" s="246">
        <f t="shared" si="7"/>
        <v>0</v>
      </c>
      <c r="AZ48" s="246">
        <f t="shared" si="7"/>
        <v>0</v>
      </c>
      <c r="BA48" s="246">
        <f t="shared" si="7"/>
        <v>0</v>
      </c>
      <c r="BB48" s="246">
        <f t="shared" si="7"/>
        <v>0</v>
      </c>
      <c r="BC48" s="246">
        <f t="shared" si="7"/>
        <v>0</v>
      </c>
      <c r="BD48" s="246">
        <f t="shared" si="7"/>
        <v>0</v>
      </c>
      <c r="BE48" s="246">
        <f t="shared" si="7"/>
        <v>0</v>
      </c>
      <c r="BF48" s="246">
        <f t="shared" si="7"/>
        <v>0</v>
      </c>
      <c r="BG48" s="246">
        <f t="shared" si="7"/>
        <v>0</v>
      </c>
      <c r="BH48" s="246">
        <f t="shared" si="7"/>
        <v>0</v>
      </c>
      <c r="BI48" s="246">
        <f t="shared" si="7"/>
        <v>0</v>
      </c>
      <c r="BN48" s="230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2" t="s">
        <v>411</v>
      </c>
      <c r="AU49" s="246">
        <f t="shared" si="1"/>
        <v>0</v>
      </c>
      <c r="AV49" s="246">
        <f t="shared" ref="AV49:BI49" si="8">AV94</f>
        <v>0</v>
      </c>
      <c r="AW49" s="246">
        <f t="shared" si="8"/>
        <v>0</v>
      </c>
      <c r="AX49" s="246">
        <f t="shared" si="8"/>
        <v>0</v>
      </c>
      <c r="AY49" s="246">
        <f t="shared" si="8"/>
        <v>0</v>
      </c>
      <c r="AZ49" s="246">
        <f t="shared" si="8"/>
        <v>0</v>
      </c>
      <c r="BA49" s="246">
        <f t="shared" si="8"/>
        <v>0</v>
      </c>
      <c r="BB49" s="246">
        <f t="shared" si="8"/>
        <v>0</v>
      </c>
      <c r="BC49" s="246">
        <f t="shared" si="8"/>
        <v>0</v>
      </c>
      <c r="BD49" s="246">
        <f t="shared" si="8"/>
        <v>0</v>
      </c>
      <c r="BE49" s="246">
        <f t="shared" si="8"/>
        <v>0</v>
      </c>
      <c r="BF49" s="246">
        <f t="shared" si="8"/>
        <v>0</v>
      </c>
      <c r="BG49" s="246">
        <f t="shared" si="8"/>
        <v>0</v>
      </c>
      <c r="BH49" s="246">
        <f t="shared" si="8"/>
        <v>0</v>
      </c>
      <c r="BI49" s="246">
        <f t="shared" si="8"/>
        <v>29112.263489807588</v>
      </c>
      <c r="BN49" s="230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2" t="s">
        <v>459</v>
      </c>
      <c r="AU50" s="246">
        <f t="shared" si="1"/>
        <v>0</v>
      </c>
      <c r="AV50" s="246">
        <f t="shared" ref="AV50:BI50" si="9">AV95</f>
        <v>0</v>
      </c>
      <c r="AW50" s="246">
        <f t="shared" si="9"/>
        <v>80616.370239891301</v>
      </c>
      <c r="AX50" s="246">
        <f t="shared" si="9"/>
        <v>609792.2517593482</v>
      </c>
      <c r="AY50" s="246">
        <f t="shared" si="9"/>
        <v>2824.8856477449194</v>
      </c>
      <c r="AZ50" s="246">
        <f t="shared" si="9"/>
        <v>282.1287710315147</v>
      </c>
      <c r="BA50" s="246">
        <f t="shared" si="9"/>
        <v>12626.098826338684</v>
      </c>
      <c r="BB50" s="246">
        <f t="shared" si="9"/>
        <v>34.678095164114971</v>
      </c>
      <c r="BC50" s="246">
        <f t="shared" si="9"/>
        <v>50.358084153937838</v>
      </c>
      <c r="BD50" s="246">
        <f t="shared" si="9"/>
        <v>0</v>
      </c>
      <c r="BE50" s="246">
        <f t="shared" si="9"/>
        <v>0</v>
      </c>
      <c r="BF50" s="246">
        <f t="shared" si="9"/>
        <v>33191.859393697465</v>
      </c>
      <c r="BG50" s="246">
        <f t="shared" si="9"/>
        <v>0</v>
      </c>
      <c r="BH50" s="246">
        <f t="shared" si="9"/>
        <v>0</v>
      </c>
      <c r="BI50" s="246">
        <f t="shared" si="9"/>
        <v>318930.1042317453</v>
      </c>
      <c r="BN50" s="230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29" t="s">
        <v>442</v>
      </c>
      <c r="AU51" s="246">
        <f t="shared" si="1"/>
        <v>0</v>
      </c>
      <c r="AV51" s="246">
        <f t="shared" ref="AV51:BI51" si="10">AV96</f>
        <v>0</v>
      </c>
      <c r="AW51" s="246">
        <f t="shared" si="10"/>
        <v>0</v>
      </c>
      <c r="AX51" s="246">
        <f t="shared" si="10"/>
        <v>108184.8596728804</v>
      </c>
      <c r="AY51" s="246">
        <f t="shared" si="10"/>
        <v>0</v>
      </c>
      <c r="AZ51" s="246">
        <f t="shared" si="10"/>
        <v>0</v>
      </c>
      <c r="BA51" s="246">
        <f t="shared" si="10"/>
        <v>0</v>
      </c>
      <c r="BB51" s="246">
        <f t="shared" si="10"/>
        <v>0</v>
      </c>
      <c r="BC51" s="246">
        <f t="shared" si="10"/>
        <v>0</v>
      </c>
      <c r="BD51" s="246">
        <f t="shared" si="10"/>
        <v>0</v>
      </c>
      <c r="BE51" s="246">
        <f t="shared" si="10"/>
        <v>0</v>
      </c>
      <c r="BF51" s="246">
        <f t="shared" si="10"/>
        <v>0</v>
      </c>
      <c r="BG51" s="246">
        <f t="shared" si="10"/>
        <v>0</v>
      </c>
      <c r="BH51" s="246">
        <f t="shared" si="10"/>
        <v>0</v>
      </c>
      <c r="BI51" s="246">
        <f t="shared" si="10"/>
        <v>0</v>
      </c>
      <c r="BN51" s="230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2" t="s">
        <v>409</v>
      </c>
      <c r="AU52" s="246">
        <f t="shared" si="1"/>
        <v>0</v>
      </c>
      <c r="AV52" s="246">
        <f t="shared" ref="AV52:BI52" si="11">AV97</f>
        <v>0</v>
      </c>
      <c r="AW52" s="246">
        <f t="shared" si="11"/>
        <v>0</v>
      </c>
      <c r="AX52" s="246">
        <f t="shared" si="11"/>
        <v>0</v>
      </c>
      <c r="AY52" s="246">
        <f t="shared" si="11"/>
        <v>0</v>
      </c>
      <c r="AZ52" s="246">
        <f t="shared" si="11"/>
        <v>0</v>
      </c>
      <c r="BA52" s="246">
        <f t="shared" si="11"/>
        <v>0</v>
      </c>
      <c r="BB52" s="246">
        <f t="shared" si="11"/>
        <v>0</v>
      </c>
      <c r="BC52" s="246">
        <f t="shared" si="11"/>
        <v>0</v>
      </c>
      <c r="BD52" s="246">
        <f t="shared" si="11"/>
        <v>0</v>
      </c>
      <c r="BE52" s="246">
        <f t="shared" si="11"/>
        <v>0</v>
      </c>
      <c r="BF52" s="246">
        <f t="shared" si="11"/>
        <v>0</v>
      </c>
      <c r="BG52" s="246">
        <f t="shared" si="11"/>
        <v>0</v>
      </c>
      <c r="BH52" s="246">
        <f t="shared" si="11"/>
        <v>0</v>
      </c>
      <c r="BI52" s="246">
        <f t="shared" si="11"/>
        <v>0</v>
      </c>
      <c r="BN52" s="230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29" t="s">
        <v>412</v>
      </c>
      <c r="AU53" s="246">
        <f t="shared" si="1"/>
        <v>0</v>
      </c>
      <c r="AV53" s="246">
        <f t="shared" ref="AV53:BI53" si="12">AV98</f>
        <v>0</v>
      </c>
      <c r="AW53" s="246">
        <f t="shared" si="12"/>
        <v>0</v>
      </c>
      <c r="AX53" s="246">
        <f t="shared" si="12"/>
        <v>0</v>
      </c>
      <c r="AY53" s="246">
        <f t="shared" si="12"/>
        <v>25297.051877142174</v>
      </c>
      <c r="AZ53" s="246">
        <f t="shared" si="12"/>
        <v>0</v>
      </c>
      <c r="BA53" s="246">
        <f t="shared" si="12"/>
        <v>0</v>
      </c>
      <c r="BB53" s="246">
        <f t="shared" si="12"/>
        <v>0</v>
      </c>
      <c r="BC53" s="246">
        <f t="shared" si="12"/>
        <v>0</v>
      </c>
      <c r="BD53" s="246">
        <f t="shared" si="12"/>
        <v>0</v>
      </c>
      <c r="BE53" s="246">
        <f t="shared" si="12"/>
        <v>0</v>
      </c>
      <c r="BF53" s="246">
        <f t="shared" si="12"/>
        <v>0</v>
      </c>
      <c r="BG53" s="246">
        <f t="shared" si="12"/>
        <v>0</v>
      </c>
      <c r="BH53" s="246">
        <f t="shared" si="12"/>
        <v>0</v>
      </c>
      <c r="BI53" s="246">
        <f t="shared" si="12"/>
        <v>0</v>
      </c>
      <c r="BN53" s="230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2" t="s">
        <v>437</v>
      </c>
      <c r="AU54" s="246">
        <f t="shared" si="1"/>
        <v>0</v>
      </c>
      <c r="AV54" s="246">
        <f t="shared" ref="AV54:BI54" si="13">AV99</f>
        <v>0</v>
      </c>
      <c r="AW54" s="246">
        <f t="shared" si="13"/>
        <v>0</v>
      </c>
      <c r="AX54" s="246">
        <f t="shared" si="13"/>
        <v>0</v>
      </c>
      <c r="AY54" s="246">
        <f t="shared" si="13"/>
        <v>0</v>
      </c>
      <c r="AZ54" s="246">
        <f t="shared" si="13"/>
        <v>0</v>
      </c>
      <c r="BA54" s="246">
        <f t="shared" si="13"/>
        <v>0</v>
      </c>
      <c r="BB54" s="246">
        <f t="shared" si="13"/>
        <v>0</v>
      </c>
      <c r="BC54" s="246">
        <f t="shared" si="13"/>
        <v>0</v>
      </c>
      <c r="BD54" s="246">
        <f t="shared" si="13"/>
        <v>0</v>
      </c>
      <c r="BE54" s="246">
        <f t="shared" si="13"/>
        <v>0</v>
      </c>
      <c r="BF54" s="246">
        <f t="shared" si="13"/>
        <v>0</v>
      </c>
      <c r="BG54" s="246">
        <f t="shared" si="13"/>
        <v>0</v>
      </c>
      <c r="BH54" s="246">
        <f t="shared" si="13"/>
        <v>0</v>
      </c>
      <c r="BI54" s="246">
        <f t="shared" si="13"/>
        <v>0</v>
      </c>
      <c r="BN54" s="230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0" t="s">
        <v>430</v>
      </c>
      <c r="AU55" s="246">
        <f t="shared" si="1"/>
        <v>0</v>
      </c>
      <c r="AV55" s="246">
        <f t="shared" ref="AV55:BI55" si="14">AV100</f>
        <v>0</v>
      </c>
      <c r="AW55" s="246">
        <f t="shared" si="14"/>
        <v>0</v>
      </c>
      <c r="AX55" s="246">
        <f t="shared" si="14"/>
        <v>0</v>
      </c>
      <c r="AY55" s="246">
        <f t="shared" si="14"/>
        <v>0</v>
      </c>
      <c r="AZ55" s="246">
        <f t="shared" si="14"/>
        <v>8855804.320336977</v>
      </c>
      <c r="BA55" s="246">
        <f t="shared" si="14"/>
        <v>0</v>
      </c>
      <c r="BB55" s="246">
        <f t="shared" si="14"/>
        <v>0</v>
      </c>
      <c r="BC55" s="246">
        <f t="shared" si="14"/>
        <v>0</v>
      </c>
      <c r="BD55" s="246">
        <f t="shared" si="14"/>
        <v>0</v>
      </c>
      <c r="BE55" s="246">
        <f t="shared" si="14"/>
        <v>0</v>
      </c>
      <c r="BF55" s="246">
        <f t="shared" si="14"/>
        <v>0</v>
      </c>
      <c r="BG55" s="246">
        <f t="shared" si="14"/>
        <v>0</v>
      </c>
      <c r="BH55" s="246">
        <f t="shared" si="14"/>
        <v>0</v>
      </c>
      <c r="BI55" s="246">
        <f t="shared" si="14"/>
        <v>0</v>
      </c>
      <c r="BN55" s="230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2" t="s">
        <v>416</v>
      </c>
      <c r="AU56" s="246">
        <f t="shared" si="1"/>
        <v>0</v>
      </c>
      <c r="AV56" s="246">
        <f t="shared" ref="AV56:BI56" si="15">AV101</f>
        <v>0</v>
      </c>
      <c r="AW56" s="246">
        <f t="shared" si="15"/>
        <v>0</v>
      </c>
      <c r="AX56" s="246">
        <f t="shared" si="15"/>
        <v>0</v>
      </c>
      <c r="AY56" s="246">
        <f t="shared" si="15"/>
        <v>0</v>
      </c>
      <c r="AZ56" s="246">
        <f t="shared" si="15"/>
        <v>0</v>
      </c>
      <c r="BA56" s="246">
        <f t="shared" si="15"/>
        <v>0</v>
      </c>
      <c r="BB56" s="246">
        <f t="shared" si="15"/>
        <v>0</v>
      </c>
      <c r="BC56" s="246">
        <f t="shared" si="15"/>
        <v>0</v>
      </c>
      <c r="BD56" s="246">
        <f t="shared" si="15"/>
        <v>0</v>
      </c>
      <c r="BE56" s="246">
        <f t="shared" si="15"/>
        <v>0</v>
      </c>
      <c r="BF56" s="246">
        <f t="shared" si="15"/>
        <v>0</v>
      </c>
      <c r="BG56" s="246">
        <f t="shared" si="15"/>
        <v>0</v>
      </c>
      <c r="BH56" s="246">
        <f t="shared" si="15"/>
        <v>0</v>
      </c>
      <c r="BI56" s="246">
        <f t="shared" si="15"/>
        <v>0</v>
      </c>
      <c r="BN56" s="230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29" t="s">
        <v>441</v>
      </c>
      <c r="AU57" s="246">
        <f t="shared" si="1"/>
        <v>0</v>
      </c>
      <c r="AV57" s="246">
        <f t="shared" ref="AV57:BI57" si="16">AV102</f>
        <v>0</v>
      </c>
      <c r="AW57" s="246">
        <f t="shared" si="16"/>
        <v>0</v>
      </c>
      <c r="AX57" s="246">
        <f t="shared" si="16"/>
        <v>0</v>
      </c>
      <c r="AY57" s="246">
        <f t="shared" si="16"/>
        <v>0</v>
      </c>
      <c r="AZ57" s="246">
        <f t="shared" si="16"/>
        <v>0</v>
      </c>
      <c r="BA57" s="246">
        <f t="shared" si="16"/>
        <v>108184.8596728804</v>
      </c>
      <c r="BB57" s="246">
        <f t="shared" si="16"/>
        <v>0</v>
      </c>
      <c r="BC57" s="246">
        <f t="shared" si="16"/>
        <v>0</v>
      </c>
      <c r="BD57" s="246">
        <f t="shared" si="16"/>
        <v>0</v>
      </c>
      <c r="BE57" s="246">
        <f t="shared" si="16"/>
        <v>0</v>
      </c>
      <c r="BF57" s="246">
        <f t="shared" si="16"/>
        <v>0</v>
      </c>
      <c r="BG57" s="246">
        <f t="shared" si="16"/>
        <v>0</v>
      </c>
      <c r="BH57" s="246">
        <f t="shared" si="16"/>
        <v>0</v>
      </c>
      <c r="BI57" s="246">
        <f t="shared" si="16"/>
        <v>0</v>
      </c>
      <c r="BN57" s="230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29" t="s">
        <v>436</v>
      </c>
      <c r="AU58" s="246">
        <f t="shared" si="1"/>
        <v>0</v>
      </c>
      <c r="AV58" s="246">
        <f t="shared" ref="AV58:BI58" si="17">AV103</f>
        <v>0</v>
      </c>
      <c r="AW58" s="246">
        <f t="shared" si="17"/>
        <v>0</v>
      </c>
      <c r="AX58" s="246">
        <f t="shared" si="17"/>
        <v>0</v>
      </c>
      <c r="AY58" s="246">
        <f t="shared" si="17"/>
        <v>0</v>
      </c>
      <c r="AZ58" s="246">
        <f t="shared" si="17"/>
        <v>0</v>
      </c>
      <c r="BA58" s="246">
        <f t="shared" si="17"/>
        <v>0</v>
      </c>
      <c r="BB58" s="246">
        <f t="shared" si="17"/>
        <v>25297.051877142174</v>
      </c>
      <c r="BC58" s="246">
        <f t="shared" si="17"/>
        <v>0</v>
      </c>
      <c r="BD58" s="246">
        <f t="shared" si="17"/>
        <v>0</v>
      </c>
      <c r="BE58" s="246">
        <f t="shared" si="17"/>
        <v>0</v>
      </c>
      <c r="BF58" s="246">
        <f t="shared" si="17"/>
        <v>0</v>
      </c>
      <c r="BG58" s="246">
        <f t="shared" si="17"/>
        <v>0</v>
      </c>
      <c r="BH58" s="246">
        <f t="shared" si="17"/>
        <v>0</v>
      </c>
      <c r="BI58" s="246">
        <f t="shared" si="17"/>
        <v>0</v>
      </c>
      <c r="BN58" s="230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29" t="s">
        <v>433</v>
      </c>
      <c r="AU59" s="246">
        <f t="shared" si="1"/>
        <v>0</v>
      </c>
      <c r="AV59" s="246">
        <f t="shared" ref="AV59:BI59" si="18">AV104</f>
        <v>0</v>
      </c>
      <c r="AW59" s="246">
        <f t="shared" si="18"/>
        <v>0</v>
      </c>
      <c r="AX59" s="246">
        <f t="shared" si="18"/>
        <v>0</v>
      </c>
      <c r="AY59" s="246">
        <f t="shared" si="18"/>
        <v>0</v>
      </c>
      <c r="AZ59" s="246">
        <f t="shared" si="18"/>
        <v>0</v>
      </c>
      <c r="BA59" s="246">
        <f t="shared" si="18"/>
        <v>0</v>
      </c>
      <c r="BB59" s="246">
        <f t="shared" si="18"/>
        <v>0</v>
      </c>
      <c r="BC59" s="246">
        <f t="shared" si="18"/>
        <v>8855804.320336977</v>
      </c>
      <c r="BD59" s="246">
        <f t="shared" si="18"/>
        <v>0</v>
      </c>
      <c r="BE59" s="246">
        <f t="shared" si="18"/>
        <v>0</v>
      </c>
      <c r="BF59" s="246">
        <f t="shared" si="18"/>
        <v>0</v>
      </c>
      <c r="BG59" s="246">
        <f t="shared" si="18"/>
        <v>0</v>
      </c>
      <c r="BH59" s="246">
        <f t="shared" si="18"/>
        <v>0</v>
      </c>
      <c r="BI59" s="246">
        <f t="shared" si="18"/>
        <v>0</v>
      </c>
      <c r="BN59" s="230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29" t="s">
        <v>439</v>
      </c>
      <c r="AU60" s="246">
        <f t="shared" si="1"/>
        <v>0</v>
      </c>
      <c r="AV60" s="246">
        <f t="shared" ref="AV60:BI60" si="19">AV105</f>
        <v>0</v>
      </c>
      <c r="AW60" s="246">
        <f t="shared" si="19"/>
        <v>0</v>
      </c>
      <c r="AX60" s="246">
        <f t="shared" si="19"/>
        <v>0</v>
      </c>
      <c r="AY60" s="246">
        <f t="shared" si="19"/>
        <v>0</v>
      </c>
      <c r="AZ60" s="246">
        <f t="shared" si="19"/>
        <v>0</v>
      </c>
      <c r="BA60" s="246">
        <f t="shared" si="19"/>
        <v>0</v>
      </c>
      <c r="BB60" s="246">
        <f t="shared" si="19"/>
        <v>0</v>
      </c>
      <c r="BC60" s="246">
        <f t="shared" si="19"/>
        <v>0</v>
      </c>
      <c r="BD60" s="246">
        <f t="shared" si="19"/>
        <v>0</v>
      </c>
      <c r="BE60" s="246">
        <f t="shared" si="19"/>
        <v>0</v>
      </c>
      <c r="BF60" s="246">
        <f t="shared" si="19"/>
        <v>0</v>
      </c>
      <c r="BG60" s="246">
        <f t="shared" si="19"/>
        <v>0</v>
      </c>
      <c r="BH60" s="246">
        <f t="shared" si="19"/>
        <v>88071.706245154463</v>
      </c>
      <c r="BI60" s="246">
        <f t="shared" si="19"/>
        <v>0</v>
      </c>
      <c r="BN60" s="230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0" t="s">
        <v>438</v>
      </c>
      <c r="AU61" s="246">
        <f t="shared" si="1"/>
        <v>0</v>
      </c>
      <c r="AV61" s="246">
        <f t="shared" ref="AV61:BI61" si="20">AV106</f>
        <v>0</v>
      </c>
      <c r="AW61" s="246">
        <f t="shared" si="20"/>
        <v>0</v>
      </c>
      <c r="AX61" s="246">
        <f t="shared" si="20"/>
        <v>0</v>
      </c>
      <c r="AY61" s="246">
        <f t="shared" si="20"/>
        <v>0</v>
      </c>
      <c r="AZ61" s="246">
        <f t="shared" si="20"/>
        <v>0</v>
      </c>
      <c r="BA61" s="246">
        <f t="shared" si="20"/>
        <v>0</v>
      </c>
      <c r="BB61" s="246">
        <f t="shared" si="20"/>
        <v>0</v>
      </c>
      <c r="BC61" s="246">
        <f t="shared" si="20"/>
        <v>0</v>
      </c>
      <c r="BD61" s="246">
        <f t="shared" si="20"/>
        <v>0</v>
      </c>
      <c r="BE61" s="246">
        <f t="shared" si="20"/>
        <v>0</v>
      </c>
      <c r="BF61" s="246">
        <f t="shared" si="20"/>
        <v>0</v>
      </c>
      <c r="BG61" s="246">
        <f t="shared" si="20"/>
        <v>0</v>
      </c>
      <c r="BH61" s="246">
        <f t="shared" si="20"/>
        <v>0</v>
      </c>
      <c r="BI61" s="246">
        <f t="shared" si="20"/>
        <v>0</v>
      </c>
      <c r="BN61" s="230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0" t="s">
        <v>424</v>
      </c>
      <c r="AU62" s="246">
        <f t="shared" si="1"/>
        <v>0</v>
      </c>
      <c r="AV62" s="246">
        <f t="shared" ref="AV62:BI62" si="21">AV107</f>
        <v>0</v>
      </c>
      <c r="AW62" s="246">
        <f t="shared" si="21"/>
        <v>0</v>
      </c>
      <c r="AX62" s="246">
        <f t="shared" si="21"/>
        <v>0</v>
      </c>
      <c r="AY62" s="246">
        <f t="shared" si="21"/>
        <v>0</v>
      </c>
      <c r="AZ62" s="246">
        <f t="shared" si="21"/>
        <v>0</v>
      </c>
      <c r="BA62" s="246">
        <f t="shared" si="21"/>
        <v>0</v>
      </c>
      <c r="BB62" s="246">
        <f t="shared" si="21"/>
        <v>0</v>
      </c>
      <c r="BC62" s="246">
        <f t="shared" si="21"/>
        <v>0</v>
      </c>
      <c r="BD62" s="246">
        <f t="shared" si="21"/>
        <v>25297.051877142174</v>
      </c>
      <c r="BE62" s="246">
        <f t="shared" si="21"/>
        <v>0</v>
      </c>
      <c r="BF62" s="246">
        <f t="shared" si="21"/>
        <v>0</v>
      </c>
      <c r="BG62" s="246">
        <f t="shared" si="21"/>
        <v>0</v>
      </c>
      <c r="BH62" s="246">
        <f t="shared" si="21"/>
        <v>0</v>
      </c>
      <c r="BI62" s="246">
        <f t="shared" si="21"/>
        <v>0</v>
      </c>
      <c r="BN62" s="230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0" t="s">
        <v>456</v>
      </c>
      <c r="AU63" s="246">
        <f t="shared" si="1"/>
        <v>0</v>
      </c>
      <c r="AV63" s="246">
        <f t="shared" ref="AV63:BI63" si="22">AV108</f>
        <v>0</v>
      </c>
      <c r="AW63" s="246">
        <f t="shared" si="22"/>
        <v>0</v>
      </c>
      <c r="AX63" s="246">
        <f t="shared" si="22"/>
        <v>0</v>
      </c>
      <c r="AY63" s="246">
        <f t="shared" si="22"/>
        <v>0</v>
      </c>
      <c r="AZ63" s="246">
        <f t="shared" si="22"/>
        <v>0</v>
      </c>
      <c r="BA63" s="246">
        <f t="shared" si="22"/>
        <v>0</v>
      </c>
      <c r="BB63" s="246">
        <f t="shared" si="22"/>
        <v>0</v>
      </c>
      <c r="BC63" s="246">
        <f t="shared" si="22"/>
        <v>0</v>
      </c>
      <c r="BD63" s="246">
        <f t="shared" si="22"/>
        <v>0</v>
      </c>
      <c r="BE63" s="246">
        <f t="shared" si="22"/>
        <v>8855804.320336977</v>
      </c>
      <c r="BF63" s="246">
        <f t="shared" si="22"/>
        <v>0</v>
      </c>
      <c r="BG63" s="246">
        <f t="shared" si="22"/>
        <v>0</v>
      </c>
      <c r="BH63" s="246">
        <f t="shared" si="22"/>
        <v>0</v>
      </c>
      <c r="BI63" s="246">
        <f t="shared" si="22"/>
        <v>0</v>
      </c>
      <c r="BN63" s="230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0" t="s">
        <v>425</v>
      </c>
      <c r="AU64" s="246">
        <f t="shared" si="1"/>
        <v>0</v>
      </c>
      <c r="AV64" s="246">
        <f t="shared" ref="AV64:BI64" si="23">AV109</f>
        <v>0</v>
      </c>
      <c r="AW64" s="246">
        <f t="shared" si="23"/>
        <v>0</v>
      </c>
      <c r="AX64" s="246">
        <f t="shared" si="23"/>
        <v>0</v>
      </c>
      <c r="AY64" s="246">
        <f t="shared" si="23"/>
        <v>0</v>
      </c>
      <c r="AZ64" s="246">
        <f t="shared" si="23"/>
        <v>0</v>
      </c>
      <c r="BA64" s="246">
        <f t="shared" si="23"/>
        <v>0</v>
      </c>
      <c r="BB64" s="246">
        <f t="shared" si="23"/>
        <v>0</v>
      </c>
      <c r="BC64" s="246">
        <f t="shared" si="23"/>
        <v>0</v>
      </c>
      <c r="BD64" s="246">
        <f t="shared" si="23"/>
        <v>0</v>
      </c>
      <c r="BE64" s="246">
        <f t="shared" si="23"/>
        <v>0</v>
      </c>
      <c r="BF64" s="246">
        <f t="shared" si="23"/>
        <v>0</v>
      </c>
      <c r="BG64" s="246">
        <f t="shared" si="23"/>
        <v>0</v>
      </c>
      <c r="BH64" s="246">
        <f t="shared" si="23"/>
        <v>242016.07607977447</v>
      </c>
      <c r="BI64" s="246">
        <f t="shared" si="23"/>
        <v>0</v>
      </c>
      <c r="BN64" s="230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0" t="s">
        <v>427</v>
      </c>
      <c r="AU65" s="246">
        <f t="shared" si="1"/>
        <v>0</v>
      </c>
      <c r="AV65" s="246">
        <f t="shared" ref="AV65:BI65" si="24">AV110</f>
        <v>0</v>
      </c>
      <c r="AW65" s="246">
        <f t="shared" si="24"/>
        <v>0</v>
      </c>
      <c r="AX65" s="246">
        <f t="shared" si="24"/>
        <v>0</v>
      </c>
      <c r="AY65" s="246">
        <f t="shared" si="24"/>
        <v>0</v>
      </c>
      <c r="AZ65" s="246">
        <f t="shared" si="24"/>
        <v>0</v>
      </c>
      <c r="BA65" s="246">
        <f t="shared" si="24"/>
        <v>0</v>
      </c>
      <c r="BB65" s="246">
        <f t="shared" si="24"/>
        <v>0</v>
      </c>
      <c r="BC65" s="246">
        <f t="shared" si="24"/>
        <v>0</v>
      </c>
      <c r="BD65" s="246">
        <f t="shared" si="24"/>
        <v>0</v>
      </c>
      <c r="BE65" s="246">
        <f t="shared" si="24"/>
        <v>0</v>
      </c>
      <c r="BF65" s="246">
        <f t="shared" si="24"/>
        <v>0</v>
      </c>
      <c r="BG65" s="246">
        <f t="shared" si="24"/>
        <v>0</v>
      </c>
      <c r="BH65" s="246">
        <f t="shared" si="24"/>
        <v>0</v>
      </c>
      <c r="BI65" s="246">
        <f t="shared" si="24"/>
        <v>0</v>
      </c>
      <c r="BN65" s="230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0" t="s">
        <v>426</v>
      </c>
      <c r="AU66" s="246">
        <f t="shared" si="1"/>
        <v>0</v>
      </c>
      <c r="AV66" s="246">
        <f t="shared" ref="AV66:BI66" si="25">AV111</f>
        <v>0</v>
      </c>
      <c r="AW66" s="246">
        <f t="shared" si="25"/>
        <v>0</v>
      </c>
      <c r="AX66" s="246">
        <f t="shared" si="25"/>
        <v>0</v>
      </c>
      <c r="AY66" s="246">
        <f t="shared" si="25"/>
        <v>0</v>
      </c>
      <c r="AZ66" s="246">
        <f t="shared" si="25"/>
        <v>0</v>
      </c>
      <c r="BA66" s="246">
        <f t="shared" si="25"/>
        <v>0</v>
      </c>
      <c r="BB66" s="246">
        <f t="shared" si="25"/>
        <v>0</v>
      </c>
      <c r="BC66" s="246">
        <f t="shared" si="25"/>
        <v>0</v>
      </c>
      <c r="BD66" s="246">
        <f t="shared" si="25"/>
        <v>0</v>
      </c>
      <c r="BE66" s="246">
        <f t="shared" si="25"/>
        <v>0</v>
      </c>
      <c r="BF66" s="246">
        <f t="shared" si="25"/>
        <v>0</v>
      </c>
      <c r="BG66" s="246">
        <f t="shared" si="25"/>
        <v>0</v>
      </c>
      <c r="BH66" s="246">
        <f t="shared" si="25"/>
        <v>0</v>
      </c>
      <c r="BI66" s="246">
        <f t="shared" si="25"/>
        <v>0</v>
      </c>
      <c r="BN66" s="230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0" t="s">
        <v>484</v>
      </c>
      <c r="AU67" s="246">
        <f t="shared" si="1"/>
        <v>0</v>
      </c>
      <c r="AV67" s="246">
        <f t="shared" ref="AV67:BI67" si="26">AV112</f>
        <v>0</v>
      </c>
      <c r="AW67" s="246">
        <f t="shared" si="26"/>
        <v>0</v>
      </c>
      <c r="AX67" s="246">
        <f t="shared" si="26"/>
        <v>0</v>
      </c>
      <c r="AY67" s="246">
        <f t="shared" si="26"/>
        <v>0</v>
      </c>
      <c r="AZ67" s="246">
        <f t="shared" si="26"/>
        <v>0</v>
      </c>
      <c r="BA67" s="246">
        <f t="shared" si="26"/>
        <v>0</v>
      </c>
      <c r="BB67" s="246">
        <f t="shared" si="26"/>
        <v>0</v>
      </c>
      <c r="BC67" s="246">
        <f t="shared" si="26"/>
        <v>0</v>
      </c>
      <c r="BD67" s="246">
        <f t="shared" si="26"/>
        <v>0</v>
      </c>
      <c r="BE67" s="246">
        <f t="shared" si="26"/>
        <v>0</v>
      </c>
      <c r="BF67" s="246">
        <f t="shared" si="26"/>
        <v>0</v>
      </c>
      <c r="BG67" s="246">
        <f t="shared" si="26"/>
        <v>0</v>
      </c>
      <c r="BH67" s="246">
        <f t="shared" si="26"/>
        <v>6408288.6211381694</v>
      </c>
      <c r="BI67" s="246">
        <f t="shared" si="26"/>
        <v>0</v>
      </c>
      <c r="BN67" s="230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4" t="s">
        <v>422</v>
      </c>
      <c r="AU68" s="246">
        <f t="shared" si="1"/>
        <v>0</v>
      </c>
      <c r="AV68" s="246">
        <f t="shared" ref="AV68:BI69" si="27">AV113</f>
        <v>0</v>
      </c>
      <c r="AW68" s="246">
        <f t="shared" si="27"/>
        <v>0</v>
      </c>
      <c r="AX68" s="246">
        <f t="shared" si="27"/>
        <v>0</v>
      </c>
      <c r="AY68" s="246">
        <f t="shared" si="27"/>
        <v>0</v>
      </c>
      <c r="AZ68" s="246">
        <f t="shared" si="27"/>
        <v>0</v>
      </c>
      <c r="BA68" s="246">
        <f t="shared" si="27"/>
        <v>0</v>
      </c>
      <c r="BB68" s="246">
        <f t="shared" si="27"/>
        <v>0</v>
      </c>
      <c r="BC68" s="246">
        <f t="shared" si="27"/>
        <v>0</v>
      </c>
      <c r="BD68" s="246">
        <f t="shared" si="27"/>
        <v>0</v>
      </c>
      <c r="BE68" s="246">
        <f t="shared" si="27"/>
        <v>0</v>
      </c>
      <c r="BF68" s="246">
        <f t="shared" si="27"/>
        <v>4026178.1360752485</v>
      </c>
      <c r="BG68" s="246">
        <f t="shared" si="27"/>
        <v>0</v>
      </c>
      <c r="BH68" s="246">
        <f t="shared" si="27"/>
        <v>0</v>
      </c>
      <c r="BI68" s="246">
        <f t="shared" si="27"/>
        <v>0</v>
      </c>
      <c r="BN68" s="230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4" t="s">
        <v>552</v>
      </c>
      <c r="AU69" s="246">
        <f t="shared" si="1"/>
        <v>0</v>
      </c>
      <c r="AV69" s="246">
        <f t="shared" si="27"/>
        <v>0</v>
      </c>
      <c r="AW69" s="246">
        <f t="shared" si="27"/>
        <v>0</v>
      </c>
      <c r="AX69" s="246">
        <f t="shared" si="27"/>
        <v>0</v>
      </c>
      <c r="AY69" s="246">
        <f t="shared" si="27"/>
        <v>0</v>
      </c>
      <c r="AZ69" s="246">
        <f t="shared" si="27"/>
        <v>0</v>
      </c>
      <c r="BA69" s="246">
        <f t="shared" si="27"/>
        <v>0</v>
      </c>
      <c r="BB69" s="246">
        <f t="shared" si="27"/>
        <v>0</v>
      </c>
      <c r="BC69" s="246">
        <f t="shared" si="27"/>
        <v>0</v>
      </c>
      <c r="BD69" s="246">
        <f t="shared" si="27"/>
        <v>0</v>
      </c>
      <c r="BE69" s="246">
        <f t="shared" si="27"/>
        <v>0</v>
      </c>
      <c r="BF69" s="246">
        <f t="shared" si="27"/>
        <v>0</v>
      </c>
      <c r="BG69" s="246">
        <f t="shared" si="27"/>
        <v>0</v>
      </c>
      <c r="BH69" s="246">
        <f t="shared" si="27"/>
        <v>0</v>
      </c>
      <c r="BI69" s="246">
        <f t="shared" si="27"/>
        <v>0</v>
      </c>
      <c r="BN69" s="230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0" t="s">
        <v>421</v>
      </c>
      <c r="AU70" s="246">
        <f t="shared" ref="AU70:AU77" si="28">AU115</f>
        <v>0</v>
      </c>
      <c r="AV70" s="246">
        <f t="shared" ref="AV70:BI70" si="29">AV115</f>
        <v>0</v>
      </c>
      <c r="AW70" s="246">
        <f t="shared" si="29"/>
        <v>0</v>
      </c>
      <c r="AX70" s="246">
        <f t="shared" si="29"/>
        <v>0</v>
      </c>
      <c r="AY70" s="246">
        <f t="shared" si="29"/>
        <v>0</v>
      </c>
      <c r="AZ70" s="246">
        <f t="shared" si="29"/>
        <v>0</v>
      </c>
      <c r="BA70" s="246">
        <f t="shared" si="29"/>
        <v>0</v>
      </c>
      <c r="BB70" s="246">
        <f t="shared" si="29"/>
        <v>0</v>
      </c>
      <c r="BC70" s="246">
        <f t="shared" si="29"/>
        <v>0</v>
      </c>
      <c r="BD70" s="246">
        <f t="shared" si="29"/>
        <v>0</v>
      </c>
      <c r="BE70" s="246">
        <f t="shared" si="29"/>
        <v>0</v>
      </c>
      <c r="BF70" s="246">
        <f t="shared" si="29"/>
        <v>0</v>
      </c>
      <c r="BG70" s="246">
        <f t="shared" si="29"/>
        <v>0</v>
      </c>
      <c r="BH70" s="246">
        <f t="shared" si="29"/>
        <v>0</v>
      </c>
      <c r="BI70" s="246">
        <f t="shared" si="29"/>
        <v>0</v>
      </c>
      <c r="BN70" s="230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2" t="s">
        <v>423</v>
      </c>
      <c r="AU71" s="246">
        <f t="shared" si="28"/>
        <v>0</v>
      </c>
      <c r="AV71" s="246">
        <f t="shared" ref="AV71:BI71" si="30">AV116</f>
        <v>0</v>
      </c>
      <c r="AW71" s="246">
        <f t="shared" si="30"/>
        <v>0</v>
      </c>
      <c r="AX71" s="246">
        <f t="shared" si="30"/>
        <v>0</v>
      </c>
      <c r="AY71" s="246">
        <f t="shared" si="30"/>
        <v>0</v>
      </c>
      <c r="AZ71" s="246">
        <f t="shared" si="30"/>
        <v>0</v>
      </c>
      <c r="BA71" s="246">
        <f t="shared" si="30"/>
        <v>0</v>
      </c>
      <c r="BB71" s="246">
        <f t="shared" si="30"/>
        <v>0</v>
      </c>
      <c r="BC71" s="246">
        <f t="shared" si="30"/>
        <v>0</v>
      </c>
      <c r="BD71" s="246">
        <f t="shared" si="30"/>
        <v>0</v>
      </c>
      <c r="BE71" s="246">
        <f t="shared" si="30"/>
        <v>0</v>
      </c>
      <c r="BF71" s="246">
        <f t="shared" si="30"/>
        <v>0</v>
      </c>
      <c r="BG71" s="246">
        <f t="shared" si="30"/>
        <v>0</v>
      </c>
      <c r="BH71" s="246">
        <f t="shared" si="30"/>
        <v>0</v>
      </c>
      <c r="BI71" s="246">
        <f t="shared" si="30"/>
        <v>0</v>
      </c>
      <c r="BN71" s="230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0" t="s">
        <v>515</v>
      </c>
      <c r="AU72" s="246">
        <f t="shared" si="28"/>
        <v>0</v>
      </c>
      <c r="AV72" s="246">
        <f t="shared" ref="AV72:BI72" si="31">AV117</f>
        <v>0</v>
      </c>
      <c r="AW72" s="246">
        <f t="shared" si="31"/>
        <v>0</v>
      </c>
      <c r="AX72" s="246">
        <f t="shared" si="31"/>
        <v>0</v>
      </c>
      <c r="AY72" s="246">
        <f t="shared" si="31"/>
        <v>0</v>
      </c>
      <c r="AZ72" s="246">
        <f t="shared" si="31"/>
        <v>0</v>
      </c>
      <c r="BA72" s="246">
        <f t="shared" si="31"/>
        <v>0</v>
      </c>
      <c r="BB72" s="246">
        <f t="shared" si="31"/>
        <v>0</v>
      </c>
      <c r="BC72" s="246">
        <f t="shared" si="31"/>
        <v>0</v>
      </c>
      <c r="BD72" s="246">
        <f t="shared" si="31"/>
        <v>0</v>
      </c>
      <c r="BE72" s="246">
        <f t="shared" si="31"/>
        <v>0</v>
      </c>
      <c r="BF72" s="246">
        <f t="shared" si="31"/>
        <v>0</v>
      </c>
      <c r="BG72" s="246">
        <f t="shared" si="31"/>
        <v>4043367.3234254471</v>
      </c>
      <c r="BH72" s="246">
        <f t="shared" si="31"/>
        <v>0</v>
      </c>
      <c r="BI72" s="246">
        <f t="shared" si="31"/>
        <v>0</v>
      </c>
      <c r="BN72" s="230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0" t="s">
        <v>517</v>
      </c>
      <c r="AU73" s="246">
        <f t="shared" si="28"/>
        <v>0</v>
      </c>
      <c r="AV73" s="246">
        <f t="shared" ref="AV73" si="32">AV118</f>
        <v>0</v>
      </c>
      <c r="AW73" s="246">
        <f t="shared" ref="AW73" si="33">AW118</f>
        <v>0</v>
      </c>
      <c r="AX73" s="246">
        <f t="shared" ref="AX73" si="34">AX118</f>
        <v>0</v>
      </c>
      <c r="AY73" s="246">
        <f t="shared" ref="AY73" si="35">AY118</f>
        <v>0</v>
      </c>
      <c r="AZ73" s="246">
        <f t="shared" ref="AZ73" si="36">AZ118</f>
        <v>0</v>
      </c>
      <c r="BA73" s="246">
        <f t="shared" ref="BA73" si="37">BA118</f>
        <v>0</v>
      </c>
      <c r="BB73" s="246">
        <f t="shared" ref="BB73" si="38">BB118</f>
        <v>0</v>
      </c>
      <c r="BC73" s="246">
        <f t="shared" ref="BC73" si="39">BC118</f>
        <v>0</v>
      </c>
      <c r="BD73" s="246">
        <f t="shared" ref="BD73" si="40">BD118</f>
        <v>0</v>
      </c>
      <c r="BE73" s="246">
        <f t="shared" ref="BE73" si="41">BE118</f>
        <v>0</v>
      </c>
      <c r="BF73" s="246">
        <f t="shared" ref="BF73:BI73" si="42">BF118</f>
        <v>0</v>
      </c>
      <c r="BG73" s="246">
        <f t="shared" si="42"/>
        <v>0</v>
      </c>
      <c r="BH73" s="246">
        <f t="shared" si="42"/>
        <v>0</v>
      </c>
      <c r="BI73" s="246">
        <f t="shared" si="42"/>
        <v>2830357.1263978118</v>
      </c>
      <c r="BN73" s="230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0" t="s">
        <v>445</v>
      </c>
      <c r="AU74" s="246">
        <f t="shared" si="28"/>
        <v>0</v>
      </c>
      <c r="AV74" s="246">
        <f t="shared" ref="AV74:BI74" si="43">AV119</f>
        <v>0</v>
      </c>
      <c r="AW74" s="246">
        <f t="shared" si="43"/>
        <v>0</v>
      </c>
      <c r="AX74" s="246">
        <f t="shared" si="43"/>
        <v>0</v>
      </c>
      <c r="AY74" s="246">
        <f t="shared" si="43"/>
        <v>0</v>
      </c>
      <c r="AZ74" s="246">
        <f t="shared" si="43"/>
        <v>0</v>
      </c>
      <c r="BA74" s="246">
        <f t="shared" si="43"/>
        <v>0</v>
      </c>
      <c r="BB74" s="246">
        <f t="shared" si="43"/>
        <v>0</v>
      </c>
      <c r="BC74" s="246">
        <f t="shared" si="43"/>
        <v>0</v>
      </c>
      <c r="BD74" s="246">
        <f t="shared" si="43"/>
        <v>0</v>
      </c>
      <c r="BE74" s="246">
        <f t="shared" si="43"/>
        <v>0</v>
      </c>
      <c r="BF74" s="246">
        <f t="shared" si="43"/>
        <v>0</v>
      </c>
      <c r="BG74" s="246">
        <f t="shared" si="43"/>
        <v>0</v>
      </c>
      <c r="BH74" s="246">
        <f t="shared" si="43"/>
        <v>0</v>
      </c>
      <c r="BI74" s="246">
        <f t="shared" si="43"/>
        <v>6684057.4589463631</v>
      </c>
      <c r="BN74" s="230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0" t="s">
        <v>446</v>
      </c>
      <c r="AU75" s="246">
        <f t="shared" si="28"/>
        <v>0</v>
      </c>
      <c r="AV75" s="246">
        <f t="shared" ref="AV75:BI75" si="44">AV120</f>
        <v>0</v>
      </c>
      <c r="AW75" s="246">
        <f t="shared" si="44"/>
        <v>0</v>
      </c>
      <c r="AX75" s="246">
        <f t="shared" si="44"/>
        <v>0</v>
      </c>
      <c r="AY75" s="246">
        <f t="shared" si="44"/>
        <v>0</v>
      </c>
      <c r="AZ75" s="246">
        <f t="shared" si="44"/>
        <v>0</v>
      </c>
      <c r="BA75" s="246">
        <f t="shared" si="44"/>
        <v>0</v>
      </c>
      <c r="BB75" s="246">
        <f t="shared" si="44"/>
        <v>0</v>
      </c>
      <c r="BC75" s="246">
        <f t="shared" si="44"/>
        <v>0</v>
      </c>
      <c r="BD75" s="246">
        <f t="shared" si="44"/>
        <v>0</v>
      </c>
      <c r="BE75" s="246">
        <f t="shared" si="44"/>
        <v>0</v>
      </c>
      <c r="BF75" s="246">
        <f t="shared" si="44"/>
        <v>0</v>
      </c>
      <c r="BG75" s="246">
        <f t="shared" si="44"/>
        <v>0</v>
      </c>
      <c r="BH75" s="246">
        <f t="shared" si="44"/>
        <v>0</v>
      </c>
      <c r="BI75" s="246">
        <f t="shared" si="44"/>
        <v>0</v>
      </c>
      <c r="BN75" s="230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0" t="s">
        <v>447</v>
      </c>
      <c r="AU76" s="246">
        <f t="shared" si="28"/>
        <v>0</v>
      </c>
      <c r="AV76" s="246">
        <f t="shared" ref="AV76:BI76" si="45">AV121</f>
        <v>0</v>
      </c>
      <c r="AW76" s="246">
        <f t="shared" si="45"/>
        <v>0</v>
      </c>
      <c r="AX76" s="246">
        <f t="shared" si="45"/>
        <v>0</v>
      </c>
      <c r="AY76" s="246">
        <f t="shared" si="45"/>
        <v>0</v>
      </c>
      <c r="AZ76" s="246">
        <f t="shared" si="45"/>
        <v>0</v>
      </c>
      <c r="BA76" s="246">
        <f t="shared" si="45"/>
        <v>0</v>
      </c>
      <c r="BB76" s="246">
        <f t="shared" si="45"/>
        <v>0</v>
      </c>
      <c r="BC76" s="246">
        <f t="shared" si="45"/>
        <v>0</v>
      </c>
      <c r="BD76" s="246">
        <f t="shared" si="45"/>
        <v>0</v>
      </c>
      <c r="BE76" s="246">
        <f t="shared" si="45"/>
        <v>0</v>
      </c>
      <c r="BF76" s="246">
        <f t="shared" si="45"/>
        <v>0</v>
      </c>
      <c r="BG76" s="246">
        <f t="shared" si="45"/>
        <v>0</v>
      </c>
      <c r="BH76" s="246">
        <f t="shared" si="45"/>
        <v>0</v>
      </c>
      <c r="BI76" s="246">
        <f t="shared" si="45"/>
        <v>0</v>
      </c>
      <c r="BN76" s="230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0" t="s">
        <v>457</v>
      </c>
      <c r="AU77" s="246">
        <f t="shared" si="28"/>
        <v>0</v>
      </c>
      <c r="AV77" s="246">
        <f t="shared" ref="AV77:BI77" si="46">AV122</f>
        <v>0</v>
      </c>
      <c r="AW77" s="246">
        <f t="shared" si="46"/>
        <v>0</v>
      </c>
      <c r="AX77" s="246">
        <f t="shared" si="46"/>
        <v>0</v>
      </c>
      <c r="AY77" s="246">
        <f t="shared" si="46"/>
        <v>0</v>
      </c>
      <c r="AZ77" s="246">
        <f t="shared" si="46"/>
        <v>0</v>
      </c>
      <c r="BA77" s="246">
        <f t="shared" si="46"/>
        <v>0</v>
      </c>
      <c r="BB77" s="246">
        <f t="shared" si="46"/>
        <v>0</v>
      </c>
      <c r="BC77" s="246">
        <f t="shared" si="46"/>
        <v>0</v>
      </c>
      <c r="BD77" s="246">
        <f t="shared" si="46"/>
        <v>0</v>
      </c>
      <c r="BE77" s="246">
        <f t="shared" si="46"/>
        <v>0</v>
      </c>
      <c r="BF77" s="246">
        <f t="shared" si="46"/>
        <v>0</v>
      </c>
      <c r="BG77" s="246">
        <f t="shared" si="46"/>
        <v>0</v>
      </c>
      <c r="BH77" s="246">
        <f t="shared" si="46"/>
        <v>0</v>
      </c>
      <c r="BI77" s="246">
        <f t="shared" si="46"/>
        <v>0</v>
      </c>
      <c r="BN77" s="230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0"/>
      <c r="AU78" s="379" t="s">
        <v>472</v>
      </c>
      <c r="AV78" s="379"/>
      <c r="AW78" s="379"/>
      <c r="AX78" s="379"/>
      <c r="AY78" s="379"/>
      <c r="AZ78" s="379"/>
      <c r="BA78" s="379"/>
      <c r="BB78" s="379"/>
      <c r="BC78" s="379"/>
      <c r="BD78" s="379"/>
      <c r="BE78" s="379"/>
      <c r="BF78" s="379"/>
      <c r="BG78" s="379"/>
      <c r="BH78" s="379"/>
      <c r="BI78" s="379"/>
      <c r="BN78" s="230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0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0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0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0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0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0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5"/>
      <c r="AU86" s="231" t="s">
        <v>325</v>
      </c>
      <c r="AV86" s="231" t="s">
        <v>326</v>
      </c>
      <c r="AW86" s="231" t="s">
        <v>327</v>
      </c>
      <c r="AX86" s="231" t="s">
        <v>455</v>
      </c>
      <c r="AY86" s="231" t="s">
        <v>435</v>
      </c>
      <c r="AZ86" s="231" t="s">
        <v>434</v>
      </c>
      <c r="BA86" s="231" t="s">
        <v>351</v>
      </c>
      <c r="BB86" s="231" t="s">
        <v>348</v>
      </c>
      <c r="BC86" s="231" t="s">
        <v>362</v>
      </c>
      <c r="BD86" s="231" t="s">
        <v>349</v>
      </c>
      <c r="BE86" s="231" t="s">
        <v>344</v>
      </c>
      <c r="BF86" s="231" t="s">
        <v>514</v>
      </c>
      <c r="BG86" s="231" t="s">
        <v>516</v>
      </c>
      <c r="BH86" s="231" t="s">
        <v>76</v>
      </c>
      <c r="BI86" s="231" t="s">
        <v>337</v>
      </c>
      <c r="BN86" s="231"/>
      <c r="BO86" s="231" t="s">
        <v>331</v>
      </c>
      <c r="BP86" s="231" t="s">
        <v>279</v>
      </c>
    </row>
    <row r="87" spans="36:81" x14ac:dyDescent="0.2">
      <c r="AJ87" s="132"/>
      <c r="AK87" s="132"/>
      <c r="AT87" s="132" t="s">
        <v>333</v>
      </c>
      <c r="AU87" s="234">
        <f>Ore_to_PI!$V$42</f>
        <v>108184.8596728804</v>
      </c>
      <c r="AV87" s="234"/>
      <c r="AW87" s="234"/>
      <c r="AX87" s="234"/>
      <c r="AY87" s="234"/>
      <c r="AZ87" s="234"/>
      <c r="BA87" s="234"/>
      <c r="BB87" s="234"/>
      <c r="BC87" s="234"/>
      <c r="BD87" s="234"/>
      <c r="BE87" s="234"/>
      <c r="BF87" s="234"/>
      <c r="BG87" s="234"/>
      <c r="BH87" s="234"/>
      <c r="BI87" s="234"/>
      <c r="BJ87" s="243">
        <f>SUM(AU87:BI87)</f>
        <v>108184.8596728804</v>
      </c>
      <c r="BN87" s="132" t="s">
        <v>333</v>
      </c>
      <c r="BO87" s="237"/>
      <c r="BP87" s="237"/>
      <c r="BQ87" s="243">
        <f>SUM(BO87:BP87)</f>
        <v>0</v>
      </c>
    </row>
    <row r="88" spans="36:81" x14ac:dyDescent="0.2">
      <c r="AJ88" s="132"/>
      <c r="AK88" s="132"/>
      <c r="AT88" s="132" t="s">
        <v>335</v>
      </c>
      <c r="AU88" s="234"/>
      <c r="AV88" s="234">
        <f>Ore_to_PI!$V$126</f>
        <v>25297.051877142174</v>
      </c>
      <c r="AW88" s="234"/>
      <c r="AX88" s="234"/>
      <c r="AY88" s="234"/>
      <c r="AZ88" s="234"/>
      <c r="BA88" s="234"/>
      <c r="BB88" s="234"/>
      <c r="BC88" s="234"/>
      <c r="BD88" s="234"/>
      <c r="BE88" s="234"/>
      <c r="BF88" s="234"/>
      <c r="BG88" s="234"/>
      <c r="BH88" s="234"/>
      <c r="BI88" s="234"/>
      <c r="BJ88" s="243">
        <f>SUM(AU88:BI88)</f>
        <v>25297.051877142174</v>
      </c>
      <c r="BN88" s="132" t="s">
        <v>335</v>
      </c>
      <c r="BO88" s="237"/>
      <c r="BP88" s="237"/>
      <c r="BQ88" s="243">
        <f>SUM(BO88:BP88)</f>
        <v>0</v>
      </c>
    </row>
    <row r="89" spans="36:81" x14ac:dyDescent="0.2">
      <c r="AJ89" s="132"/>
      <c r="AK89" s="132"/>
      <c r="AT89" s="132" t="s">
        <v>336</v>
      </c>
      <c r="AU89" s="234"/>
      <c r="AV89" s="234"/>
      <c r="AW89" s="234">
        <f>Ore_to_PI!$V$206</f>
        <v>8850991.3601140417</v>
      </c>
      <c r="AX89" s="234"/>
      <c r="AY89" s="234"/>
      <c r="AZ89" s="234"/>
      <c r="BA89" s="234"/>
      <c r="BB89" s="234"/>
      <c r="BC89" s="234"/>
      <c r="BD89" s="234"/>
      <c r="BE89" s="234"/>
      <c r="BF89" s="234"/>
      <c r="BG89" s="234"/>
      <c r="BH89" s="234"/>
      <c r="BI89" s="234"/>
      <c r="BJ89" s="243">
        <f t="shared" ref="BJ89:BJ122" si="47">SUM(AU89:BI89)</f>
        <v>8850991.3601140417</v>
      </c>
      <c r="BN89" s="132" t="s">
        <v>336</v>
      </c>
      <c r="BO89" s="237"/>
      <c r="BP89" s="237"/>
      <c r="BQ89" s="243">
        <f>SUM(BO89:BP89)</f>
        <v>0</v>
      </c>
    </row>
    <row r="90" spans="36:81" x14ac:dyDescent="0.2">
      <c r="AJ90" s="132"/>
      <c r="AK90" s="132"/>
      <c r="AT90" s="132" t="s">
        <v>355</v>
      </c>
      <c r="AU90" s="234">
        <f>Ore_to_PI!V72</f>
        <v>125.02637472887361</v>
      </c>
      <c r="AV90" s="234">
        <f>Ore_to_PI!V163</f>
        <v>0.37484270351331089</v>
      </c>
      <c r="AW90" s="234">
        <f>Ore_to_PI!V236</f>
        <v>30.954464502133519</v>
      </c>
      <c r="AX90" s="234"/>
      <c r="AY90" s="234"/>
      <c r="AZ90" s="234"/>
      <c r="BA90" s="234"/>
      <c r="BB90" s="234"/>
      <c r="BC90" s="234"/>
      <c r="BD90" s="234">
        <f>Ore_to_PI!CB140</f>
        <v>2671.5132120132448</v>
      </c>
      <c r="BE90" s="234">
        <f>Ore_to_PI!CB232</f>
        <v>14491.84871754296</v>
      </c>
      <c r="BF90" s="234"/>
      <c r="BG90" s="234"/>
      <c r="BH90" s="234"/>
      <c r="BI90" s="236">
        <f>Ore_to_PI!EM140</f>
        <v>11826.742854693757</v>
      </c>
      <c r="BJ90" s="243">
        <f t="shared" si="47"/>
        <v>29146.460466184486</v>
      </c>
      <c r="BN90" s="132" t="s">
        <v>355</v>
      </c>
      <c r="BO90" s="237"/>
      <c r="BP90" s="237"/>
      <c r="BQ90" s="243">
        <f t="shared" ref="BQ90:BQ94" si="48">SUM(BO90:BP90)</f>
        <v>0</v>
      </c>
    </row>
    <row r="91" spans="36:81" x14ac:dyDescent="0.2">
      <c r="AJ91" s="132"/>
      <c r="AK91" s="132"/>
      <c r="AM91" s="132"/>
      <c r="AT91" s="132" t="s">
        <v>377</v>
      </c>
      <c r="AU91" s="234"/>
      <c r="AV91" s="234"/>
      <c r="AW91" s="234"/>
      <c r="AX91" s="234"/>
      <c r="AY91" s="234"/>
      <c r="AZ91" s="234"/>
      <c r="BA91" s="234"/>
      <c r="BB91" s="234"/>
      <c r="BC91" s="234"/>
      <c r="BD91" s="234">
        <f>Ore_to_PI!CB152</f>
        <v>1951076.4755827489</v>
      </c>
      <c r="BE91" s="234">
        <f>Ore_to_PI!CB244</f>
        <v>10583778.883576756</v>
      </c>
      <c r="BF91" s="234"/>
      <c r="BG91" s="234"/>
      <c r="BH91" s="234"/>
      <c r="BI91" s="234">
        <f>Ore_to_PI!EM114</f>
        <v>2329445.3092260091</v>
      </c>
      <c r="BJ91" s="243">
        <f t="shared" si="47"/>
        <v>14864300.668385513</v>
      </c>
      <c r="BN91" s="132" t="s">
        <v>377</v>
      </c>
      <c r="BO91" s="237"/>
      <c r="BP91" s="237"/>
      <c r="BQ91" s="243">
        <f t="shared" si="48"/>
        <v>0</v>
      </c>
    </row>
    <row r="92" spans="36:81" x14ac:dyDescent="0.2">
      <c r="AJ92" s="132"/>
      <c r="AK92" s="132"/>
      <c r="AM92" s="132"/>
      <c r="AT92" s="132" t="s">
        <v>466</v>
      </c>
      <c r="AU92" s="234">
        <f>Ore_to_PI!V59</f>
        <v>94146.207140653787</v>
      </c>
      <c r="AV92" s="234">
        <f>Ore_to_PI!V140</f>
        <v>257.99399332425372</v>
      </c>
      <c r="AW92" s="234">
        <f>Ore_to_PI!V222</f>
        <v>23309.045257575242</v>
      </c>
      <c r="AX92" s="234"/>
      <c r="AY92" s="234"/>
      <c r="AZ92" s="234"/>
      <c r="BA92" s="234"/>
      <c r="BB92" s="234"/>
      <c r="BC92" s="234"/>
      <c r="BD92" s="234"/>
      <c r="BE92" s="234"/>
      <c r="BF92" s="234"/>
      <c r="BG92" s="234"/>
      <c r="BH92" s="234"/>
      <c r="BI92" s="234"/>
      <c r="BJ92" s="243">
        <f t="shared" si="47"/>
        <v>117713.24639155329</v>
      </c>
      <c r="BN92" s="132" t="s">
        <v>466</v>
      </c>
      <c r="BO92" s="237"/>
      <c r="BP92" s="237"/>
      <c r="BQ92" s="243">
        <f t="shared" si="48"/>
        <v>0</v>
      </c>
    </row>
    <row r="93" spans="36:81" x14ac:dyDescent="0.2">
      <c r="AJ93" s="132"/>
      <c r="AK93" s="132"/>
      <c r="AM93" s="132"/>
      <c r="AT93" s="132" t="s">
        <v>467</v>
      </c>
      <c r="AU93" s="234"/>
      <c r="AV93" s="234">
        <f>Ore_to_PI!V151</f>
        <v>24.076233417548465</v>
      </c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34"/>
      <c r="BH93" s="234"/>
      <c r="BI93" s="234"/>
      <c r="BJ93" s="243">
        <f t="shared" si="47"/>
        <v>24.076233417548465</v>
      </c>
      <c r="BN93" s="132" t="s">
        <v>467</v>
      </c>
      <c r="BO93" s="237"/>
      <c r="BP93" s="237"/>
      <c r="BQ93" s="243">
        <f t="shared" si="48"/>
        <v>0</v>
      </c>
    </row>
    <row r="94" spans="36:81" x14ac:dyDescent="0.2">
      <c r="AJ94" s="132"/>
      <c r="AK94" s="132"/>
      <c r="AM94" s="132"/>
      <c r="AT94" s="132" t="s">
        <v>411</v>
      </c>
      <c r="AU94" s="234"/>
      <c r="AV94" s="234"/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34"/>
      <c r="BH94" s="234"/>
      <c r="BI94" s="234">
        <f>Ore_to_PI!EM101</f>
        <v>29112.263489807588</v>
      </c>
      <c r="BJ94" s="243">
        <f t="shared" si="47"/>
        <v>29112.263489807588</v>
      </c>
      <c r="BN94" s="132" t="s">
        <v>411</v>
      </c>
      <c r="BO94" s="237"/>
      <c r="BP94" s="237"/>
      <c r="BQ94" s="243">
        <f t="shared" si="48"/>
        <v>0</v>
      </c>
    </row>
    <row r="95" spans="36:81" x14ac:dyDescent="0.2">
      <c r="AJ95" s="132"/>
      <c r="AK95" s="132"/>
      <c r="AM95" s="132"/>
      <c r="AT95" s="132" t="s">
        <v>459</v>
      </c>
      <c r="AU95" s="234"/>
      <c r="AV95" s="234"/>
      <c r="AW95" s="234">
        <f>Ore_to_PI!AC195</f>
        <v>80616.370239891301</v>
      </c>
      <c r="AX95" s="234">
        <f>Ore_to_PI!AU28</f>
        <v>609792.2517593482</v>
      </c>
      <c r="AY95" s="234">
        <f>Ore_to_PI!AU113</f>
        <v>2824.8856477449194</v>
      </c>
      <c r="AZ95" s="234">
        <f>Ore_to_PI!AU190</f>
        <v>282.1287710315147</v>
      </c>
      <c r="BA95" s="234">
        <f>Ore_to_PI!BN35</f>
        <v>12626.098826338684</v>
      </c>
      <c r="BB95" s="234">
        <f>Ore_to_PI!BM116</f>
        <v>34.678095164114971</v>
      </c>
      <c r="BC95" s="234">
        <f>Ore_to_PI!BM195</f>
        <v>50.358084153937838</v>
      </c>
      <c r="BD95" s="234"/>
      <c r="BE95" s="234"/>
      <c r="BF95" s="234">
        <f>Ore_to_PI!DD229</f>
        <v>33191.859393697465</v>
      </c>
      <c r="BG95" s="234"/>
      <c r="BH95" s="234"/>
      <c r="BI95" s="234">
        <f>Ore_to_PI!EU117</f>
        <v>318930.1042317453</v>
      </c>
      <c r="BJ95" s="243">
        <f t="shared" si="47"/>
        <v>1058348.7350491155</v>
      </c>
      <c r="BN95" s="132" t="s">
        <v>459</v>
      </c>
      <c r="BO95" s="237"/>
      <c r="BP95" s="237"/>
      <c r="BQ95" s="243">
        <f t="shared" ref="BQ95:BQ101" si="49">SUM(BO95:BP95)</f>
        <v>0</v>
      </c>
    </row>
    <row r="96" spans="36:81" ht="16" customHeight="1" x14ac:dyDescent="0.2">
      <c r="AJ96" s="239"/>
      <c r="AK96" s="239"/>
      <c r="AT96" s="229" t="s">
        <v>442</v>
      </c>
      <c r="AU96" s="234"/>
      <c r="AV96" s="234"/>
      <c r="AW96" s="234"/>
      <c r="AX96" s="234">
        <f>Ore_to_PI!$AO$42</f>
        <v>108184.8596728804</v>
      </c>
      <c r="AY96" s="234"/>
      <c r="AZ96" s="234"/>
      <c r="BA96" s="234"/>
      <c r="BB96" s="234"/>
      <c r="BC96" s="234"/>
      <c r="BD96" s="234"/>
      <c r="BE96" s="234"/>
      <c r="BF96" s="234"/>
      <c r="BG96" s="234"/>
      <c r="BH96" s="234"/>
      <c r="BI96" s="234"/>
      <c r="BJ96" s="243">
        <f t="shared" si="47"/>
        <v>108184.8596728804</v>
      </c>
      <c r="BN96" s="229" t="s">
        <v>442</v>
      </c>
      <c r="BO96" s="237"/>
      <c r="BP96" s="237"/>
      <c r="BQ96" s="243">
        <f t="shared" si="49"/>
        <v>0</v>
      </c>
    </row>
    <row r="97" spans="36:74" ht="16" customHeight="1" x14ac:dyDescent="0.2">
      <c r="AJ97" s="229"/>
      <c r="AK97" s="229"/>
      <c r="AT97" s="132" t="s">
        <v>409</v>
      </c>
      <c r="AU97" s="234"/>
      <c r="AV97" s="234"/>
      <c r="AW97" s="234"/>
      <c r="AX97" s="234"/>
      <c r="AY97" s="234"/>
      <c r="AZ97" s="234"/>
      <c r="BA97" s="234"/>
      <c r="BB97" s="234"/>
      <c r="BC97" s="234"/>
      <c r="BD97" s="234"/>
      <c r="BE97" s="234"/>
      <c r="BF97" s="234"/>
      <c r="BG97" s="234"/>
      <c r="BH97" s="234"/>
      <c r="BI97" s="234"/>
      <c r="BJ97" s="243">
        <f t="shared" si="47"/>
        <v>0</v>
      </c>
      <c r="BN97" s="132" t="s">
        <v>409</v>
      </c>
      <c r="BO97" s="237"/>
      <c r="BP97" s="237">
        <f>Ore_to_PI!AO63</f>
        <v>2244.7960862667505</v>
      </c>
      <c r="BQ97" s="243">
        <f t="shared" si="49"/>
        <v>2244.7960862667505</v>
      </c>
    </row>
    <row r="98" spans="36:74" ht="16" customHeight="1" x14ac:dyDescent="0.2">
      <c r="AJ98" s="230"/>
      <c r="AK98" s="230"/>
      <c r="AT98" s="229" t="s">
        <v>412</v>
      </c>
      <c r="AU98" s="234"/>
      <c r="AV98" s="234"/>
      <c r="AW98" s="234"/>
      <c r="AX98" s="234"/>
      <c r="AY98" s="234">
        <f>Ore_to_PI!$AP$126</f>
        <v>25297.051877142174</v>
      </c>
      <c r="AZ98" s="234"/>
      <c r="BA98" s="234"/>
      <c r="BB98" s="234"/>
      <c r="BC98" s="234"/>
      <c r="BD98" s="234"/>
      <c r="BE98" s="234"/>
      <c r="BF98" s="234"/>
      <c r="BG98" s="234"/>
      <c r="BH98" s="234"/>
      <c r="BI98" s="234"/>
      <c r="BJ98" s="243">
        <f t="shared" si="47"/>
        <v>25297.051877142174</v>
      </c>
      <c r="BN98" s="229" t="s">
        <v>412</v>
      </c>
      <c r="BO98" s="237"/>
      <c r="BP98" s="241"/>
      <c r="BQ98" s="243">
        <f t="shared" si="49"/>
        <v>0</v>
      </c>
    </row>
    <row r="99" spans="36:74" x14ac:dyDescent="0.2">
      <c r="AJ99" s="230"/>
      <c r="AK99" s="230"/>
      <c r="AT99" s="132" t="s">
        <v>437</v>
      </c>
      <c r="AU99" s="234"/>
      <c r="AV99" s="234"/>
      <c r="AW99" s="234"/>
      <c r="AX99" s="234"/>
      <c r="AY99" s="234"/>
      <c r="AZ99" s="234"/>
      <c r="BA99" s="234"/>
      <c r="BB99" s="234"/>
      <c r="BC99" s="234"/>
      <c r="BD99" s="234"/>
      <c r="BE99" s="234"/>
      <c r="BF99" s="234"/>
      <c r="BG99" s="234"/>
      <c r="BH99" s="236"/>
      <c r="BI99" s="234"/>
      <c r="BJ99" s="243">
        <f t="shared" si="47"/>
        <v>0</v>
      </c>
      <c r="BN99" s="132" t="s">
        <v>437</v>
      </c>
      <c r="BO99" s="237"/>
      <c r="BP99" s="237">
        <f>Ore_to_PI!AP142</f>
        <v>6.7177820097776806</v>
      </c>
      <c r="BQ99" s="243">
        <f t="shared" si="49"/>
        <v>6.7177820097776806</v>
      </c>
    </row>
    <row r="100" spans="36:74" x14ac:dyDescent="0.2">
      <c r="AJ100" s="230"/>
      <c r="AK100" s="230"/>
      <c r="AT100" s="230" t="s">
        <v>430</v>
      </c>
      <c r="AU100" s="234"/>
      <c r="AV100" s="234"/>
      <c r="AW100" s="234"/>
      <c r="AX100" s="234"/>
      <c r="AY100" s="234"/>
      <c r="AZ100" s="234">
        <f>Ore_to_PI!$AP$206</f>
        <v>8855804.320336977</v>
      </c>
      <c r="BA100" s="234"/>
      <c r="BB100" s="234"/>
      <c r="BC100" s="234"/>
      <c r="BD100" s="234"/>
      <c r="BE100" s="234"/>
      <c r="BF100" s="234"/>
      <c r="BG100" s="234"/>
      <c r="BH100" s="234"/>
      <c r="BI100" s="236"/>
      <c r="BJ100" s="243">
        <f t="shared" si="47"/>
        <v>8855804.320336977</v>
      </c>
      <c r="BN100" s="230" t="s">
        <v>430</v>
      </c>
      <c r="BO100" s="237"/>
      <c r="BP100" s="237"/>
      <c r="BQ100" s="243">
        <f t="shared" si="49"/>
        <v>0</v>
      </c>
    </row>
    <row r="101" spans="36:74" x14ac:dyDescent="0.2">
      <c r="AJ101" s="230"/>
      <c r="AK101" s="230"/>
      <c r="AT101" s="132" t="s">
        <v>416</v>
      </c>
      <c r="AU101" s="234"/>
      <c r="AV101" s="234"/>
      <c r="AW101" s="234"/>
      <c r="AX101" s="234"/>
      <c r="AY101" s="234"/>
      <c r="AZ101" s="234"/>
      <c r="BA101" s="234"/>
      <c r="BB101" s="234"/>
      <c r="BC101" s="234"/>
      <c r="BD101" s="234"/>
      <c r="BE101" s="234"/>
      <c r="BF101" s="234"/>
      <c r="BG101" s="234"/>
      <c r="BH101" s="234"/>
      <c r="BI101" s="234"/>
      <c r="BJ101" s="243">
        <f t="shared" si="47"/>
        <v>0</v>
      </c>
      <c r="BN101" s="132" t="s">
        <v>416</v>
      </c>
      <c r="BO101" s="237"/>
      <c r="BP101" s="237">
        <f>Ore_to_PI!AP227</f>
        <v>555.77441893806406</v>
      </c>
      <c r="BQ101" s="243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0"/>
      <c r="AK102" s="230"/>
      <c r="AT102" s="229" t="s">
        <v>441</v>
      </c>
      <c r="AU102" s="234"/>
      <c r="AV102" s="234"/>
      <c r="AW102" s="234"/>
      <c r="AX102" s="234"/>
      <c r="AY102" s="234"/>
      <c r="AZ102" s="234"/>
      <c r="BA102" s="234">
        <f>Ore_to_PI!$BH$42</f>
        <v>108184.8596728804</v>
      </c>
      <c r="BB102" s="234"/>
      <c r="BC102" s="234"/>
      <c r="BD102" s="234"/>
      <c r="BE102" s="234"/>
      <c r="BF102" s="234"/>
      <c r="BG102" s="234"/>
      <c r="BH102" s="234"/>
      <c r="BI102" s="234"/>
      <c r="BJ102" s="243">
        <f t="shared" si="47"/>
        <v>108184.8596728804</v>
      </c>
      <c r="BN102" s="229" t="s">
        <v>441</v>
      </c>
      <c r="BO102" s="237"/>
      <c r="BP102" s="237"/>
      <c r="BQ102" s="243">
        <f t="shared" ref="BQ102:BQ122" si="50">SUM(BO102:BP102)</f>
        <v>0</v>
      </c>
    </row>
    <row r="103" spans="36:74" ht="16" customHeight="1" x14ac:dyDescent="0.2">
      <c r="AJ103" s="230"/>
      <c r="AK103" s="230"/>
      <c r="AT103" s="229" t="s">
        <v>436</v>
      </c>
      <c r="AU103" s="234"/>
      <c r="AV103" s="234"/>
      <c r="AW103" s="234"/>
      <c r="AX103" s="234"/>
      <c r="AY103" s="234"/>
      <c r="AZ103" s="234"/>
      <c r="BA103" s="234"/>
      <c r="BB103" s="234">
        <f>Ore_to_PI!$BI$126</f>
        <v>25297.051877142174</v>
      </c>
      <c r="BC103" s="234"/>
      <c r="BD103" s="234"/>
      <c r="BE103" s="234"/>
      <c r="BF103" s="234"/>
      <c r="BG103" s="234"/>
      <c r="BH103" s="234"/>
      <c r="BI103" s="234"/>
      <c r="BJ103" s="243">
        <f t="shared" si="47"/>
        <v>25297.051877142174</v>
      </c>
      <c r="BN103" s="229" t="s">
        <v>436</v>
      </c>
      <c r="BO103" s="237"/>
      <c r="BP103" s="237"/>
      <c r="BQ103" s="243">
        <f t="shared" si="50"/>
        <v>0</v>
      </c>
    </row>
    <row r="104" spans="36:74" ht="16" customHeight="1" x14ac:dyDescent="0.2">
      <c r="AJ104" s="230"/>
      <c r="AK104" s="230"/>
      <c r="AT104" s="229" t="s">
        <v>433</v>
      </c>
      <c r="AU104" s="234"/>
      <c r="AV104" s="234"/>
      <c r="AW104" s="234"/>
      <c r="AX104" s="234"/>
      <c r="AY104" s="234"/>
      <c r="AZ104" s="234"/>
      <c r="BA104" s="234"/>
      <c r="BB104" s="234"/>
      <c r="BC104" s="234">
        <f>Ore_to_PI!$BI$206</f>
        <v>8855804.320336977</v>
      </c>
      <c r="BD104" s="234"/>
      <c r="BE104" s="234"/>
      <c r="BF104" s="234"/>
      <c r="BG104" s="234"/>
      <c r="BH104" s="234"/>
      <c r="BI104" s="234"/>
      <c r="BJ104" s="243">
        <f t="shared" si="47"/>
        <v>8855804.320336977</v>
      </c>
      <c r="BN104" s="229" t="s">
        <v>433</v>
      </c>
      <c r="BO104" s="237"/>
      <c r="BP104" s="237"/>
      <c r="BQ104" s="243">
        <f t="shared" si="50"/>
        <v>0</v>
      </c>
    </row>
    <row r="105" spans="36:74" ht="16" customHeight="1" x14ac:dyDescent="0.2">
      <c r="AJ105" s="244"/>
      <c r="AK105" s="244"/>
      <c r="AT105" s="229" t="s">
        <v>439</v>
      </c>
      <c r="AU105" s="234"/>
      <c r="AV105" s="234"/>
      <c r="AW105" s="234"/>
      <c r="AX105" s="234"/>
      <c r="AY105" s="234"/>
      <c r="AZ105" s="234"/>
      <c r="BA105" s="234"/>
      <c r="BB105" s="234"/>
      <c r="BC105" s="234"/>
      <c r="BD105" s="234"/>
      <c r="BE105" s="234"/>
      <c r="BF105" s="234"/>
      <c r="BG105" s="234"/>
      <c r="BH105" s="234">
        <f>Ore_to_PI!CA42</f>
        <v>88071.706245154463</v>
      </c>
      <c r="BI105" s="234"/>
      <c r="BJ105" s="243">
        <f t="shared" si="47"/>
        <v>88071.706245154463</v>
      </c>
      <c r="BN105" s="229" t="s">
        <v>439</v>
      </c>
      <c r="BO105" s="237"/>
      <c r="BP105" s="237"/>
      <c r="BQ105" s="243">
        <f t="shared" si="50"/>
        <v>0</v>
      </c>
    </row>
    <row r="106" spans="36:74" x14ac:dyDescent="0.2">
      <c r="AJ106" s="230"/>
      <c r="AK106" s="230"/>
      <c r="AT106" s="230" t="s">
        <v>438</v>
      </c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4"/>
      <c r="BG106" s="234"/>
      <c r="BH106" s="234"/>
      <c r="BI106" s="236"/>
      <c r="BJ106" s="243">
        <f t="shared" si="47"/>
        <v>0</v>
      </c>
      <c r="BK106" s="52"/>
      <c r="BL106" s="52"/>
      <c r="BN106" s="230" t="s">
        <v>438</v>
      </c>
      <c r="BO106" s="237"/>
      <c r="BP106" s="237">
        <f>Ore_to_PI!CA55</f>
        <v>21722.892325740406</v>
      </c>
      <c r="BQ106" s="243">
        <f t="shared" si="50"/>
        <v>21722.892325740406</v>
      </c>
    </row>
    <row r="107" spans="36:74" x14ac:dyDescent="0.2">
      <c r="AJ107" s="230"/>
      <c r="AK107" s="230"/>
      <c r="AT107" s="230" t="s">
        <v>424</v>
      </c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>
        <f>Ore_to_PI!$CB$126</f>
        <v>25297.051877142174</v>
      </c>
      <c r="BE107" s="234"/>
      <c r="BF107" s="234"/>
      <c r="BG107" s="234"/>
      <c r="BH107" s="234"/>
      <c r="BI107" s="234"/>
      <c r="BJ107" s="243">
        <f t="shared" si="47"/>
        <v>25297.051877142174</v>
      </c>
      <c r="BN107" s="230" t="s">
        <v>424</v>
      </c>
      <c r="BO107" s="237"/>
      <c r="BP107" s="237"/>
      <c r="BQ107" s="243">
        <f t="shared" si="50"/>
        <v>0</v>
      </c>
    </row>
    <row r="108" spans="36:74" x14ac:dyDescent="0.2">
      <c r="AJ108" s="230"/>
      <c r="AK108" s="230"/>
      <c r="AT108" s="230" t="s">
        <v>456</v>
      </c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>
        <f>Ore_to_PI!$CB$206</f>
        <v>8855804.320336977</v>
      </c>
      <c r="BF108" s="234"/>
      <c r="BG108" s="234"/>
      <c r="BH108" s="234"/>
      <c r="BI108" s="234"/>
      <c r="BJ108" s="243">
        <f t="shared" si="47"/>
        <v>8855804.320336977</v>
      </c>
      <c r="BN108" s="230" t="s">
        <v>456</v>
      </c>
      <c r="BO108" s="237"/>
      <c r="BP108" s="237"/>
      <c r="BQ108" s="243">
        <f t="shared" si="50"/>
        <v>0</v>
      </c>
    </row>
    <row r="109" spans="36:74" x14ac:dyDescent="0.2">
      <c r="AJ109" s="230"/>
      <c r="AK109" s="230"/>
      <c r="AT109" s="230" t="s">
        <v>425</v>
      </c>
      <c r="AU109" s="234"/>
      <c r="AV109" s="234"/>
      <c r="AW109" s="234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>
        <f>Ore_to_PI!$CW$126</f>
        <v>242016.07607977447</v>
      </c>
      <c r="BI109" s="234"/>
      <c r="BJ109" s="243">
        <f t="shared" si="47"/>
        <v>242016.07607977447</v>
      </c>
      <c r="BN109" s="230" t="s">
        <v>425</v>
      </c>
      <c r="BO109" s="237"/>
      <c r="BP109" s="237"/>
      <c r="BQ109" s="243">
        <f t="shared" si="50"/>
        <v>0</v>
      </c>
    </row>
    <row r="110" spans="36:74" x14ac:dyDescent="0.2">
      <c r="AJ110" s="230"/>
      <c r="AK110" s="230"/>
      <c r="AT110" s="230" t="s">
        <v>427</v>
      </c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6"/>
      <c r="BJ110" s="243">
        <f t="shared" si="47"/>
        <v>0</v>
      </c>
      <c r="BN110" s="230" t="s">
        <v>427</v>
      </c>
      <c r="BO110" s="237"/>
      <c r="BP110" s="237">
        <f>Ore_to_PI!CW114</f>
        <v>7739.2511800711582</v>
      </c>
      <c r="BQ110" s="243">
        <f t="shared" si="50"/>
        <v>7739.2511800711582</v>
      </c>
    </row>
    <row r="111" spans="36:74" x14ac:dyDescent="0.2">
      <c r="AJ111" s="230"/>
      <c r="AK111" s="230"/>
      <c r="AT111" s="230" t="s">
        <v>426</v>
      </c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43">
        <f t="shared" si="47"/>
        <v>0</v>
      </c>
      <c r="BN111" s="230" t="s">
        <v>426</v>
      </c>
      <c r="BO111" s="237"/>
      <c r="BP111" s="237">
        <f>Ore_to_PI!CW138</f>
        <v>87222.135331413883</v>
      </c>
      <c r="BQ111" s="243">
        <f t="shared" si="50"/>
        <v>87222.135331413883</v>
      </c>
    </row>
    <row r="112" spans="36:74" x14ac:dyDescent="0.2">
      <c r="AJ112" s="230"/>
      <c r="AK112" s="230"/>
      <c r="AT112" s="230" t="s">
        <v>484</v>
      </c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>
        <f>Ore_to_PI!$CW$206</f>
        <v>6408288.6211381694</v>
      </c>
      <c r="BI112" s="234"/>
      <c r="BJ112" s="243">
        <f t="shared" si="47"/>
        <v>6408288.6211381694</v>
      </c>
      <c r="BN112" s="230" t="s">
        <v>484</v>
      </c>
      <c r="BO112" s="237"/>
      <c r="BP112" s="237"/>
      <c r="BQ112" s="243">
        <f t="shared" si="50"/>
        <v>0</v>
      </c>
    </row>
    <row r="113" spans="5:69" ht="16" customHeight="1" x14ac:dyDescent="0.2">
      <c r="AJ113" s="230"/>
      <c r="AK113" s="230"/>
      <c r="AT113" s="244" t="s">
        <v>422</v>
      </c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/>
      <c r="BE113" s="234"/>
      <c r="BF113" s="234">
        <f>Ore_to_PI!$CW$234</f>
        <v>4026178.1360752485</v>
      </c>
      <c r="BG113" s="234"/>
      <c r="BH113" s="234"/>
      <c r="BI113" s="234"/>
      <c r="BJ113" s="243">
        <f t="shared" si="47"/>
        <v>4026178.1360752485</v>
      </c>
      <c r="BN113" s="244" t="s">
        <v>422</v>
      </c>
      <c r="BO113" s="237"/>
      <c r="BP113" s="237"/>
      <c r="BQ113" s="243">
        <f t="shared" si="50"/>
        <v>0</v>
      </c>
    </row>
    <row r="114" spans="5:69" ht="16" customHeight="1" x14ac:dyDescent="0.2">
      <c r="AJ114" s="230"/>
      <c r="AK114" s="230"/>
      <c r="AT114" s="244" t="s">
        <v>552</v>
      </c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43">
        <f t="shared" si="47"/>
        <v>0</v>
      </c>
      <c r="BN114" s="244" t="s">
        <v>552</v>
      </c>
      <c r="BO114" s="237"/>
      <c r="BP114" s="237">
        <f>Ore_to_PI!CW267</f>
        <v>955411.7785075705</v>
      </c>
      <c r="BQ114" s="243">
        <f t="shared" si="50"/>
        <v>955411.7785075705</v>
      </c>
    </row>
    <row r="115" spans="5:69" x14ac:dyDescent="0.2">
      <c r="AJ115" s="230"/>
      <c r="AK115" s="230"/>
      <c r="AT115" s="230" t="s">
        <v>421</v>
      </c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4"/>
      <c r="BG115" s="234"/>
      <c r="BH115" s="234"/>
      <c r="BI115" s="234"/>
      <c r="BJ115" s="243">
        <f t="shared" si="47"/>
        <v>0</v>
      </c>
      <c r="BN115" s="230" t="s">
        <v>421</v>
      </c>
      <c r="BO115" s="237"/>
      <c r="BP115" s="237">
        <f>Ore_to_PI!CW218</f>
        <v>8991.620323109395</v>
      </c>
      <c r="BQ115" s="243">
        <f t="shared" si="50"/>
        <v>8991.620323109395</v>
      </c>
    </row>
    <row r="116" spans="5:69" x14ac:dyDescent="0.2">
      <c r="AJ116" s="230"/>
      <c r="AK116" s="230"/>
      <c r="AT116" s="132" t="s">
        <v>423</v>
      </c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34"/>
      <c r="BH116" s="234"/>
      <c r="BI116" s="234"/>
      <c r="BJ116" s="243">
        <f t="shared" si="47"/>
        <v>0</v>
      </c>
      <c r="BN116" s="132" t="s">
        <v>423</v>
      </c>
      <c r="BO116" s="237"/>
      <c r="BP116" s="237">
        <f>Ore_to_PI!CW251</f>
        <v>303788.26554911444</v>
      </c>
      <c r="BQ116" s="243">
        <f t="shared" si="50"/>
        <v>303788.26554911444</v>
      </c>
    </row>
    <row r="117" spans="5:69" x14ac:dyDescent="0.2">
      <c r="AJ117" s="230"/>
      <c r="AK117" s="230"/>
      <c r="AT117" s="230" t="s">
        <v>515</v>
      </c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34">
        <f>Ore_to_PI!$DQ$233</f>
        <v>4043367.3234254471</v>
      </c>
      <c r="BH117" s="234"/>
      <c r="BI117" s="236"/>
      <c r="BJ117" s="243">
        <f t="shared" si="47"/>
        <v>4043367.3234254471</v>
      </c>
      <c r="BN117" s="230" t="s">
        <v>515</v>
      </c>
      <c r="BO117" s="237"/>
      <c r="BP117" s="237"/>
      <c r="BQ117" s="243">
        <f t="shared" si="50"/>
        <v>0</v>
      </c>
    </row>
    <row r="118" spans="5:69" x14ac:dyDescent="0.2">
      <c r="AJ118" s="230"/>
      <c r="AK118" s="230"/>
      <c r="AT118" s="230" t="s">
        <v>517</v>
      </c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34"/>
      <c r="BH118" s="234"/>
      <c r="BI118" s="236">
        <f>Ore_to_PI!$EM$152</f>
        <v>2830357.1263978118</v>
      </c>
      <c r="BJ118" s="243">
        <f t="shared" si="47"/>
        <v>2830357.1263978118</v>
      </c>
      <c r="BN118" s="230" t="s">
        <v>517</v>
      </c>
      <c r="BO118" s="237">
        <f>Ore_to_PI!$FG$233</f>
        <v>1213010.1970276341</v>
      </c>
      <c r="BP118" s="237"/>
      <c r="BQ118" s="243">
        <f t="shared" si="50"/>
        <v>1213010.1970276341</v>
      </c>
    </row>
    <row r="119" spans="5:69" x14ac:dyDescent="0.2">
      <c r="AJ119" s="230"/>
      <c r="AK119" s="230"/>
      <c r="AT119" s="230" t="s">
        <v>445</v>
      </c>
      <c r="AU119" s="234"/>
      <c r="AV119" s="234"/>
      <c r="AW119" s="234"/>
      <c r="AX119" s="234"/>
      <c r="AY119" s="234"/>
      <c r="AZ119" s="234"/>
      <c r="BA119" s="234"/>
      <c r="BB119" s="234"/>
      <c r="BC119" s="234"/>
      <c r="BD119" s="234"/>
      <c r="BE119" s="234"/>
      <c r="BF119" s="234"/>
      <c r="BG119" s="234"/>
      <c r="BH119" s="234"/>
      <c r="BI119" s="236">
        <f>Ore_to_PI!EM126</f>
        <v>6684057.4589463631</v>
      </c>
      <c r="BJ119" s="243">
        <f t="shared" si="47"/>
        <v>6684057.4589463631</v>
      </c>
      <c r="BN119" s="230" t="s">
        <v>445</v>
      </c>
      <c r="BO119" s="237"/>
      <c r="BP119" s="237"/>
      <c r="BQ119" s="243">
        <f t="shared" si="50"/>
        <v>0</v>
      </c>
    </row>
    <row r="120" spans="5:69" x14ac:dyDescent="0.2">
      <c r="AJ120" s="230"/>
      <c r="AK120" s="230"/>
      <c r="AT120" s="230" t="s">
        <v>446</v>
      </c>
      <c r="AU120" s="234"/>
      <c r="AV120" s="234"/>
      <c r="AW120" s="234"/>
      <c r="AX120" s="234"/>
      <c r="AY120" s="234"/>
      <c r="AZ120" s="234"/>
      <c r="BA120" s="234"/>
      <c r="BB120" s="234"/>
      <c r="BC120" s="234"/>
      <c r="BD120" s="234"/>
      <c r="BE120" s="234"/>
      <c r="BF120" s="234"/>
      <c r="BG120" s="234"/>
      <c r="BH120" s="234"/>
      <c r="BI120" s="234"/>
      <c r="BJ120" s="243">
        <f t="shared" si="47"/>
        <v>0</v>
      </c>
      <c r="BN120" s="230" t="s">
        <v>446</v>
      </c>
      <c r="BO120" s="237">
        <f>Ore_to_PI!FM126</f>
        <v>4157895.2984628798</v>
      </c>
      <c r="BP120" s="237"/>
      <c r="BQ120" s="243">
        <f t="shared" si="50"/>
        <v>4157895.2984628798</v>
      </c>
    </row>
    <row r="121" spans="5:69" x14ac:dyDescent="0.2">
      <c r="AJ121" s="230"/>
      <c r="AK121" s="230"/>
      <c r="AT121" s="230" t="s">
        <v>447</v>
      </c>
      <c r="AU121" s="234"/>
      <c r="AV121" s="234"/>
      <c r="AW121" s="234"/>
      <c r="AX121" s="234"/>
      <c r="AY121" s="234"/>
      <c r="AZ121" s="234"/>
      <c r="BA121" s="234"/>
      <c r="BB121" s="234"/>
      <c r="BC121" s="234"/>
      <c r="BD121" s="234"/>
      <c r="BE121" s="234"/>
      <c r="BF121" s="234"/>
      <c r="BG121" s="234"/>
      <c r="BH121" s="234"/>
      <c r="BI121" s="234"/>
      <c r="BJ121" s="243">
        <f t="shared" si="47"/>
        <v>0</v>
      </c>
      <c r="BN121" s="230" t="s">
        <v>447</v>
      </c>
      <c r="BO121" s="237"/>
      <c r="BP121" s="237">
        <f>Ore_to_PI!FM141</f>
        <v>404209.15818875749</v>
      </c>
      <c r="BQ121" s="243">
        <f t="shared" si="50"/>
        <v>404209.15818875749</v>
      </c>
    </row>
    <row r="122" spans="5:69" x14ac:dyDescent="0.2">
      <c r="AJ122" s="230"/>
      <c r="AK122" s="230"/>
      <c r="AT122" s="230" t="s">
        <v>457</v>
      </c>
      <c r="AU122" s="234"/>
      <c r="AV122" s="234"/>
      <c r="AW122" s="234"/>
      <c r="AX122" s="234"/>
      <c r="AY122" s="234"/>
      <c r="AZ122" s="234"/>
      <c r="BA122" s="234"/>
      <c r="BB122" s="234"/>
      <c r="BC122" s="234"/>
      <c r="BD122" s="234"/>
      <c r="BE122" s="234"/>
      <c r="BF122" s="234"/>
      <c r="BG122" s="234"/>
      <c r="BH122" s="234"/>
      <c r="BI122" s="234"/>
      <c r="BJ122" s="243">
        <f t="shared" si="47"/>
        <v>0</v>
      </c>
      <c r="BN122" s="230" t="s">
        <v>457</v>
      </c>
      <c r="BO122" s="237"/>
      <c r="BP122" s="237">
        <f>Ore_to_PI!FM104</f>
        <v>67875.356217847453</v>
      </c>
      <c r="BQ122" s="243">
        <f t="shared" si="50"/>
        <v>67875.356217847453</v>
      </c>
    </row>
    <row r="123" spans="5:69" x14ac:dyDescent="0.2">
      <c r="AJ123" s="230"/>
      <c r="AK123" s="230"/>
      <c r="AT123" s="230"/>
      <c r="AU123" s="379" t="s">
        <v>328</v>
      </c>
      <c r="AV123" s="379"/>
      <c r="AW123" s="379"/>
      <c r="AX123" s="379"/>
      <c r="AY123" s="379"/>
      <c r="AZ123" s="379"/>
      <c r="BA123" s="379"/>
      <c r="BB123" s="379"/>
      <c r="BC123" s="379"/>
      <c r="BD123" s="379"/>
      <c r="BE123" s="379"/>
      <c r="BF123" s="379"/>
      <c r="BG123" s="379"/>
      <c r="BH123" s="379"/>
      <c r="BI123" s="379"/>
      <c r="BJ123" s="52" t="s">
        <v>369</v>
      </c>
      <c r="BO123" s="379" t="s">
        <v>330</v>
      </c>
      <c r="BP123" s="379"/>
      <c r="BQ123" s="52" t="s">
        <v>381</v>
      </c>
    </row>
    <row r="124" spans="5:69" x14ac:dyDescent="0.2">
      <c r="AJ124" s="230"/>
      <c r="AK124" s="230"/>
      <c r="AT124" s="230"/>
      <c r="AU124" s="243">
        <f>SUM(AU87:AU122)</f>
        <v>202456.09318826307</v>
      </c>
      <c r="AV124" s="243">
        <f>SUM(AV87:AV122)</f>
        <v>25579.496946587489</v>
      </c>
      <c r="AW124" s="243">
        <f>SUM(AW87:AW122)</f>
        <v>8954947.7300760113</v>
      </c>
      <c r="AX124" s="243">
        <f t="shared" ref="AX124:BI124" si="51">SUM(AX87:AX122)</f>
        <v>717977.11143222859</v>
      </c>
      <c r="AY124" s="243">
        <f t="shared" si="51"/>
        <v>28121.937524887093</v>
      </c>
      <c r="AZ124" s="243">
        <f t="shared" si="51"/>
        <v>8856086.4491080083</v>
      </c>
      <c r="BA124" s="243">
        <f t="shared" si="51"/>
        <v>120810.95849921908</v>
      </c>
      <c r="BB124" s="243">
        <f t="shared" si="51"/>
        <v>25331.72997230629</v>
      </c>
      <c r="BC124" s="243">
        <f t="shared" si="51"/>
        <v>8855854.6784211304</v>
      </c>
      <c r="BD124" s="243">
        <f t="shared" si="51"/>
        <v>1979045.0406719043</v>
      </c>
      <c r="BE124" s="243">
        <f t="shared" si="51"/>
        <v>19454075.052631274</v>
      </c>
      <c r="BF124" s="243">
        <f t="shared" si="51"/>
        <v>4059369.9954689462</v>
      </c>
      <c r="BG124" s="243">
        <f t="shared" si="51"/>
        <v>4043367.3234254471</v>
      </c>
      <c r="BH124" s="243">
        <f t="shared" si="51"/>
        <v>6738376.4034630982</v>
      </c>
      <c r="BI124" s="243">
        <f t="shared" si="51"/>
        <v>12203729.005146431</v>
      </c>
      <c r="BO124" s="52"/>
      <c r="BP124" s="52"/>
    </row>
    <row r="125" spans="5:69" ht="13" customHeight="1" x14ac:dyDescent="0.2">
      <c r="F125" s="380"/>
      <c r="G125" s="380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  <c r="AA125" s="136"/>
      <c r="AB125" s="136"/>
      <c r="AC125" s="136"/>
      <c r="AD125" s="136"/>
      <c r="AE125" s="136"/>
      <c r="AF125" s="136"/>
      <c r="AG125" s="136"/>
      <c r="AH125" s="136"/>
      <c r="AI125" s="136"/>
      <c r="AJ125" s="230"/>
      <c r="AK125" s="230"/>
      <c r="AL125" s="136"/>
      <c r="AM125" s="136"/>
      <c r="AN125" s="136"/>
      <c r="AO125" s="136"/>
      <c r="AP125" s="136"/>
      <c r="AQ125" s="136"/>
      <c r="AR125" s="136"/>
      <c r="AU125" s="379" t="s">
        <v>368</v>
      </c>
      <c r="AV125" s="379"/>
      <c r="AW125" s="379"/>
      <c r="AX125" s="379"/>
      <c r="AY125" s="379"/>
      <c r="AZ125" s="379"/>
      <c r="BA125" s="379"/>
      <c r="BB125" s="379"/>
      <c r="BC125" s="379"/>
      <c r="BD125" s="379"/>
      <c r="BE125" s="379"/>
      <c r="BF125" s="379"/>
      <c r="BG125" s="379"/>
      <c r="BH125" s="379"/>
      <c r="BI125" s="379"/>
      <c r="BO125" s="52"/>
      <c r="BP125" s="52"/>
    </row>
    <row r="126" spans="5:69" ht="236" customHeight="1" x14ac:dyDescent="0.2">
      <c r="E126" s="60"/>
      <c r="F126" s="231" t="s">
        <v>333</v>
      </c>
      <c r="G126" s="231" t="s">
        <v>335</v>
      </c>
      <c r="H126" s="231" t="s">
        <v>336</v>
      </c>
      <c r="I126" s="231" t="s">
        <v>355</v>
      </c>
      <c r="J126" s="231" t="s">
        <v>377</v>
      </c>
      <c r="K126" s="231" t="s">
        <v>466</v>
      </c>
      <c r="L126" s="231" t="s">
        <v>467</v>
      </c>
      <c r="M126" s="231" t="s">
        <v>411</v>
      </c>
      <c r="N126" s="231" t="s">
        <v>459</v>
      </c>
      <c r="O126" s="232" t="s">
        <v>442</v>
      </c>
      <c r="P126" s="231" t="s">
        <v>409</v>
      </c>
      <c r="Q126" s="232" t="s">
        <v>412</v>
      </c>
      <c r="R126" s="231" t="s">
        <v>437</v>
      </c>
      <c r="S126" s="233" t="s">
        <v>430</v>
      </c>
      <c r="T126" s="231" t="s">
        <v>416</v>
      </c>
      <c r="U126" s="232" t="s">
        <v>441</v>
      </c>
      <c r="V126" s="232" t="s">
        <v>436</v>
      </c>
      <c r="W126" s="232" t="s">
        <v>433</v>
      </c>
      <c r="X126" s="232" t="s">
        <v>439</v>
      </c>
      <c r="Y126" s="233" t="s">
        <v>438</v>
      </c>
      <c r="Z126" s="233" t="s">
        <v>424</v>
      </c>
      <c r="AA126" s="233" t="s">
        <v>456</v>
      </c>
      <c r="AB126" s="233" t="s">
        <v>425</v>
      </c>
      <c r="AC126" s="233" t="s">
        <v>427</v>
      </c>
      <c r="AD126" s="233" t="s">
        <v>426</v>
      </c>
      <c r="AE126" s="233" t="s">
        <v>484</v>
      </c>
      <c r="AF126" s="235" t="s">
        <v>422</v>
      </c>
      <c r="AG126" s="235" t="s">
        <v>552</v>
      </c>
      <c r="AH126" s="233" t="s">
        <v>421</v>
      </c>
      <c r="AI126" s="231" t="s">
        <v>423</v>
      </c>
      <c r="AJ126" s="233" t="s">
        <v>515</v>
      </c>
      <c r="AK126" s="233" t="s">
        <v>517</v>
      </c>
      <c r="AL126" s="233" t="s">
        <v>445</v>
      </c>
      <c r="AM126" s="233" t="s">
        <v>446</v>
      </c>
      <c r="AN126" s="233" t="s">
        <v>447</v>
      </c>
      <c r="AO126" s="233" t="s">
        <v>457</v>
      </c>
    </row>
    <row r="127" spans="5:69" x14ac:dyDescent="0.2">
      <c r="E127" s="132" t="s">
        <v>325</v>
      </c>
      <c r="F127" s="234"/>
      <c r="G127" s="234"/>
      <c r="H127" s="234"/>
      <c r="I127" s="234"/>
      <c r="J127" s="234"/>
      <c r="K127" s="234"/>
      <c r="L127" s="234"/>
      <c r="M127" s="234"/>
      <c r="N127" s="234"/>
      <c r="O127" s="234">
        <f>Ore_to_PI!AO42</f>
        <v>108184.8596728804</v>
      </c>
      <c r="P127" s="234">
        <f>Ore_to_PI!AO63</f>
        <v>2244.7960862667505</v>
      </c>
      <c r="Q127" s="234"/>
      <c r="R127" s="234"/>
      <c r="S127" s="234"/>
      <c r="T127" s="234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4"/>
      <c r="AI127" s="234"/>
      <c r="AJ127" s="234"/>
      <c r="AK127" s="234"/>
      <c r="AL127" s="234"/>
      <c r="AM127" s="234"/>
      <c r="AN127" s="234"/>
      <c r="AO127" s="234"/>
      <c r="AP127" s="243">
        <f>SUM(F127:AO127)</f>
        <v>110429.65575914715</v>
      </c>
    </row>
    <row r="128" spans="5:69" x14ac:dyDescent="0.2">
      <c r="E128" s="132" t="s">
        <v>326</v>
      </c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>
        <f>Ore_to_PI!AP126</f>
        <v>25297.051877142174</v>
      </c>
      <c r="R128" s="234">
        <f>Ore_to_PI!AP142</f>
        <v>6.7177820097776806</v>
      </c>
      <c r="S128" s="234"/>
      <c r="T128" s="234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234"/>
      <c r="AI128" s="234"/>
      <c r="AJ128" s="234"/>
      <c r="AK128" s="234"/>
      <c r="AL128" s="234"/>
      <c r="AM128" s="234"/>
      <c r="AN128" s="234"/>
      <c r="AO128" s="234"/>
      <c r="AP128" s="243">
        <f>SUM(F128:AO128)</f>
        <v>25303.769659151953</v>
      </c>
    </row>
    <row r="129" spans="5:68" x14ac:dyDescent="0.2">
      <c r="E129" s="132" t="s">
        <v>327</v>
      </c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>
        <f>Ore_to_PI!AP206</f>
        <v>8855804.320336977</v>
      </c>
      <c r="T129" s="234">
        <f>Ore_to_PI!AP227</f>
        <v>555.77441893806406</v>
      </c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234"/>
      <c r="AI129" s="234"/>
      <c r="AJ129" s="234"/>
      <c r="AK129" s="234"/>
      <c r="AL129" s="234"/>
      <c r="AM129" s="234"/>
      <c r="AN129" s="234"/>
      <c r="AO129" s="234"/>
      <c r="AP129" s="243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2" t="s">
        <v>455</v>
      </c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>
        <f>Ore_to_PI!BH42</f>
        <v>108184.8596728804</v>
      </c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234"/>
      <c r="AI130" s="234"/>
      <c r="AJ130" s="234"/>
      <c r="AK130" s="234"/>
      <c r="AL130" s="234"/>
      <c r="AM130" s="234"/>
      <c r="AN130" s="234"/>
      <c r="AO130" s="234"/>
      <c r="AP130" s="243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2" t="s">
        <v>435</v>
      </c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>
        <f>Ore_to_PI!BI126</f>
        <v>25297.051877142174</v>
      </c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234"/>
      <c r="AI131" s="234"/>
      <c r="AJ131" s="234"/>
      <c r="AK131" s="234"/>
      <c r="AL131" s="234"/>
      <c r="AM131" s="234"/>
      <c r="AN131" s="234"/>
      <c r="AO131" s="234"/>
      <c r="AP131" s="243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2" t="s">
        <v>434</v>
      </c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>
        <f>Ore_to_PI!BI206</f>
        <v>8855804.320336977</v>
      </c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43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2" t="s">
        <v>351</v>
      </c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>
        <f>Ore_to_PI!CA42</f>
        <v>88071.706245154463</v>
      </c>
      <c r="Y133" s="234">
        <f>Ore_to_PI!CA55</f>
        <v>21722.892325740406</v>
      </c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43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2" t="s">
        <v>348</v>
      </c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>
        <f>Ore_to_PI!CB126</f>
        <v>25297.051877142174</v>
      </c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43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2" t="s">
        <v>362</v>
      </c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>
        <f>Ore_to_PI!CB206</f>
        <v>8855804.320336977</v>
      </c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43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2" t="s">
        <v>349</v>
      </c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>
        <f>Ore_to_PI!CW126</f>
        <v>242016.07607977447</v>
      </c>
      <c r="AC136" s="234">
        <f>Ore_to_PI!CW114</f>
        <v>7739.2511800711582</v>
      </c>
      <c r="AD136" s="234">
        <f>Ore_to_PI!CW138</f>
        <v>87222.135331413883</v>
      </c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43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2" t="s">
        <v>344</v>
      </c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>
        <f>Ore_to_PI!CW206</f>
        <v>6408288.6211381694</v>
      </c>
      <c r="AF137" s="234">
        <f>Ore_to_PI!CW234</f>
        <v>4026178.1360752485</v>
      </c>
      <c r="AG137" s="234">
        <f>Ore_to_PI!CW267</f>
        <v>955411.7785075705</v>
      </c>
      <c r="AH137" s="234">
        <f>Ore_to_PI!CW218</f>
        <v>8991.620323109395</v>
      </c>
      <c r="AI137" s="234">
        <f>Ore_to_PI!CW251</f>
        <v>303788.26554911444</v>
      </c>
      <c r="AJ137" s="234"/>
      <c r="AK137" s="234"/>
      <c r="AL137" s="234"/>
      <c r="AM137" s="234"/>
      <c r="AN137" s="234"/>
      <c r="AO137" s="234"/>
      <c r="AP137" s="243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2" t="s">
        <v>514</v>
      </c>
      <c r="F138" s="234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>
        <f>Ore_to_PI!DQ233</f>
        <v>4043367.3234254471</v>
      </c>
      <c r="AK138" s="234"/>
      <c r="AL138" s="234"/>
      <c r="AM138" s="234"/>
      <c r="AN138" s="234"/>
      <c r="AO138" s="234"/>
      <c r="AP138" s="243">
        <f t="shared" si="52"/>
        <v>4043367.3234254471</v>
      </c>
    </row>
    <row r="139" spans="5:68" x14ac:dyDescent="0.2">
      <c r="E139" s="132" t="s">
        <v>516</v>
      </c>
      <c r="F139" s="234"/>
      <c r="G139" s="234"/>
      <c r="H139" s="234"/>
      <c r="I139" s="234"/>
      <c r="J139" s="234"/>
      <c r="K139" s="234"/>
      <c r="L139" s="234"/>
      <c r="M139" s="234"/>
      <c r="N139" s="234"/>
      <c r="O139" s="234"/>
      <c r="P139" s="234"/>
      <c r="Q139" s="234"/>
      <c r="R139" s="234"/>
      <c r="S139" s="234"/>
      <c r="T139" s="234"/>
      <c r="U139" s="234"/>
      <c r="V139" s="234"/>
      <c r="W139" s="234"/>
      <c r="X139" s="234"/>
      <c r="Y139" s="234"/>
      <c r="Z139" s="234"/>
      <c r="AA139" s="234"/>
      <c r="AB139" s="234"/>
      <c r="AC139" s="234"/>
      <c r="AD139" s="234"/>
      <c r="AE139" s="234"/>
      <c r="AF139" s="234"/>
      <c r="AG139" s="234"/>
      <c r="AH139" s="234"/>
      <c r="AI139" s="234"/>
      <c r="AJ139" s="234"/>
      <c r="AK139" s="234">
        <f>Ore_to_PI!$EL$233</f>
        <v>4043367.3234254471</v>
      </c>
      <c r="AL139" s="234"/>
      <c r="AM139" s="234"/>
      <c r="AN139" s="234"/>
      <c r="AO139" s="234"/>
      <c r="AP139" s="243">
        <f t="shared" si="52"/>
        <v>4043367.3234254471</v>
      </c>
    </row>
    <row r="140" spans="5:68" x14ac:dyDescent="0.2">
      <c r="E140" s="132" t="s">
        <v>76</v>
      </c>
      <c r="F140" s="234"/>
      <c r="G140" s="234"/>
      <c r="H140" s="234"/>
      <c r="I140" s="234"/>
      <c r="J140" s="234"/>
      <c r="K140" s="234"/>
      <c r="L140" s="234"/>
      <c r="M140" s="234"/>
      <c r="N140" s="234"/>
      <c r="O140" s="234"/>
      <c r="P140" s="234"/>
      <c r="Q140" s="234"/>
      <c r="R140" s="234"/>
      <c r="S140" s="234"/>
      <c r="T140" s="234"/>
      <c r="U140" s="234"/>
      <c r="V140" s="234"/>
      <c r="W140" s="234"/>
      <c r="X140" s="234"/>
      <c r="Y140" s="234"/>
      <c r="Z140" s="234"/>
      <c r="AA140" s="234"/>
      <c r="AB140" s="234"/>
      <c r="AC140" s="234"/>
      <c r="AD140" s="234"/>
      <c r="AE140" s="234"/>
      <c r="AF140" s="234"/>
      <c r="AG140" s="234"/>
      <c r="AH140" s="234"/>
      <c r="AI140" s="236"/>
      <c r="AJ140" s="234"/>
      <c r="AK140" s="234"/>
      <c r="AL140" s="236">
        <f>Ore_to_PI!EM126</f>
        <v>6684057.4589463631</v>
      </c>
      <c r="AM140" s="234"/>
      <c r="AN140" s="234"/>
      <c r="AO140" s="234"/>
      <c r="AP140" s="243">
        <f t="shared" si="52"/>
        <v>6684057.4589463631</v>
      </c>
    </row>
    <row r="141" spans="5:68" x14ac:dyDescent="0.2">
      <c r="E141" s="132" t="s">
        <v>337</v>
      </c>
      <c r="F141" s="234"/>
      <c r="G141" s="234"/>
      <c r="H141" s="234"/>
      <c r="I141" s="236"/>
      <c r="J141" s="234"/>
      <c r="K141" s="234"/>
      <c r="L141" s="234"/>
      <c r="M141" s="234"/>
      <c r="N141" s="234"/>
      <c r="O141" s="234"/>
      <c r="P141" s="234"/>
      <c r="Q141" s="234"/>
      <c r="R141" s="234"/>
      <c r="S141" s="234"/>
      <c r="T141" s="234"/>
      <c r="U141" s="234"/>
      <c r="V141" s="234"/>
      <c r="W141" s="234"/>
      <c r="X141" s="234"/>
      <c r="Y141" s="234"/>
      <c r="Z141" s="234"/>
      <c r="AA141" s="234"/>
      <c r="AB141" s="234"/>
      <c r="AC141" s="234"/>
      <c r="AD141" s="240"/>
      <c r="AE141" s="234"/>
      <c r="AF141" s="234"/>
      <c r="AG141" s="234"/>
      <c r="AH141" s="234"/>
      <c r="AI141" s="234"/>
      <c r="AJ141" s="234"/>
      <c r="AK141" s="234"/>
      <c r="AL141" s="234"/>
      <c r="AM141" s="234">
        <f>Ore_to_PI!FM126</f>
        <v>4157895.2984628798</v>
      </c>
      <c r="AN141" s="234">
        <f>Ore_to_PI!FM141</f>
        <v>404209.15818875749</v>
      </c>
      <c r="AO141" s="234">
        <f>Ore_to_PI!FM104</f>
        <v>67875.356217847453</v>
      </c>
      <c r="AP141" s="243">
        <f t="shared" si="52"/>
        <v>4629979.8128694845</v>
      </c>
    </row>
    <row r="142" spans="5:68" x14ac:dyDescent="0.2">
      <c r="E142" s="132"/>
      <c r="F142" s="379" t="s">
        <v>329</v>
      </c>
      <c r="G142" s="379"/>
      <c r="H142" s="379"/>
      <c r="I142" s="379"/>
      <c r="J142" s="379"/>
      <c r="K142" s="379"/>
      <c r="L142" s="379"/>
      <c r="M142" s="379"/>
      <c r="N142" s="379"/>
      <c r="O142" s="379"/>
      <c r="P142" s="379"/>
      <c r="Q142" s="379"/>
      <c r="R142" s="379"/>
      <c r="S142" s="379"/>
      <c r="T142" s="379"/>
      <c r="U142" s="379"/>
      <c r="V142" s="379"/>
      <c r="W142" s="379"/>
      <c r="X142" s="379"/>
      <c r="Y142" s="379"/>
      <c r="Z142" s="379"/>
      <c r="AA142" s="379"/>
      <c r="AB142" s="379"/>
      <c r="AC142" s="379"/>
      <c r="AD142" s="379"/>
      <c r="AE142" s="379"/>
      <c r="AF142" s="379"/>
      <c r="AG142" s="379"/>
      <c r="AH142" s="379"/>
      <c r="AI142" s="379"/>
      <c r="AJ142" s="379"/>
      <c r="AK142" s="379"/>
      <c r="AL142" s="379"/>
      <c r="AM142" s="379"/>
      <c r="AN142" s="379"/>
      <c r="AO142" s="379"/>
      <c r="AP142" s="52" t="s">
        <v>365</v>
      </c>
      <c r="AQ142" s="52"/>
    </row>
    <row r="143" spans="5:68" x14ac:dyDescent="0.2">
      <c r="E143" s="132"/>
      <c r="F143" s="243">
        <f t="shared" ref="F143:AO143" si="53">SUM(F127:F141)</f>
        <v>0</v>
      </c>
      <c r="G143" s="243">
        <f t="shared" si="53"/>
        <v>0</v>
      </c>
      <c r="H143" s="243">
        <f t="shared" si="53"/>
        <v>0</v>
      </c>
      <c r="I143" s="243">
        <f t="shared" si="53"/>
        <v>0</v>
      </c>
      <c r="J143" s="243">
        <f t="shared" si="53"/>
        <v>0</v>
      </c>
      <c r="K143" s="243">
        <f t="shared" si="53"/>
        <v>0</v>
      </c>
      <c r="L143" s="243">
        <f t="shared" si="53"/>
        <v>0</v>
      </c>
      <c r="M143" s="243">
        <f t="shared" si="53"/>
        <v>0</v>
      </c>
      <c r="N143" s="243">
        <f t="shared" si="53"/>
        <v>0</v>
      </c>
      <c r="O143" s="243">
        <f t="shared" si="53"/>
        <v>108184.8596728804</v>
      </c>
      <c r="P143" s="243">
        <f t="shared" si="53"/>
        <v>2244.7960862667505</v>
      </c>
      <c r="Q143" s="243">
        <f t="shared" si="53"/>
        <v>25297.051877142174</v>
      </c>
      <c r="R143" s="243">
        <f t="shared" si="53"/>
        <v>6.7177820097776806</v>
      </c>
      <c r="S143" s="243">
        <f t="shared" si="53"/>
        <v>8855804.320336977</v>
      </c>
      <c r="T143" s="243">
        <f t="shared" si="53"/>
        <v>555.77441893806406</v>
      </c>
      <c r="U143" s="243">
        <f t="shared" si="53"/>
        <v>108184.8596728804</v>
      </c>
      <c r="V143" s="243">
        <f t="shared" si="53"/>
        <v>25297.051877142174</v>
      </c>
      <c r="W143" s="243">
        <f t="shared" si="53"/>
        <v>8855804.320336977</v>
      </c>
      <c r="X143" s="243">
        <f t="shared" si="53"/>
        <v>88071.706245154463</v>
      </c>
      <c r="Y143" s="243">
        <f t="shared" si="53"/>
        <v>21722.892325740406</v>
      </c>
      <c r="Z143" s="243">
        <f t="shared" si="53"/>
        <v>25297.051877142174</v>
      </c>
      <c r="AA143" s="243">
        <f t="shared" si="53"/>
        <v>8855804.320336977</v>
      </c>
      <c r="AB143" s="243">
        <f t="shared" si="53"/>
        <v>242016.07607977447</v>
      </c>
      <c r="AC143" s="243">
        <f t="shared" si="53"/>
        <v>7739.2511800711582</v>
      </c>
      <c r="AD143" s="243">
        <f t="shared" si="53"/>
        <v>87222.135331413883</v>
      </c>
      <c r="AE143" s="243">
        <f t="shared" si="53"/>
        <v>6408288.6211381694</v>
      </c>
      <c r="AF143" s="243">
        <f t="shared" si="53"/>
        <v>4026178.1360752485</v>
      </c>
      <c r="AG143" s="243">
        <f t="shared" si="53"/>
        <v>955411.7785075705</v>
      </c>
      <c r="AH143" s="243">
        <f t="shared" si="53"/>
        <v>8991.620323109395</v>
      </c>
      <c r="AI143" s="243">
        <f t="shared" si="53"/>
        <v>303788.26554911444</v>
      </c>
      <c r="AJ143" s="243">
        <f t="shared" si="53"/>
        <v>4043367.3234254471</v>
      </c>
      <c r="AK143" s="243">
        <f t="shared" si="53"/>
        <v>4043367.3234254471</v>
      </c>
      <c r="AL143" s="243">
        <f t="shared" si="53"/>
        <v>6684057.4589463631</v>
      </c>
      <c r="AM143" s="243">
        <f t="shared" si="53"/>
        <v>4157895.2984628798</v>
      </c>
      <c r="AN143" s="243">
        <f t="shared" si="53"/>
        <v>404209.15818875749</v>
      </c>
      <c r="AO143" s="243">
        <f t="shared" si="53"/>
        <v>67875.356217847453</v>
      </c>
    </row>
    <row r="144" spans="5:68" x14ac:dyDescent="0.2">
      <c r="E144" s="132"/>
      <c r="F144" s="379" t="s">
        <v>366</v>
      </c>
      <c r="G144" s="379"/>
      <c r="H144" s="379"/>
      <c r="I144" s="379"/>
      <c r="J144" s="379"/>
      <c r="K144" s="379"/>
      <c r="L144" s="379"/>
      <c r="M144" s="379"/>
      <c r="N144" s="379"/>
      <c r="O144" s="379"/>
      <c r="P144" s="379"/>
      <c r="Q144" s="379"/>
      <c r="R144" s="379"/>
      <c r="S144" s="379"/>
      <c r="T144" s="379"/>
      <c r="U144" s="379"/>
      <c r="V144" s="379"/>
      <c r="W144" s="379"/>
      <c r="X144" s="379"/>
      <c r="Y144" s="379"/>
      <c r="Z144" s="379"/>
      <c r="AA144" s="379"/>
      <c r="AB144" s="379"/>
      <c r="AC144" s="379"/>
      <c r="AD144" s="379"/>
      <c r="AE144" s="379"/>
      <c r="AF144" s="379"/>
      <c r="AG144" s="379"/>
      <c r="AH144" s="379"/>
      <c r="AI144" s="379"/>
      <c r="AJ144" s="379"/>
      <c r="AK144" s="379"/>
      <c r="AL144" s="379"/>
      <c r="AM144" s="379"/>
      <c r="AN144" s="379"/>
      <c r="AO144" s="379"/>
    </row>
    <row r="145" spans="5:43" x14ac:dyDescent="0.2">
      <c r="E145" s="132"/>
    </row>
    <row r="146" spans="5:43" x14ac:dyDescent="0.2">
      <c r="E146" s="132"/>
    </row>
    <row r="147" spans="5:43" x14ac:dyDescent="0.2">
      <c r="E147" s="132"/>
    </row>
    <row r="148" spans="5:43" x14ac:dyDescent="0.2">
      <c r="E148" s="132"/>
    </row>
    <row r="149" spans="5:43" x14ac:dyDescent="0.2">
      <c r="E149" s="132"/>
    </row>
    <row r="150" spans="5:43" x14ac:dyDescent="0.2">
      <c r="E150" s="132"/>
    </row>
    <row r="151" spans="5:43" x14ac:dyDescent="0.2">
      <c r="E151" s="132"/>
    </row>
    <row r="152" spans="5:43" x14ac:dyDescent="0.2">
      <c r="E152" s="132"/>
    </row>
    <row r="153" spans="5:43" x14ac:dyDescent="0.2">
      <c r="E153" s="132"/>
    </row>
    <row r="154" spans="5:43" x14ac:dyDescent="0.2">
      <c r="E154" s="132"/>
    </row>
    <row r="155" spans="5:43" ht="236" customHeight="1" x14ac:dyDescent="0.2">
      <c r="E155" s="132"/>
      <c r="F155" s="231" t="s">
        <v>333</v>
      </c>
      <c r="G155" s="231" t="s">
        <v>335</v>
      </c>
      <c r="H155" s="231" t="s">
        <v>336</v>
      </c>
      <c r="I155" s="231" t="s">
        <v>355</v>
      </c>
      <c r="J155" s="231" t="s">
        <v>377</v>
      </c>
      <c r="K155" s="231" t="s">
        <v>466</v>
      </c>
      <c r="L155" s="231" t="s">
        <v>467</v>
      </c>
      <c r="M155" s="231" t="s">
        <v>411</v>
      </c>
      <c r="N155" s="231" t="s">
        <v>459</v>
      </c>
      <c r="O155" s="232" t="s">
        <v>442</v>
      </c>
      <c r="P155" s="231" t="s">
        <v>409</v>
      </c>
      <c r="Q155" s="232" t="s">
        <v>412</v>
      </c>
      <c r="R155" s="231" t="s">
        <v>437</v>
      </c>
      <c r="S155" s="233" t="s">
        <v>430</v>
      </c>
      <c r="T155" s="231" t="s">
        <v>416</v>
      </c>
      <c r="U155" s="232" t="s">
        <v>441</v>
      </c>
      <c r="V155" s="232" t="s">
        <v>436</v>
      </c>
      <c r="W155" s="232" t="s">
        <v>433</v>
      </c>
      <c r="X155" s="232" t="s">
        <v>439</v>
      </c>
      <c r="Y155" s="233" t="s">
        <v>438</v>
      </c>
      <c r="Z155" s="233" t="s">
        <v>424</v>
      </c>
      <c r="AA155" s="233" t="s">
        <v>456</v>
      </c>
      <c r="AB155" s="233" t="s">
        <v>425</v>
      </c>
      <c r="AC155" s="233" t="s">
        <v>427</v>
      </c>
      <c r="AD155" s="233" t="s">
        <v>426</v>
      </c>
      <c r="AE155" s="233" t="s">
        <v>484</v>
      </c>
      <c r="AF155" s="235" t="s">
        <v>422</v>
      </c>
      <c r="AG155" s="235" t="s">
        <v>552</v>
      </c>
      <c r="AH155" s="233" t="s">
        <v>421</v>
      </c>
      <c r="AI155" s="231" t="s">
        <v>423</v>
      </c>
      <c r="AJ155" s="233" t="s">
        <v>515</v>
      </c>
      <c r="AK155" s="233" t="s">
        <v>517</v>
      </c>
      <c r="AL155" s="233" t="s">
        <v>445</v>
      </c>
      <c r="AM155" s="233" t="s">
        <v>446</v>
      </c>
      <c r="AN155" s="233" t="s">
        <v>447</v>
      </c>
      <c r="AO155" s="233" t="s">
        <v>457</v>
      </c>
      <c r="AP155" s="233"/>
      <c r="AQ155" s="233"/>
    </row>
    <row r="156" spans="5:43" x14ac:dyDescent="0.2">
      <c r="E156" s="132" t="s">
        <v>332</v>
      </c>
      <c r="F156" s="237">
        <f>Ore_to_PI!V42</f>
        <v>108184.8596728804</v>
      </c>
      <c r="G156" s="237"/>
      <c r="H156" s="237"/>
      <c r="I156" s="237"/>
      <c r="J156" s="237"/>
      <c r="K156" s="237"/>
      <c r="L156" s="237"/>
      <c r="M156" s="237"/>
      <c r="N156" s="237"/>
      <c r="O156" s="237"/>
      <c r="P156" s="237"/>
      <c r="Q156" s="237"/>
      <c r="R156" s="237"/>
      <c r="S156" s="237"/>
      <c r="T156" s="237"/>
      <c r="U156" s="237"/>
      <c r="V156" s="237"/>
      <c r="W156" s="237"/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37"/>
      <c r="AI156" s="237"/>
      <c r="AJ156" s="237"/>
      <c r="AK156" s="237"/>
      <c r="AL156" s="237"/>
      <c r="AM156" s="237"/>
      <c r="AN156" s="237"/>
      <c r="AO156" s="237"/>
    </row>
    <row r="157" spans="5:43" ht="16" customHeight="1" x14ac:dyDescent="0.2">
      <c r="E157" s="229" t="s">
        <v>334</v>
      </c>
      <c r="F157" s="237"/>
      <c r="G157" s="237">
        <f>Ore_to_PI!V126</f>
        <v>25297.051877142174</v>
      </c>
      <c r="H157" s="237"/>
      <c r="I157" s="237"/>
      <c r="J157" s="237"/>
      <c r="K157" s="237"/>
      <c r="L157" s="237"/>
      <c r="M157" s="237"/>
      <c r="N157" s="237"/>
      <c r="O157" s="237"/>
      <c r="P157" s="237"/>
      <c r="Q157" s="237"/>
      <c r="R157" s="237"/>
      <c r="S157" s="237"/>
      <c r="T157" s="237"/>
      <c r="U157" s="237"/>
      <c r="V157" s="237"/>
      <c r="W157" s="237"/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37"/>
      <c r="AI157" s="237"/>
      <c r="AJ157" s="237"/>
      <c r="AK157" s="237"/>
      <c r="AL157" s="237"/>
      <c r="AM157" s="237"/>
      <c r="AN157" s="237"/>
      <c r="AO157" s="237"/>
    </row>
    <row r="158" spans="5:43" x14ac:dyDescent="0.2">
      <c r="E158" s="230" t="s">
        <v>356</v>
      </c>
      <c r="F158" s="237"/>
      <c r="G158" s="237"/>
      <c r="H158" s="237">
        <f>Ore_to_PI!V206</f>
        <v>8850991.3601140417</v>
      </c>
      <c r="I158" s="237"/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  <c r="AM158" s="237"/>
      <c r="AN158" s="237"/>
      <c r="AO158" s="237"/>
    </row>
    <row r="159" spans="5:43" x14ac:dyDescent="0.2">
      <c r="E159" s="132" t="s">
        <v>380</v>
      </c>
      <c r="F159" s="237"/>
      <c r="G159" s="237"/>
      <c r="H159" s="237"/>
      <c r="I159" s="242">
        <f>Ore_to_PI!V236+Ore_to_PI!V163+Ore_to_PI!V72+Ore_to_PI!CB232+Ore_to_PI!CB140+Ore_to_PI!EM140</f>
        <v>29146.460466184486</v>
      </c>
      <c r="J159" s="237"/>
      <c r="K159" s="237"/>
      <c r="L159" s="237"/>
      <c r="M159" s="237"/>
      <c r="N159" s="237"/>
      <c r="O159" s="237"/>
      <c r="P159" s="237"/>
      <c r="Q159" s="237"/>
      <c r="R159" s="237"/>
      <c r="S159" s="237"/>
      <c r="T159" s="237"/>
      <c r="U159" s="237"/>
      <c r="V159" s="237"/>
      <c r="W159" s="237"/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37"/>
      <c r="AI159" s="237"/>
      <c r="AJ159" s="237"/>
      <c r="AK159" s="237"/>
      <c r="AL159" s="237"/>
      <c r="AM159" s="237"/>
      <c r="AN159" s="237"/>
      <c r="AO159" s="237"/>
    </row>
    <row r="160" spans="5:43" x14ac:dyDescent="0.2">
      <c r="E160" s="132" t="s">
        <v>376</v>
      </c>
      <c r="F160" s="237"/>
      <c r="G160" s="237"/>
      <c r="H160" s="237"/>
      <c r="I160" s="237"/>
      <c r="J160" s="237">
        <f>Ore_to_PI!EM114+Ore_to_PI!CB152+Ore_to_PI!CB244</f>
        <v>14864300.668385513</v>
      </c>
      <c r="K160" s="237"/>
      <c r="L160" s="237"/>
      <c r="M160" s="237"/>
      <c r="N160" s="237"/>
      <c r="O160" s="237"/>
      <c r="P160" s="237"/>
      <c r="Q160" s="237"/>
      <c r="R160" s="237"/>
      <c r="S160" s="237"/>
      <c r="T160" s="237"/>
      <c r="U160" s="237"/>
      <c r="V160" s="237"/>
      <c r="W160" s="237"/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37"/>
      <c r="AI160" s="237"/>
      <c r="AJ160" s="237"/>
      <c r="AK160" s="237"/>
      <c r="AL160" s="237"/>
      <c r="AM160" s="237"/>
      <c r="AN160" s="237"/>
      <c r="AO160" s="237"/>
    </row>
    <row r="161" spans="5:47" x14ac:dyDescent="0.2">
      <c r="E161" s="132" t="s">
        <v>469</v>
      </c>
      <c r="F161" s="237"/>
      <c r="G161" s="237"/>
      <c r="H161" s="237"/>
      <c r="I161" s="237"/>
      <c r="J161" s="237"/>
      <c r="K161" s="237">
        <f>Ore_to_PI!V59+Ore_to_PI!V140+Ore_to_PI!V222</f>
        <v>117713.24639155329</v>
      </c>
      <c r="L161" s="237"/>
      <c r="M161" s="237"/>
      <c r="N161" s="237"/>
      <c r="O161" s="237"/>
      <c r="P161" s="237"/>
      <c r="Q161" s="237"/>
      <c r="R161" s="237"/>
      <c r="S161" s="237"/>
      <c r="T161" s="237"/>
      <c r="U161" s="237"/>
      <c r="V161" s="237"/>
      <c r="W161" s="237"/>
      <c r="X161" s="237"/>
      <c r="Y161" s="237"/>
      <c r="Z161" s="237"/>
      <c r="AA161" s="237"/>
      <c r="AB161" s="237"/>
      <c r="AC161" s="237"/>
      <c r="AD161" s="237"/>
      <c r="AE161" s="237"/>
      <c r="AF161" s="237"/>
      <c r="AG161" s="237"/>
      <c r="AH161" s="237"/>
      <c r="AI161" s="237"/>
      <c r="AJ161" s="237"/>
      <c r="AK161" s="237"/>
      <c r="AL161" s="237"/>
      <c r="AM161" s="237"/>
      <c r="AN161" s="237"/>
      <c r="AO161" s="237"/>
      <c r="AU161" s="235"/>
    </row>
    <row r="162" spans="5:47" x14ac:dyDescent="0.2">
      <c r="E162" s="132" t="s">
        <v>468</v>
      </c>
      <c r="F162" s="237"/>
      <c r="G162" s="237"/>
      <c r="H162" s="237"/>
      <c r="I162" s="237"/>
      <c r="J162" s="237"/>
      <c r="K162" s="237"/>
      <c r="L162" s="237">
        <f>Ore_to_PI!V151</f>
        <v>24.076233417548465</v>
      </c>
      <c r="M162" s="237"/>
      <c r="N162" s="237"/>
      <c r="O162" s="237"/>
      <c r="P162" s="237"/>
      <c r="Q162" s="237"/>
      <c r="R162" s="237"/>
      <c r="S162" s="237"/>
      <c r="T162" s="237"/>
      <c r="U162" s="237"/>
      <c r="V162" s="237"/>
      <c r="W162" s="237"/>
      <c r="X162" s="237"/>
      <c r="Y162" s="237"/>
      <c r="Z162" s="237"/>
      <c r="AA162" s="237"/>
      <c r="AB162" s="237"/>
      <c r="AC162" s="237"/>
      <c r="AD162" s="237"/>
      <c r="AE162" s="237"/>
      <c r="AF162" s="237"/>
      <c r="AG162" s="237"/>
      <c r="AH162" s="237"/>
      <c r="AI162" s="237"/>
      <c r="AJ162" s="237"/>
      <c r="AK162" s="237"/>
      <c r="AL162" s="237"/>
      <c r="AM162" s="237"/>
      <c r="AN162" s="237"/>
      <c r="AO162" s="237"/>
    </row>
    <row r="163" spans="5:47" x14ac:dyDescent="0.2">
      <c r="E163" s="132" t="s">
        <v>410</v>
      </c>
      <c r="F163" s="237"/>
      <c r="G163" s="237"/>
      <c r="H163" s="237"/>
      <c r="I163" s="237"/>
      <c r="J163" s="237"/>
      <c r="K163" s="237"/>
      <c r="L163" s="237"/>
      <c r="M163" s="237">
        <f>Ore_to_PI!EM101</f>
        <v>29112.263489807588</v>
      </c>
      <c r="N163" s="237"/>
      <c r="O163" s="237"/>
      <c r="P163" s="237"/>
      <c r="Q163" s="237"/>
      <c r="R163" s="237"/>
      <c r="S163" s="237"/>
      <c r="T163" s="237"/>
      <c r="U163" s="237"/>
      <c r="V163" s="237"/>
      <c r="W163" s="237"/>
      <c r="X163" s="237"/>
      <c r="Y163" s="237"/>
      <c r="Z163" s="237"/>
      <c r="AA163" s="237"/>
      <c r="AB163" s="237"/>
      <c r="AC163" s="237"/>
      <c r="AD163" s="237"/>
      <c r="AE163" s="237"/>
      <c r="AF163" s="237"/>
      <c r="AG163" s="237"/>
      <c r="AH163" s="237"/>
      <c r="AI163" s="237"/>
      <c r="AJ163" s="237"/>
      <c r="AK163" s="237"/>
      <c r="AL163" s="237"/>
      <c r="AM163" s="237"/>
      <c r="AN163" s="237"/>
      <c r="AO163" s="237"/>
    </row>
    <row r="164" spans="5:47" x14ac:dyDescent="0.2">
      <c r="E164" s="132" t="s">
        <v>458</v>
      </c>
      <c r="F164" s="237"/>
      <c r="G164" s="237"/>
      <c r="H164" s="237"/>
      <c r="I164" s="237"/>
      <c r="J164" s="237"/>
      <c r="K164" s="237"/>
      <c r="L164" s="237"/>
      <c r="M164" s="237"/>
      <c r="N164" s="237">
        <f>Ore_to_PI!EU117+Ore_to_PI!BM116+Ore_to_PI!AU113+Ore_to_PI!AC195+Ore_to_PI!AU190+Ore_to_PI!BM195+Ore_to_PI!DD229+Ore_to_PI!BN35+Ore_to_PI!AU28</f>
        <v>1058348.7350491155</v>
      </c>
      <c r="O164" s="237"/>
      <c r="P164" s="237"/>
      <c r="Q164" s="237"/>
      <c r="R164" s="237"/>
      <c r="S164" s="237"/>
      <c r="T164" s="237"/>
      <c r="U164" s="237"/>
      <c r="V164" s="237"/>
      <c r="W164" s="237"/>
      <c r="X164" s="237"/>
      <c r="Y164" s="237"/>
      <c r="Z164" s="237"/>
      <c r="AA164" s="237"/>
      <c r="AB164" s="237"/>
      <c r="AC164" s="237"/>
      <c r="AD164" s="237"/>
      <c r="AE164" s="237"/>
      <c r="AF164" s="237"/>
      <c r="AG164" s="237"/>
      <c r="AH164" s="237"/>
      <c r="AI164" s="237"/>
      <c r="AJ164" s="237"/>
      <c r="AK164" s="237"/>
      <c r="AL164" s="237"/>
      <c r="AM164" s="237"/>
      <c r="AN164" s="237"/>
      <c r="AO164" s="237"/>
    </row>
    <row r="165" spans="5:47" x14ac:dyDescent="0.2">
      <c r="F165" s="379" t="s">
        <v>56</v>
      </c>
      <c r="G165" s="379"/>
      <c r="H165" s="379"/>
      <c r="I165" s="379"/>
      <c r="J165" s="379"/>
      <c r="K165" s="379"/>
      <c r="L165" s="379"/>
      <c r="M165" s="379"/>
      <c r="N165" s="379"/>
      <c r="O165" s="379"/>
      <c r="P165" s="379"/>
      <c r="Q165" s="379"/>
      <c r="R165" s="379"/>
      <c r="S165" s="379"/>
      <c r="T165" s="379"/>
      <c r="U165" s="379"/>
      <c r="V165" s="379"/>
      <c r="W165" s="379"/>
      <c r="X165" s="379"/>
      <c r="Y165" s="379"/>
      <c r="Z165" s="379"/>
      <c r="AA165" s="379"/>
      <c r="AB165" s="379"/>
      <c r="AC165" s="379"/>
      <c r="AD165" s="379"/>
      <c r="AE165" s="379"/>
      <c r="AF165" s="379"/>
      <c r="AG165" s="379"/>
      <c r="AH165" s="379"/>
      <c r="AI165" s="379"/>
      <c r="AJ165" s="379"/>
      <c r="AK165" s="379"/>
      <c r="AL165" s="379"/>
      <c r="AM165" s="379"/>
      <c r="AN165" s="379"/>
      <c r="AO165" s="379"/>
      <c r="AP165" s="52"/>
      <c r="AQ165" s="52"/>
    </row>
    <row r="166" spans="5:47" x14ac:dyDescent="0.2">
      <c r="F166" s="243">
        <f t="shared" ref="F166:AO166" si="54">SUM(F156:F164)</f>
        <v>108184.8596728804</v>
      </c>
      <c r="G166" s="243">
        <f t="shared" si="54"/>
        <v>25297.051877142174</v>
      </c>
      <c r="H166" s="243">
        <f t="shared" si="54"/>
        <v>8850991.3601140417</v>
      </c>
      <c r="I166" s="243">
        <f t="shared" si="54"/>
        <v>29146.460466184486</v>
      </c>
      <c r="J166" s="243">
        <f t="shared" si="54"/>
        <v>14864300.668385513</v>
      </c>
      <c r="K166" s="243">
        <f t="shared" si="54"/>
        <v>117713.24639155329</v>
      </c>
      <c r="L166" s="243">
        <f t="shared" si="54"/>
        <v>24.076233417548465</v>
      </c>
      <c r="M166" s="243">
        <f t="shared" si="54"/>
        <v>29112.263489807588</v>
      </c>
      <c r="N166" s="243">
        <f t="shared" si="54"/>
        <v>1058348.7350491155</v>
      </c>
      <c r="O166" s="243">
        <f t="shared" si="54"/>
        <v>0</v>
      </c>
      <c r="P166" s="243">
        <f t="shared" si="54"/>
        <v>0</v>
      </c>
      <c r="Q166" s="243">
        <f t="shared" si="54"/>
        <v>0</v>
      </c>
      <c r="R166" s="243">
        <f t="shared" si="54"/>
        <v>0</v>
      </c>
      <c r="S166" s="243">
        <f t="shared" si="54"/>
        <v>0</v>
      </c>
      <c r="T166" s="243">
        <f t="shared" si="54"/>
        <v>0</v>
      </c>
      <c r="U166" s="243">
        <f t="shared" si="54"/>
        <v>0</v>
      </c>
      <c r="V166" s="243">
        <f t="shared" si="54"/>
        <v>0</v>
      </c>
      <c r="W166" s="243">
        <f t="shared" si="54"/>
        <v>0</v>
      </c>
      <c r="X166" s="243">
        <f t="shared" si="54"/>
        <v>0</v>
      </c>
      <c r="Y166" s="243">
        <f t="shared" si="54"/>
        <v>0</v>
      </c>
      <c r="Z166" s="243">
        <f t="shared" si="54"/>
        <v>0</v>
      </c>
      <c r="AA166" s="243">
        <f t="shared" si="54"/>
        <v>0</v>
      </c>
      <c r="AB166" s="243">
        <f t="shared" si="54"/>
        <v>0</v>
      </c>
      <c r="AC166" s="243">
        <f t="shared" si="54"/>
        <v>0</v>
      </c>
      <c r="AD166" s="243">
        <f t="shared" si="54"/>
        <v>0</v>
      </c>
      <c r="AE166" s="243">
        <f t="shared" si="54"/>
        <v>0</v>
      </c>
      <c r="AF166" s="243">
        <f t="shared" si="54"/>
        <v>0</v>
      </c>
      <c r="AG166" s="243">
        <f t="shared" si="54"/>
        <v>0</v>
      </c>
      <c r="AH166" s="243">
        <f t="shared" si="54"/>
        <v>0</v>
      </c>
      <c r="AI166" s="243">
        <f t="shared" si="54"/>
        <v>0</v>
      </c>
      <c r="AJ166" s="243">
        <f t="shared" si="54"/>
        <v>0</v>
      </c>
      <c r="AK166" s="243">
        <f t="shared" si="54"/>
        <v>0</v>
      </c>
      <c r="AL166" s="243">
        <f t="shared" si="54"/>
        <v>0</v>
      </c>
      <c r="AM166" s="243">
        <f t="shared" si="54"/>
        <v>0</v>
      </c>
      <c r="AN166" s="243">
        <f t="shared" si="54"/>
        <v>0</v>
      </c>
      <c r="AO166" s="243">
        <f t="shared" si="54"/>
        <v>0</v>
      </c>
    </row>
    <row r="167" spans="5:47" x14ac:dyDescent="0.2">
      <c r="F167" s="379" t="s">
        <v>367</v>
      </c>
      <c r="G167" s="379"/>
      <c r="H167" s="379"/>
      <c r="I167" s="379"/>
      <c r="J167" s="379"/>
      <c r="K167" s="379"/>
      <c r="L167" s="379"/>
      <c r="M167" s="379"/>
      <c r="N167" s="379"/>
      <c r="O167" s="379"/>
      <c r="P167" s="379"/>
      <c r="Q167" s="379"/>
      <c r="R167" s="379"/>
      <c r="S167" s="379"/>
      <c r="T167" s="379"/>
      <c r="U167" s="379"/>
      <c r="V167" s="379"/>
      <c r="W167" s="379"/>
      <c r="X167" s="379"/>
      <c r="Y167" s="379"/>
      <c r="Z167" s="379"/>
      <c r="AA167" s="379"/>
      <c r="AB167" s="379"/>
      <c r="AC167" s="379"/>
      <c r="AD167" s="379"/>
      <c r="AE167" s="379"/>
      <c r="AF167" s="379"/>
      <c r="AG167" s="379"/>
      <c r="AH167" s="379"/>
      <c r="AI167" s="379"/>
      <c r="AJ167" s="379"/>
      <c r="AK167" s="379"/>
      <c r="AL167" s="379"/>
      <c r="AM167" s="379"/>
      <c r="AN167" s="379"/>
      <c r="AO167" s="379"/>
      <c r="AP167" s="52"/>
      <c r="AQ167" s="52"/>
    </row>
    <row r="171" spans="5:47" x14ac:dyDescent="0.2">
      <c r="F171" s="379" t="s">
        <v>461</v>
      </c>
      <c r="G171" s="379"/>
      <c r="H171" s="379"/>
      <c r="I171" s="379"/>
      <c r="J171" s="379"/>
      <c r="K171" s="379"/>
      <c r="L171" s="379"/>
      <c r="M171" s="379"/>
      <c r="N171" s="379"/>
      <c r="O171" s="238"/>
      <c r="P171" s="238"/>
      <c r="Q171" s="238"/>
      <c r="R171" s="238"/>
      <c r="S171" s="238"/>
      <c r="T171" s="238"/>
      <c r="U171" s="238"/>
      <c r="V171" s="238"/>
      <c r="W171" s="238"/>
      <c r="X171" s="52"/>
      <c r="Y171" s="52"/>
    </row>
    <row r="174" spans="5:47" x14ac:dyDescent="0.2">
      <c r="E174" s="132" t="s">
        <v>333</v>
      </c>
      <c r="F174" s="243">
        <f t="array" ref="F174:F209">TRANSPOSE((F166:AO166))</f>
        <v>108184.8596728804</v>
      </c>
      <c r="H174" s="243">
        <f t="array" ref="H174:H209">TRANSPOSE(F143:AO143)</f>
        <v>0</v>
      </c>
      <c r="J174" s="243">
        <f t="shared" ref="J174:J200" si="55">BJ87</f>
        <v>108184.8596728804</v>
      </c>
      <c r="L174" s="243">
        <f t="array" ref="L174:L209">BQ87:BQ122</f>
        <v>0</v>
      </c>
      <c r="N174" s="247">
        <f>F174+H174-J174-L174</f>
        <v>0</v>
      </c>
    </row>
    <row r="175" spans="5:47" x14ac:dyDescent="0.2">
      <c r="E175" s="132" t="s">
        <v>335</v>
      </c>
      <c r="F175" s="243">
        <v>25297.051877142174</v>
      </c>
      <c r="H175" s="243">
        <v>0</v>
      </c>
      <c r="J175" s="243">
        <f t="shared" si="55"/>
        <v>25297.051877142174</v>
      </c>
      <c r="L175" s="243">
        <v>0</v>
      </c>
      <c r="N175" s="247">
        <f>F175+H175-J175-L175</f>
        <v>0</v>
      </c>
    </row>
    <row r="176" spans="5:47" x14ac:dyDescent="0.2">
      <c r="E176" s="132" t="s">
        <v>336</v>
      </c>
      <c r="F176" s="243">
        <v>8850991.3601140417</v>
      </c>
      <c r="H176" s="243">
        <v>0</v>
      </c>
      <c r="J176" s="243">
        <f t="shared" si="55"/>
        <v>8850991.3601140417</v>
      </c>
      <c r="L176" s="243">
        <v>0</v>
      </c>
      <c r="N176" s="247">
        <f>F176+H176-J176-L176</f>
        <v>0</v>
      </c>
    </row>
    <row r="177" spans="5:14" x14ac:dyDescent="0.2">
      <c r="E177" s="132" t="s">
        <v>355</v>
      </c>
      <c r="F177" s="243">
        <v>29146.460466184486</v>
      </c>
      <c r="H177" s="243">
        <v>0</v>
      </c>
      <c r="J177" s="243">
        <f t="shared" si="55"/>
        <v>29146.460466184486</v>
      </c>
      <c r="L177" s="243">
        <v>0</v>
      </c>
      <c r="N177" s="247">
        <f>ROUND(F177+H177-J177-L177, 10)</f>
        <v>0</v>
      </c>
    </row>
    <row r="178" spans="5:14" x14ac:dyDescent="0.2">
      <c r="E178" s="132" t="s">
        <v>377</v>
      </c>
      <c r="F178" s="243">
        <v>14864300.668385513</v>
      </c>
      <c r="H178" s="243">
        <v>0</v>
      </c>
      <c r="J178" s="243">
        <f t="shared" si="55"/>
        <v>14864300.668385513</v>
      </c>
      <c r="L178" s="243">
        <v>0</v>
      </c>
      <c r="N178" s="247">
        <f t="shared" ref="N178:N193" si="56">F178+H178-J178-L178</f>
        <v>0</v>
      </c>
    </row>
    <row r="179" spans="5:14" x14ac:dyDescent="0.2">
      <c r="E179" s="132" t="s">
        <v>466</v>
      </c>
      <c r="F179" s="243">
        <v>117713.24639155329</v>
      </c>
      <c r="H179" s="243">
        <v>0</v>
      </c>
      <c r="J179" s="243">
        <f t="shared" si="55"/>
        <v>117713.24639155329</v>
      </c>
      <c r="L179" s="243">
        <v>0</v>
      </c>
      <c r="N179" s="247">
        <f t="shared" si="56"/>
        <v>0</v>
      </c>
    </row>
    <row r="180" spans="5:14" x14ac:dyDescent="0.2">
      <c r="E180" s="132" t="s">
        <v>467</v>
      </c>
      <c r="F180" s="243">
        <v>24.076233417548465</v>
      </c>
      <c r="H180" s="243">
        <v>0</v>
      </c>
      <c r="J180" s="243">
        <f t="shared" si="55"/>
        <v>24.076233417548465</v>
      </c>
      <c r="L180" s="243">
        <v>0</v>
      </c>
      <c r="N180" s="247">
        <f t="shared" si="56"/>
        <v>0</v>
      </c>
    </row>
    <row r="181" spans="5:14" x14ac:dyDescent="0.2">
      <c r="E181" s="132" t="s">
        <v>411</v>
      </c>
      <c r="F181" s="243">
        <v>29112.263489807588</v>
      </c>
      <c r="H181" s="243">
        <v>0</v>
      </c>
      <c r="J181" s="243">
        <f t="shared" si="55"/>
        <v>29112.263489807588</v>
      </c>
      <c r="L181" s="243">
        <v>0</v>
      </c>
      <c r="N181" s="247">
        <f t="shared" si="56"/>
        <v>0</v>
      </c>
    </row>
    <row r="182" spans="5:14" x14ac:dyDescent="0.2">
      <c r="E182" s="132" t="s">
        <v>459</v>
      </c>
      <c r="F182" s="243">
        <v>1058348.7350491155</v>
      </c>
      <c r="H182" s="243">
        <v>0</v>
      </c>
      <c r="J182" s="243">
        <f t="shared" si="55"/>
        <v>1058348.7350491155</v>
      </c>
      <c r="L182" s="243">
        <v>0</v>
      </c>
      <c r="N182" s="247">
        <f t="shared" si="56"/>
        <v>0</v>
      </c>
    </row>
    <row r="183" spans="5:14" ht="16" customHeight="1" x14ac:dyDescent="0.2">
      <c r="E183" s="229" t="s">
        <v>442</v>
      </c>
      <c r="F183" s="243">
        <v>0</v>
      </c>
      <c r="H183" s="243">
        <v>108184.8596728804</v>
      </c>
      <c r="J183" s="243">
        <f t="shared" si="55"/>
        <v>108184.8596728804</v>
      </c>
      <c r="L183" s="243">
        <v>0</v>
      </c>
      <c r="N183" s="247">
        <f t="shared" si="56"/>
        <v>0</v>
      </c>
    </row>
    <row r="184" spans="5:14" x14ac:dyDescent="0.2">
      <c r="E184" s="132" t="s">
        <v>409</v>
      </c>
      <c r="F184" s="243">
        <v>0</v>
      </c>
      <c r="H184" s="243">
        <v>2244.7960862667505</v>
      </c>
      <c r="J184" s="243">
        <f t="shared" si="55"/>
        <v>0</v>
      </c>
      <c r="L184" s="243">
        <v>2244.7960862667505</v>
      </c>
      <c r="N184" s="247">
        <f t="shared" si="56"/>
        <v>0</v>
      </c>
    </row>
    <row r="185" spans="5:14" ht="16" customHeight="1" x14ac:dyDescent="0.2">
      <c r="E185" s="229" t="s">
        <v>412</v>
      </c>
      <c r="F185" s="243">
        <v>0</v>
      </c>
      <c r="H185" s="243">
        <v>25297.051877142174</v>
      </c>
      <c r="J185" s="243">
        <f t="shared" si="55"/>
        <v>25297.051877142174</v>
      </c>
      <c r="L185" s="243">
        <v>0</v>
      </c>
      <c r="N185" s="247">
        <f t="shared" si="56"/>
        <v>0</v>
      </c>
    </row>
    <row r="186" spans="5:14" x14ac:dyDescent="0.2">
      <c r="E186" s="132" t="s">
        <v>437</v>
      </c>
      <c r="F186" s="243">
        <v>0</v>
      </c>
      <c r="H186" s="243">
        <v>6.7177820097776806</v>
      </c>
      <c r="J186" s="243">
        <f t="shared" si="55"/>
        <v>0</v>
      </c>
      <c r="L186" s="243">
        <v>6.7177820097776806</v>
      </c>
      <c r="N186" s="247">
        <f t="shared" si="56"/>
        <v>0</v>
      </c>
    </row>
    <row r="187" spans="5:14" x14ac:dyDescent="0.2">
      <c r="E187" s="230" t="s">
        <v>430</v>
      </c>
      <c r="F187" s="243">
        <v>0</v>
      </c>
      <c r="G187" s="52" t="s">
        <v>371</v>
      </c>
      <c r="H187" s="243">
        <v>8855804.320336977</v>
      </c>
      <c r="I187" s="52" t="s">
        <v>373</v>
      </c>
      <c r="J187" s="243">
        <f t="shared" si="55"/>
        <v>8855804.320336977</v>
      </c>
      <c r="K187" s="52" t="s">
        <v>373</v>
      </c>
      <c r="L187" s="243">
        <v>0</v>
      </c>
      <c r="M187" s="52" t="s">
        <v>374</v>
      </c>
      <c r="N187" s="247">
        <f t="shared" si="56"/>
        <v>0</v>
      </c>
    </row>
    <row r="188" spans="5:14" x14ac:dyDescent="0.2">
      <c r="E188" s="132" t="s">
        <v>416</v>
      </c>
      <c r="F188" s="243">
        <v>0</v>
      </c>
      <c r="H188" s="243">
        <v>555.77441893806406</v>
      </c>
      <c r="J188" s="243">
        <f t="shared" si="55"/>
        <v>0</v>
      </c>
      <c r="L188" s="243">
        <v>555.77441893806406</v>
      </c>
      <c r="N188" s="247">
        <f t="shared" si="56"/>
        <v>0</v>
      </c>
    </row>
    <row r="189" spans="5:14" ht="16" customHeight="1" x14ac:dyDescent="0.2">
      <c r="E189" s="229" t="s">
        <v>441</v>
      </c>
      <c r="F189" s="243">
        <v>0</v>
      </c>
      <c r="H189" s="243">
        <v>108184.8596728804</v>
      </c>
      <c r="J189" s="243">
        <f t="shared" si="55"/>
        <v>108184.8596728804</v>
      </c>
      <c r="L189" s="243">
        <v>0</v>
      </c>
      <c r="N189" s="247">
        <f t="shared" si="56"/>
        <v>0</v>
      </c>
    </row>
    <row r="190" spans="5:14" ht="16" customHeight="1" x14ac:dyDescent="0.2">
      <c r="E190" s="229" t="s">
        <v>436</v>
      </c>
      <c r="F190" s="243">
        <v>0</v>
      </c>
      <c r="H190" s="243">
        <v>25297.051877142174</v>
      </c>
      <c r="J190" s="243">
        <f t="shared" si="55"/>
        <v>25297.051877142174</v>
      </c>
      <c r="L190" s="243">
        <v>0</v>
      </c>
      <c r="N190" s="247">
        <f t="shared" si="56"/>
        <v>0</v>
      </c>
    </row>
    <row r="191" spans="5:14" ht="16" customHeight="1" x14ac:dyDescent="0.2">
      <c r="E191" s="229" t="s">
        <v>433</v>
      </c>
      <c r="F191" s="243">
        <v>0</v>
      </c>
      <c r="H191" s="243">
        <v>8855804.320336977</v>
      </c>
      <c r="J191" s="243">
        <f t="shared" si="55"/>
        <v>8855804.320336977</v>
      </c>
      <c r="L191" s="243">
        <v>0</v>
      </c>
      <c r="N191" s="247">
        <f t="shared" si="56"/>
        <v>0</v>
      </c>
    </row>
    <row r="192" spans="5:14" ht="16" customHeight="1" x14ac:dyDescent="0.2">
      <c r="E192" s="229" t="s">
        <v>439</v>
      </c>
      <c r="F192" s="243">
        <v>0</v>
      </c>
      <c r="H192" s="243">
        <v>88071.706245154463</v>
      </c>
      <c r="J192" s="243">
        <f t="shared" si="55"/>
        <v>88071.706245154463</v>
      </c>
      <c r="L192" s="243">
        <v>0</v>
      </c>
      <c r="N192" s="247">
        <f t="shared" si="56"/>
        <v>0</v>
      </c>
    </row>
    <row r="193" spans="5:22" x14ac:dyDescent="0.2">
      <c r="E193" s="230" t="s">
        <v>438</v>
      </c>
      <c r="F193" s="243">
        <v>0</v>
      </c>
      <c r="H193" s="243">
        <v>21722.892325740406</v>
      </c>
      <c r="J193" s="243">
        <f t="shared" si="55"/>
        <v>0</v>
      </c>
      <c r="L193" s="243">
        <v>21722.892325740406</v>
      </c>
      <c r="N193" s="247">
        <f t="shared" si="56"/>
        <v>0</v>
      </c>
    </row>
    <row r="194" spans="5:22" x14ac:dyDescent="0.2">
      <c r="E194" s="230" t="s">
        <v>424</v>
      </c>
      <c r="F194" s="243">
        <v>0</v>
      </c>
      <c r="H194" s="243">
        <v>25297.051877142174</v>
      </c>
      <c r="J194" s="243">
        <f t="shared" si="55"/>
        <v>25297.051877142174</v>
      </c>
      <c r="L194" s="243">
        <v>0</v>
      </c>
      <c r="N194" s="247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0" t="s">
        <v>456</v>
      </c>
      <c r="F195" s="243">
        <v>0</v>
      </c>
      <c r="H195" s="243">
        <v>8855804.320336977</v>
      </c>
      <c r="J195" s="243">
        <f t="shared" si="55"/>
        <v>8855804.320336977</v>
      </c>
      <c r="L195" s="243">
        <v>0</v>
      </c>
      <c r="N195" s="247">
        <f t="shared" si="57"/>
        <v>0</v>
      </c>
      <c r="Q195" s="52"/>
      <c r="S195" s="52"/>
      <c r="T195" s="52"/>
      <c r="U195" s="52"/>
    </row>
    <row r="196" spans="5:22" x14ac:dyDescent="0.2">
      <c r="E196" s="230" t="s">
        <v>425</v>
      </c>
      <c r="F196" s="243">
        <v>0</v>
      </c>
      <c r="H196" s="243">
        <v>242016.07607977447</v>
      </c>
      <c r="J196" s="243">
        <f t="shared" si="55"/>
        <v>242016.07607977447</v>
      </c>
      <c r="L196" s="243">
        <v>0</v>
      </c>
      <c r="N196" s="247">
        <f t="shared" si="57"/>
        <v>0</v>
      </c>
      <c r="Q196" s="52"/>
      <c r="S196" s="52"/>
      <c r="T196" s="52"/>
      <c r="U196" s="52"/>
    </row>
    <row r="197" spans="5:22" x14ac:dyDescent="0.2">
      <c r="E197" s="230" t="s">
        <v>427</v>
      </c>
      <c r="F197" s="243">
        <v>0</v>
      </c>
      <c r="H197" s="243">
        <v>7739.2511800711582</v>
      </c>
      <c r="J197" s="243">
        <f t="shared" si="55"/>
        <v>0</v>
      </c>
      <c r="L197" s="243">
        <v>7739.2511800711582</v>
      </c>
      <c r="N197" s="247">
        <f t="shared" si="57"/>
        <v>0</v>
      </c>
      <c r="Q197" s="52"/>
      <c r="S197" s="52"/>
      <c r="T197" s="52"/>
      <c r="U197" s="52"/>
    </row>
    <row r="198" spans="5:22" x14ac:dyDescent="0.2">
      <c r="E198" s="230" t="s">
        <v>426</v>
      </c>
      <c r="F198" s="243">
        <v>0</v>
      </c>
      <c r="H198" s="243">
        <v>87222.135331413883</v>
      </c>
      <c r="J198" s="243">
        <f t="shared" si="55"/>
        <v>0</v>
      </c>
      <c r="L198" s="243">
        <v>87222.135331413883</v>
      </c>
      <c r="N198" s="247">
        <f t="shared" si="57"/>
        <v>0</v>
      </c>
      <c r="Q198" s="52"/>
      <c r="S198" s="52"/>
      <c r="T198" s="52"/>
      <c r="U198" s="52"/>
    </row>
    <row r="199" spans="5:22" x14ac:dyDescent="0.2">
      <c r="E199" s="230" t="s">
        <v>484</v>
      </c>
      <c r="F199" s="243">
        <v>0</v>
      </c>
      <c r="H199" s="243">
        <v>6408288.6211381694</v>
      </c>
      <c r="J199" s="243">
        <f t="shared" si="55"/>
        <v>6408288.6211381694</v>
      </c>
      <c r="L199" s="243">
        <v>0</v>
      </c>
      <c r="N199" s="247">
        <f t="shared" si="57"/>
        <v>0</v>
      </c>
    </row>
    <row r="200" spans="5:22" ht="16" customHeight="1" x14ac:dyDescent="0.2">
      <c r="E200" s="244" t="s">
        <v>422</v>
      </c>
      <c r="F200" s="243">
        <v>0</v>
      </c>
      <c r="H200" s="243">
        <v>4026178.1360752485</v>
      </c>
      <c r="J200" s="243">
        <f t="shared" si="55"/>
        <v>4026178.1360752485</v>
      </c>
      <c r="L200" s="243">
        <v>0</v>
      </c>
      <c r="N200" s="247">
        <f t="shared" si="57"/>
        <v>0</v>
      </c>
    </row>
    <row r="201" spans="5:22" ht="16" customHeight="1" x14ac:dyDescent="0.2">
      <c r="E201" s="244" t="s">
        <v>552</v>
      </c>
      <c r="F201" s="243">
        <v>0</v>
      </c>
      <c r="H201" s="243">
        <v>955411.7785075705</v>
      </c>
      <c r="J201" s="243">
        <f t="shared" ref="J201:J209" si="58">BJ114</f>
        <v>0</v>
      </c>
      <c r="L201" s="243">
        <v>955411.7785075705</v>
      </c>
      <c r="N201" s="247">
        <f t="shared" si="57"/>
        <v>0</v>
      </c>
    </row>
    <row r="202" spans="5:22" x14ac:dyDescent="0.2">
      <c r="E202" s="230" t="s">
        <v>421</v>
      </c>
      <c r="F202" s="243">
        <v>0</v>
      </c>
      <c r="H202" s="243">
        <v>8991.620323109395</v>
      </c>
      <c r="J202" s="243">
        <f t="shared" si="58"/>
        <v>0</v>
      </c>
      <c r="L202" s="243">
        <v>8991.620323109395</v>
      </c>
      <c r="N202" s="247">
        <f t="shared" si="57"/>
        <v>0</v>
      </c>
      <c r="O202" s="52"/>
    </row>
    <row r="203" spans="5:22" x14ac:dyDescent="0.2">
      <c r="E203" s="132" t="s">
        <v>423</v>
      </c>
      <c r="F203" s="243">
        <v>0</v>
      </c>
      <c r="H203" s="243">
        <v>303788.26554911444</v>
      </c>
      <c r="J203" s="243">
        <f t="shared" si="58"/>
        <v>0</v>
      </c>
      <c r="L203" s="243">
        <v>303788.26554911444</v>
      </c>
      <c r="N203" s="247">
        <f t="shared" si="57"/>
        <v>0</v>
      </c>
    </row>
    <row r="204" spans="5:22" x14ac:dyDescent="0.2">
      <c r="E204" s="230" t="s">
        <v>515</v>
      </c>
      <c r="F204" s="243">
        <v>0</v>
      </c>
      <c r="H204" s="243">
        <v>4043367.3234254471</v>
      </c>
      <c r="J204" s="243">
        <f t="shared" si="58"/>
        <v>4043367.3234254471</v>
      </c>
      <c r="L204" s="243">
        <v>0</v>
      </c>
      <c r="N204" s="247">
        <f t="shared" si="57"/>
        <v>0</v>
      </c>
    </row>
    <row r="205" spans="5:22" x14ac:dyDescent="0.2">
      <c r="E205" s="230" t="s">
        <v>517</v>
      </c>
      <c r="F205" s="243">
        <v>0</v>
      </c>
      <c r="H205" s="243">
        <v>4043367.3234254471</v>
      </c>
      <c r="J205" s="243">
        <f t="shared" si="58"/>
        <v>2830357.1263978118</v>
      </c>
      <c r="L205" s="243">
        <v>1213010.1970276341</v>
      </c>
      <c r="N205" s="247">
        <f t="shared" si="57"/>
        <v>0</v>
      </c>
    </row>
    <row r="206" spans="5:22" x14ac:dyDescent="0.2">
      <c r="E206" s="230" t="s">
        <v>445</v>
      </c>
      <c r="F206" s="243">
        <v>0</v>
      </c>
      <c r="H206" s="243">
        <v>6684057.4589463631</v>
      </c>
      <c r="J206" s="243">
        <f t="shared" si="58"/>
        <v>6684057.4589463631</v>
      </c>
      <c r="L206" s="243">
        <v>0</v>
      </c>
      <c r="N206" s="247">
        <f t="shared" si="57"/>
        <v>0</v>
      </c>
      <c r="S206" s="238"/>
      <c r="T206" s="238"/>
      <c r="U206" s="238"/>
      <c r="V206" s="238"/>
    </row>
    <row r="207" spans="5:22" x14ac:dyDescent="0.2">
      <c r="E207" s="230" t="s">
        <v>446</v>
      </c>
      <c r="F207" s="243">
        <v>0</v>
      </c>
      <c r="H207" s="243">
        <v>4157895.2984628798</v>
      </c>
      <c r="J207" s="243">
        <f t="shared" si="58"/>
        <v>0</v>
      </c>
      <c r="L207" s="243">
        <v>4157895.2984628798</v>
      </c>
      <c r="N207" s="247">
        <f t="shared" si="57"/>
        <v>0</v>
      </c>
    </row>
    <row r="208" spans="5:22" x14ac:dyDescent="0.2">
      <c r="E208" s="230" t="s">
        <v>447</v>
      </c>
      <c r="F208" s="243">
        <v>0</v>
      </c>
      <c r="H208" s="243">
        <v>404209.15818875749</v>
      </c>
      <c r="J208" s="243">
        <f t="shared" si="58"/>
        <v>0</v>
      </c>
      <c r="L208" s="243">
        <v>404209.15818875749</v>
      </c>
      <c r="N208" s="247">
        <f t="shared" si="57"/>
        <v>0</v>
      </c>
    </row>
    <row r="209" spans="5:18" x14ac:dyDescent="0.2">
      <c r="E209" s="230" t="s">
        <v>457</v>
      </c>
      <c r="F209" s="243">
        <v>0</v>
      </c>
      <c r="H209" s="243">
        <v>67875.356217847453</v>
      </c>
      <c r="J209" s="243">
        <f t="shared" si="58"/>
        <v>0</v>
      </c>
      <c r="L209" s="243">
        <v>67875.356217847453</v>
      </c>
      <c r="N209" s="247">
        <f t="shared" si="57"/>
        <v>0</v>
      </c>
    </row>
    <row r="210" spans="5:18" ht="17" customHeight="1" x14ac:dyDescent="0.2">
      <c r="E210" s="230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0"/>
      <c r="J211" s="52"/>
      <c r="L211" s="52"/>
    </row>
    <row r="212" spans="5:18" x14ac:dyDescent="0.2">
      <c r="E212" s="230"/>
    </row>
    <row r="213" spans="5:18" x14ac:dyDescent="0.2">
      <c r="F213" s="379" t="s">
        <v>490</v>
      </c>
      <c r="G213" s="379"/>
      <c r="H213" s="379"/>
      <c r="I213" s="379"/>
      <c r="J213" s="379"/>
      <c r="O213" s="238"/>
      <c r="P213" s="238"/>
    </row>
    <row r="216" spans="5:18" x14ac:dyDescent="0.2">
      <c r="E216" s="132" t="s">
        <v>325</v>
      </c>
      <c r="F216" s="243">
        <f t="array" ref="F216:F230">TRANSPOSE((AU124:BI124))</f>
        <v>202456.09318826307</v>
      </c>
      <c r="H216" s="243">
        <f t="shared" ref="H216:H230" si="59">AP127</f>
        <v>110429.65575914715</v>
      </c>
      <c r="J216" s="243">
        <f>F216-H216</f>
        <v>92026.437429115918</v>
      </c>
    </row>
    <row r="217" spans="5:18" x14ac:dyDescent="0.2">
      <c r="E217" s="132" t="s">
        <v>326</v>
      </c>
      <c r="F217" s="243">
        <v>25579.496946587489</v>
      </c>
      <c r="H217" s="243">
        <f t="shared" si="59"/>
        <v>25303.769659151953</v>
      </c>
      <c r="J217" s="243">
        <f t="shared" ref="J217:J230" si="60">F217-H217</f>
        <v>275.72728743553671</v>
      </c>
      <c r="Q217" s="238"/>
      <c r="R217" s="238"/>
    </row>
    <row r="218" spans="5:18" x14ac:dyDescent="0.2">
      <c r="E218" s="132" t="s">
        <v>327</v>
      </c>
      <c r="F218" s="243">
        <v>8954947.7300760113</v>
      </c>
      <c r="H218" s="243">
        <f t="shared" si="59"/>
        <v>8856360.0947559159</v>
      </c>
      <c r="J218" s="243">
        <f t="shared" si="60"/>
        <v>98587.635320095345</v>
      </c>
    </row>
    <row r="219" spans="5:18" x14ac:dyDescent="0.2">
      <c r="E219" s="132" t="s">
        <v>455</v>
      </c>
      <c r="F219" s="243">
        <v>717977.11143222859</v>
      </c>
      <c r="G219" s="14"/>
      <c r="H219" s="243">
        <f t="shared" si="59"/>
        <v>108184.8596728804</v>
      </c>
      <c r="I219" s="14"/>
      <c r="J219" s="243">
        <f t="shared" si="60"/>
        <v>609792.2517593482</v>
      </c>
    </row>
    <row r="220" spans="5:18" x14ac:dyDescent="0.2">
      <c r="E220" s="132" t="s">
        <v>435</v>
      </c>
      <c r="F220" s="243">
        <v>28121.937524887093</v>
      </c>
      <c r="H220" s="243">
        <f t="shared" si="59"/>
        <v>25297.051877142174</v>
      </c>
      <c r="J220" s="243">
        <f t="shared" si="60"/>
        <v>2824.885647744919</v>
      </c>
      <c r="K220" s="238"/>
      <c r="L220" s="238"/>
      <c r="M220" s="238"/>
      <c r="N220" s="238"/>
    </row>
    <row r="221" spans="5:18" x14ac:dyDescent="0.2">
      <c r="E221" s="132" t="s">
        <v>434</v>
      </c>
      <c r="F221" s="243">
        <v>8856086.4491080083</v>
      </c>
      <c r="H221" s="243">
        <f t="shared" si="59"/>
        <v>8855804.320336977</v>
      </c>
      <c r="J221" s="243">
        <f t="shared" si="60"/>
        <v>282.12877103127539</v>
      </c>
    </row>
    <row r="222" spans="5:18" x14ac:dyDescent="0.2">
      <c r="E222" s="132" t="s">
        <v>351</v>
      </c>
      <c r="F222" s="243">
        <v>120810.95849921908</v>
      </c>
      <c r="H222" s="243">
        <f t="shared" si="59"/>
        <v>109794.59857089487</v>
      </c>
      <c r="J222" s="243">
        <f t="shared" si="60"/>
        <v>11016.359928324207</v>
      </c>
    </row>
    <row r="223" spans="5:18" x14ac:dyDescent="0.2">
      <c r="E223" s="132" t="s">
        <v>348</v>
      </c>
      <c r="F223" s="243">
        <v>25331.72997230629</v>
      </c>
      <c r="G223" s="52" t="s">
        <v>378</v>
      </c>
      <c r="H223" s="243">
        <f t="shared" si="59"/>
        <v>25297.051877142174</v>
      </c>
      <c r="I223" s="52" t="s">
        <v>374</v>
      </c>
      <c r="J223" s="243">
        <f t="shared" si="60"/>
        <v>34.678095164115803</v>
      </c>
    </row>
    <row r="224" spans="5:18" x14ac:dyDescent="0.2">
      <c r="E224" s="132" t="s">
        <v>362</v>
      </c>
      <c r="F224" s="243">
        <v>8855854.6784211304</v>
      </c>
      <c r="H224" s="243">
        <f t="shared" si="59"/>
        <v>8855804.320336977</v>
      </c>
      <c r="J224" s="243">
        <f t="shared" si="60"/>
        <v>50.35808415338397</v>
      </c>
    </row>
    <row r="225" spans="5:14" x14ac:dyDescent="0.2">
      <c r="E225" s="132" t="s">
        <v>349</v>
      </c>
      <c r="F225" s="243">
        <v>1979045.0406719043</v>
      </c>
      <c r="H225" s="243">
        <f t="shared" si="59"/>
        <v>336977.46259125951</v>
      </c>
      <c r="J225" s="243">
        <f t="shared" si="60"/>
        <v>1642067.5780806448</v>
      </c>
    </row>
    <row r="226" spans="5:14" x14ac:dyDescent="0.2">
      <c r="E226" s="132" t="s">
        <v>344</v>
      </c>
      <c r="F226" s="243">
        <v>19454075.052631274</v>
      </c>
      <c r="H226" s="243">
        <f t="shared" si="59"/>
        <v>11702658.42159321</v>
      </c>
      <c r="J226" s="243">
        <f t="shared" si="60"/>
        <v>7751416.6310380641</v>
      </c>
    </row>
    <row r="227" spans="5:14" x14ac:dyDescent="0.2">
      <c r="E227" s="132" t="s">
        <v>514</v>
      </c>
      <c r="F227" s="243">
        <v>4059369.9954689462</v>
      </c>
      <c r="H227" s="243">
        <f t="shared" si="59"/>
        <v>4043367.3234254471</v>
      </c>
      <c r="J227" s="243">
        <f t="shared" si="60"/>
        <v>16002.672043499071</v>
      </c>
    </row>
    <row r="228" spans="5:14" x14ac:dyDescent="0.2">
      <c r="E228" s="132" t="s">
        <v>516</v>
      </c>
      <c r="F228" s="243">
        <v>4043367.3234254471</v>
      </c>
      <c r="H228" s="243">
        <f t="shared" si="59"/>
        <v>4043367.3234254471</v>
      </c>
      <c r="J228" s="243">
        <f t="shared" si="60"/>
        <v>0</v>
      </c>
    </row>
    <row r="229" spans="5:14" x14ac:dyDescent="0.2">
      <c r="E229" s="132" t="s">
        <v>76</v>
      </c>
      <c r="F229" s="243">
        <v>6738376.4034630982</v>
      </c>
      <c r="H229" s="243">
        <f t="shared" si="59"/>
        <v>6684057.4589463631</v>
      </c>
      <c r="J229" s="243">
        <f t="shared" si="60"/>
        <v>54318.944516735151</v>
      </c>
    </row>
    <row r="230" spans="5:14" x14ac:dyDescent="0.2">
      <c r="E230" s="132" t="s">
        <v>337</v>
      </c>
      <c r="F230" s="243">
        <v>12203729.005146431</v>
      </c>
      <c r="G230" s="52"/>
      <c r="H230" s="243">
        <f t="shared" si="59"/>
        <v>4629979.8128694845</v>
      </c>
      <c r="J230" s="243">
        <f t="shared" si="60"/>
        <v>7573749.1922769463</v>
      </c>
    </row>
    <row r="231" spans="5:14" x14ac:dyDescent="0.2">
      <c r="E231" s="230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0"/>
    </row>
    <row r="233" spans="5:14" x14ac:dyDescent="0.2">
      <c r="E233" s="230"/>
    </row>
    <row r="238" spans="5:14" x14ac:dyDescent="0.2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F9AB0-0DF7-FA4D-92B0-768AEB42DF3B}">
  <dimension ref="A1:GN236"/>
  <sheetViews>
    <sheetView topLeftCell="GM2" zoomScale="75" workbookViewId="0">
      <selection activeCell="GS7" sqref="GS7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6" max="46" width="16" customWidth="1"/>
    <col min="80" max="82" width="11.5" style="330"/>
    <col min="103" max="119" width="11.6640625" bestFit="1" customWidth="1"/>
    <col min="122" max="122" width="13.1640625" bestFit="1" customWidth="1"/>
    <col min="123" max="124" width="11.5" style="330"/>
    <col min="127" max="129" width="11.83203125" bestFit="1" customWidth="1"/>
    <col min="130" max="130" width="13" bestFit="1" customWidth="1"/>
    <col min="131" max="162" width="11.83203125" bestFit="1" customWidth="1"/>
    <col min="163" max="163" width="18.5" bestFit="1" customWidth="1"/>
    <col min="164" max="164" width="11.83203125" bestFit="1" customWidth="1"/>
    <col min="165" max="165" width="12.6640625" bestFit="1" customWidth="1"/>
    <col min="169" max="184" width="11.6640625" bestFit="1" customWidth="1"/>
    <col min="189" max="190" width="11.6640625" bestFit="1" customWidth="1"/>
    <col min="191" max="191" width="11.6640625" customWidth="1"/>
    <col min="192" max="192" width="11.6640625" bestFit="1" customWidth="1"/>
    <col min="195" max="196" width="11.5" style="330"/>
  </cols>
  <sheetData>
    <row r="1" spans="1:194" ht="112" customHeight="1" x14ac:dyDescent="0.75">
      <c r="A1" s="381" t="s">
        <v>797</v>
      </c>
      <c r="B1" s="381"/>
      <c r="C1" s="381"/>
      <c r="D1" s="381"/>
      <c r="E1" s="381"/>
      <c r="F1" s="381"/>
      <c r="G1" s="381"/>
      <c r="H1" s="381"/>
      <c r="I1" s="381"/>
      <c r="J1" s="381"/>
      <c r="K1" s="381"/>
      <c r="L1" s="381"/>
      <c r="M1" s="381"/>
      <c r="N1" s="381"/>
      <c r="O1" s="381"/>
      <c r="P1" s="381"/>
      <c r="Q1" s="381"/>
      <c r="R1" s="381"/>
      <c r="S1" s="381"/>
      <c r="T1" s="381"/>
      <c r="U1" s="381"/>
      <c r="V1" s="381"/>
      <c r="W1" s="381"/>
      <c r="X1" s="381"/>
      <c r="Y1" s="381"/>
      <c r="Z1" s="381"/>
      <c r="AA1" s="381"/>
      <c r="AB1" s="381"/>
      <c r="AC1" s="381"/>
      <c r="AD1" s="381"/>
      <c r="AE1" s="381"/>
      <c r="AF1" s="381"/>
      <c r="AG1" s="381"/>
      <c r="AH1" s="381"/>
      <c r="AI1" s="381"/>
      <c r="AJ1" s="381"/>
      <c r="AK1" s="381"/>
      <c r="AL1" s="381"/>
      <c r="AM1" s="381"/>
      <c r="AN1" s="381"/>
      <c r="AO1" s="381"/>
      <c r="AP1" s="381"/>
      <c r="AQ1" s="381"/>
      <c r="AR1" s="381"/>
      <c r="AS1" s="381"/>
      <c r="AT1" s="381"/>
      <c r="AU1" s="381"/>
      <c r="AV1" s="381"/>
      <c r="AW1" s="381"/>
      <c r="AX1" s="381"/>
      <c r="AY1" s="381"/>
      <c r="AZ1" s="381"/>
      <c r="BA1" s="381"/>
      <c r="BB1" s="381"/>
      <c r="BC1" s="381"/>
      <c r="BD1" s="381"/>
      <c r="BE1" s="381"/>
      <c r="BF1" s="381"/>
      <c r="BG1" s="381"/>
      <c r="BH1" s="381"/>
      <c r="BI1" s="381"/>
      <c r="BJ1" s="381"/>
      <c r="BK1" s="381"/>
      <c r="BL1" s="381"/>
      <c r="BM1" s="381"/>
      <c r="BN1" s="381"/>
      <c r="BO1" s="381"/>
      <c r="BP1" s="381"/>
      <c r="BQ1" s="381"/>
      <c r="BR1" s="381"/>
      <c r="BS1" s="381"/>
      <c r="BT1" s="381"/>
      <c r="BU1" s="381"/>
      <c r="BV1" s="381"/>
      <c r="BW1" s="381"/>
      <c r="BX1" s="381"/>
      <c r="BY1" s="381"/>
      <c r="BZ1" s="381"/>
      <c r="CA1" s="331"/>
      <c r="CB1" s="332"/>
      <c r="CC1" s="332"/>
      <c r="CE1" s="384" t="s">
        <v>798</v>
      </c>
      <c r="CF1" s="384"/>
      <c r="CG1" s="384"/>
      <c r="CH1" s="384"/>
      <c r="CI1" s="384"/>
      <c r="CJ1" s="384"/>
      <c r="CK1" s="384"/>
      <c r="CL1" s="384"/>
      <c r="CM1" s="384"/>
      <c r="CN1" s="384"/>
      <c r="CO1" s="384"/>
      <c r="CP1" s="384"/>
      <c r="CQ1" s="384"/>
      <c r="CR1" s="384"/>
      <c r="CS1" s="384"/>
      <c r="CT1" s="384"/>
      <c r="CU1" s="384"/>
      <c r="CV1" s="384"/>
      <c r="CW1" s="384"/>
      <c r="CX1" s="384"/>
      <c r="CY1" s="384"/>
      <c r="CZ1" s="384"/>
      <c r="DA1" s="384"/>
      <c r="DB1" s="384"/>
      <c r="DC1" s="384"/>
      <c r="DD1" s="384"/>
      <c r="DE1" s="384"/>
      <c r="DF1" s="384"/>
      <c r="DG1" s="384"/>
      <c r="DH1" s="384"/>
      <c r="DI1" s="384"/>
      <c r="DJ1" s="384"/>
      <c r="DK1" s="384"/>
      <c r="DL1" s="384"/>
      <c r="DM1" s="384"/>
      <c r="DN1" s="384"/>
      <c r="DO1" s="384"/>
      <c r="DP1" s="384"/>
      <c r="DQ1" s="384"/>
      <c r="DR1" s="384"/>
      <c r="DU1" s="384" t="s">
        <v>800</v>
      </c>
      <c r="DV1" s="384"/>
      <c r="DW1" s="384"/>
      <c r="DX1" s="384"/>
      <c r="DY1" s="384"/>
      <c r="DZ1" s="384"/>
      <c r="EA1" s="384"/>
      <c r="EB1" s="384"/>
      <c r="EC1" s="384"/>
      <c r="ED1" s="384"/>
      <c r="EE1" s="384"/>
      <c r="EF1" s="384"/>
      <c r="EG1" s="384"/>
      <c r="EH1" s="384"/>
      <c r="EI1" s="384"/>
      <c r="EJ1" s="384"/>
      <c r="EK1" s="384"/>
      <c r="EL1" s="384"/>
      <c r="EM1" s="384"/>
      <c r="EN1" s="384"/>
      <c r="EO1" s="384"/>
      <c r="EP1" s="384"/>
      <c r="EQ1" s="384"/>
      <c r="ER1" s="384"/>
      <c r="ES1" s="384"/>
      <c r="ET1" s="384"/>
      <c r="EU1" s="384"/>
      <c r="EV1" s="384"/>
      <c r="EW1" s="384"/>
      <c r="EX1" s="384"/>
      <c r="EY1" s="384"/>
      <c r="EZ1" s="384"/>
      <c r="FA1" s="384"/>
      <c r="FB1" s="384"/>
      <c r="FC1" s="384"/>
      <c r="FD1" s="384"/>
      <c r="FE1" s="384"/>
      <c r="FF1" s="384"/>
      <c r="FG1" s="384"/>
      <c r="FH1" s="384"/>
      <c r="FI1" s="384"/>
      <c r="FJ1" s="384"/>
      <c r="FK1" s="384"/>
      <c r="FL1" s="384"/>
      <c r="FM1" s="384"/>
      <c r="FN1" s="384"/>
      <c r="FO1" s="384"/>
      <c r="FP1" s="384"/>
      <c r="FQ1" s="384"/>
      <c r="FR1" s="384"/>
      <c r="FS1" s="384"/>
      <c r="FT1" s="384"/>
      <c r="FU1" s="384"/>
      <c r="FV1" s="384"/>
      <c r="FW1" s="384"/>
      <c r="FX1" s="384"/>
      <c r="FY1" s="384"/>
      <c r="FZ1" s="384"/>
      <c r="GA1" s="384"/>
      <c r="GB1" s="384"/>
      <c r="GC1" s="384"/>
      <c r="GD1" s="384"/>
      <c r="GE1" s="384"/>
      <c r="GF1" s="384"/>
      <c r="GG1" s="384"/>
      <c r="GH1" s="384"/>
      <c r="GI1" s="384"/>
      <c r="GJ1" s="384"/>
      <c r="GK1" s="384"/>
      <c r="GL1" s="384"/>
    </row>
    <row r="2" spans="1:194" ht="114" x14ac:dyDescent="0.2">
      <c r="C2" s="231" t="s">
        <v>478</v>
      </c>
      <c r="AR2" s="245"/>
      <c r="AS2" s="231" t="s">
        <v>325</v>
      </c>
      <c r="AT2" s="231" t="s">
        <v>326</v>
      </c>
      <c r="AU2" s="231" t="s">
        <v>327</v>
      </c>
      <c r="AV2" s="231" t="s">
        <v>455</v>
      </c>
      <c r="AW2" s="231" t="s">
        <v>435</v>
      </c>
      <c r="AX2" s="231" t="s">
        <v>434</v>
      </c>
      <c r="AY2" s="231" t="s">
        <v>351</v>
      </c>
      <c r="AZ2" s="231" t="s">
        <v>348</v>
      </c>
      <c r="BA2" s="231" t="s">
        <v>362</v>
      </c>
      <c r="BB2" s="231" t="s">
        <v>349</v>
      </c>
      <c r="BC2" s="231" t="s">
        <v>344</v>
      </c>
      <c r="BD2" s="231" t="s">
        <v>360</v>
      </c>
      <c r="BE2" s="231" t="s">
        <v>516</v>
      </c>
      <c r="BF2" s="231" t="s">
        <v>76</v>
      </c>
      <c r="BG2" s="231" t="s">
        <v>337</v>
      </c>
      <c r="BL2" s="245"/>
      <c r="BM2" s="231" t="s">
        <v>325</v>
      </c>
      <c r="BN2" s="231" t="s">
        <v>326</v>
      </c>
      <c r="BO2" s="231" t="s">
        <v>327</v>
      </c>
      <c r="BP2" s="231" t="s">
        <v>455</v>
      </c>
      <c r="BQ2" s="231" t="s">
        <v>435</v>
      </c>
      <c r="BR2" s="231" t="s">
        <v>434</v>
      </c>
      <c r="BS2" s="231" t="s">
        <v>351</v>
      </c>
      <c r="BT2" s="231" t="s">
        <v>348</v>
      </c>
      <c r="BU2" s="231" t="s">
        <v>362</v>
      </c>
      <c r="BV2" s="231" t="s">
        <v>349</v>
      </c>
      <c r="BW2" s="231" t="s">
        <v>344</v>
      </c>
      <c r="BX2" s="231" t="s">
        <v>516</v>
      </c>
      <c r="BY2" s="231" t="s">
        <v>76</v>
      </c>
      <c r="BZ2" s="231" t="s">
        <v>337</v>
      </c>
    </row>
    <row r="3" spans="1:194" ht="114" x14ac:dyDescent="0.2">
      <c r="B3" s="132" t="s">
        <v>333</v>
      </c>
      <c r="C3" s="246">
        <v>1</v>
      </c>
      <c r="AR3" s="132" t="s">
        <v>333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G3" s="246">
        <v>0</v>
      </c>
      <c r="BL3" s="132" t="s">
        <v>333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  <c r="EZ3" s="245"/>
      <c r="FA3" s="231" t="s">
        <v>325</v>
      </c>
      <c r="FB3" s="231" t="s">
        <v>326</v>
      </c>
      <c r="FC3" s="231" t="s">
        <v>327</v>
      </c>
      <c r="FD3" s="231" t="s">
        <v>455</v>
      </c>
      <c r="FE3" s="231" t="s">
        <v>435</v>
      </c>
      <c r="FF3" s="231" t="s">
        <v>434</v>
      </c>
      <c r="FG3" s="231" t="s">
        <v>351</v>
      </c>
      <c r="FH3" s="231" t="s">
        <v>348</v>
      </c>
      <c r="FI3" s="231" t="s">
        <v>362</v>
      </c>
      <c r="FJ3" s="231" t="s">
        <v>349</v>
      </c>
      <c r="FK3" s="231" t="s">
        <v>344</v>
      </c>
      <c r="FL3" s="231" t="s">
        <v>360</v>
      </c>
      <c r="FM3" s="231" t="s">
        <v>516</v>
      </c>
      <c r="FN3" s="231" t="s">
        <v>76</v>
      </c>
      <c r="FO3" s="231" t="s">
        <v>337</v>
      </c>
      <c r="FT3" s="245"/>
      <c r="FU3" s="231" t="s">
        <v>325</v>
      </c>
      <c r="FV3" s="231" t="s">
        <v>326</v>
      </c>
      <c r="FW3" s="231" t="s">
        <v>327</v>
      </c>
      <c r="FX3" s="231" t="s">
        <v>455</v>
      </c>
      <c r="FY3" s="231" t="s">
        <v>435</v>
      </c>
      <c r="FZ3" s="231" t="s">
        <v>434</v>
      </c>
      <c r="GA3" s="231" t="s">
        <v>351</v>
      </c>
      <c r="GB3" s="231" t="s">
        <v>348</v>
      </c>
      <c r="GC3" s="231" t="s">
        <v>362</v>
      </c>
      <c r="GD3" s="231" t="s">
        <v>349</v>
      </c>
      <c r="GE3" s="231" t="s">
        <v>344</v>
      </c>
      <c r="GF3" s="231" t="s">
        <v>516</v>
      </c>
      <c r="GG3" s="231" t="s">
        <v>76</v>
      </c>
      <c r="GH3" s="231" t="s">
        <v>337</v>
      </c>
    </row>
    <row r="4" spans="1:194" x14ac:dyDescent="0.2">
      <c r="B4" s="132" t="s">
        <v>335</v>
      </c>
      <c r="C4" s="246">
        <v>1</v>
      </c>
      <c r="AR4" s="132" t="s">
        <v>335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G4" s="246">
        <v>0</v>
      </c>
      <c r="BL4" s="132" t="s">
        <v>335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  <c r="EZ4" s="132" t="s">
        <v>333</v>
      </c>
      <c r="FA4" s="246">
        <v>0</v>
      </c>
      <c r="FB4" s="246">
        <v>0</v>
      </c>
      <c r="FC4" s="246">
        <v>0</v>
      </c>
      <c r="FD4" s="246">
        <v>0</v>
      </c>
      <c r="FE4" s="246">
        <v>0</v>
      </c>
      <c r="FF4" s="246">
        <v>0</v>
      </c>
      <c r="FG4" s="246">
        <v>0</v>
      </c>
      <c r="FH4" s="246">
        <v>0</v>
      </c>
      <c r="FI4" s="246">
        <v>0</v>
      </c>
      <c r="FJ4" s="246">
        <v>0</v>
      </c>
      <c r="FK4" s="246">
        <v>0</v>
      </c>
      <c r="FL4" s="246">
        <v>0</v>
      </c>
      <c r="FM4" s="246">
        <v>0</v>
      </c>
      <c r="FN4" s="246">
        <v>0</v>
      </c>
      <c r="FO4" s="246">
        <v>0</v>
      </c>
      <c r="FT4" s="132" t="s">
        <v>333</v>
      </c>
      <c r="FU4" s="246">
        <v>0</v>
      </c>
      <c r="FV4" s="246">
        <v>0</v>
      </c>
      <c r="FW4" s="246">
        <v>0</v>
      </c>
      <c r="FX4" s="246">
        <v>0</v>
      </c>
      <c r="FY4" s="246">
        <v>0</v>
      </c>
      <c r="FZ4" s="246">
        <v>0</v>
      </c>
      <c r="GA4" s="246">
        <v>0</v>
      </c>
      <c r="GB4" s="246">
        <v>0</v>
      </c>
      <c r="GC4" s="246">
        <v>0</v>
      </c>
      <c r="GD4" s="246">
        <v>0</v>
      </c>
      <c r="GE4" s="246">
        <v>0</v>
      </c>
      <c r="GF4" s="246">
        <v>0</v>
      </c>
      <c r="GG4" s="246">
        <v>0</v>
      </c>
      <c r="GH4" s="246">
        <v>0</v>
      </c>
    </row>
    <row r="5" spans="1:194" x14ac:dyDescent="0.2">
      <c r="B5" s="132" t="s">
        <v>336</v>
      </c>
      <c r="C5" s="246">
        <v>1</v>
      </c>
      <c r="AR5" s="132" t="s">
        <v>336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G5" s="246">
        <v>0</v>
      </c>
      <c r="BL5" s="132" t="s">
        <v>336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  <c r="EZ5" s="132" t="s">
        <v>335</v>
      </c>
      <c r="FA5" s="246">
        <v>0</v>
      </c>
      <c r="FB5" s="246">
        <v>0</v>
      </c>
      <c r="FC5" s="246">
        <v>0</v>
      </c>
      <c r="FD5" s="246">
        <v>0</v>
      </c>
      <c r="FE5" s="246">
        <v>0</v>
      </c>
      <c r="FF5" s="246">
        <v>0</v>
      </c>
      <c r="FG5" s="246">
        <v>0</v>
      </c>
      <c r="FH5" s="246">
        <v>0</v>
      </c>
      <c r="FI5" s="246">
        <v>0</v>
      </c>
      <c r="FJ5" s="246">
        <v>0</v>
      </c>
      <c r="FK5" s="246">
        <v>0</v>
      </c>
      <c r="FL5" s="246">
        <v>0</v>
      </c>
      <c r="FM5" s="246">
        <v>0</v>
      </c>
      <c r="FN5" s="246">
        <v>0</v>
      </c>
      <c r="FO5" s="246">
        <v>0</v>
      </c>
      <c r="FT5" s="132" t="s">
        <v>335</v>
      </c>
      <c r="FU5" s="246">
        <v>0</v>
      </c>
      <c r="FV5" s="246">
        <v>0</v>
      </c>
      <c r="FW5" s="246">
        <v>0</v>
      </c>
      <c r="FX5" s="246">
        <v>0</v>
      </c>
      <c r="FY5" s="246">
        <v>0</v>
      </c>
      <c r="FZ5" s="246">
        <v>0</v>
      </c>
      <c r="GA5" s="246">
        <v>0</v>
      </c>
      <c r="GB5" s="246">
        <v>0</v>
      </c>
      <c r="GC5" s="246">
        <v>0</v>
      </c>
      <c r="GD5" s="246">
        <v>0</v>
      </c>
      <c r="GE5" s="246">
        <v>0</v>
      </c>
      <c r="GF5" s="246">
        <v>0</v>
      </c>
      <c r="GG5" s="246">
        <v>0</v>
      </c>
      <c r="GH5" s="246">
        <v>0</v>
      </c>
    </row>
    <row r="6" spans="1:194" x14ac:dyDescent="0.2">
      <c r="B6" s="132" t="s">
        <v>355</v>
      </c>
      <c r="C6" s="246">
        <v>1</v>
      </c>
      <c r="AR6" s="132" t="s">
        <v>355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G6" s="246">
        <v>0</v>
      </c>
      <c r="BL6" s="132" t="s">
        <v>355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  <c r="EZ6" s="132" t="s">
        <v>336</v>
      </c>
      <c r="FA6" s="246">
        <v>0</v>
      </c>
      <c r="FB6" s="246">
        <v>0</v>
      </c>
      <c r="FC6" s="246">
        <v>0</v>
      </c>
      <c r="FD6" s="246">
        <v>0</v>
      </c>
      <c r="FE6" s="246">
        <v>0</v>
      </c>
      <c r="FF6" s="246">
        <v>0</v>
      </c>
      <c r="FG6" s="246">
        <v>0</v>
      </c>
      <c r="FH6" s="246">
        <v>0</v>
      </c>
      <c r="FI6" s="246">
        <v>0</v>
      </c>
      <c r="FJ6" s="246">
        <v>0</v>
      </c>
      <c r="FK6" s="246">
        <v>0</v>
      </c>
      <c r="FL6" s="246">
        <v>0</v>
      </c>
      <c r="FM6" s="246">
        <v>0</v>
      </c>
      <c r="FN6" s="246">
        <v>0</v>
      </c>
      <c r="FO6" s="246">
        <v>0</v>
      </c>
      <c r="FT6" s="132" t="s">
        <v>336</v>
      </c>
      <c r="FU6" s="246">
        <v>0</v>
      </c>
      <c r="FV6" s="246">
        <v>0</v>
      </c>
      <c r="FW6" s="246">
        <v>0</v>
      </c>
      <c r="FX6" s="246">
        <v>0</v>
      </c>
      <c r="FY6" s="246">
        <v>0</v>
      </c>
      <c r="FZ6" s="246">
        <v>0</v>
      </c>
      <c r="GA6" s="246">
        <v>0</v>
      </c>
      <c r="GB6" s="246">
        <v>0</v>
      </c>
      <c r="GC6" s="246">
        <v>0</v>
      </c>
      <c r="GD6" s="246">
        <v>0</v>
      </c>
      <c r="GE6" s="246">
        <v>0</v>
      </c>
      <c r="GF6" s="246">
        <v>0</v>
      </c>
      <c r="GG6" s="246">
        <v>0</v>
      </c>
      <c r="GH6" s="246">
        <v>0</v>
      </c>
    </row>
    <row r="7" spans="1:194" x14ac:dyDescent="0.2">
      <c r="B7" s="132" t="s">
        <v>377</v>
      </c>
      <c r="C7" s="246">
        <v>1</v>
      </c>
      <c r="AR7" s="132" t="s">
        <v>377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G7" s="246">
        <v>0</v>
      </c>
      <c r="BL7" s="132" t="s">
        <v>377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  <c r="EZ7" s="132" t="s">
        <v>355</v>
      </c>
      <c r="FA7" s="246">
        <v>0</v>
      </c>
      <c r="FB7" s="246">
        <v>0</v>
      </c>
      <c r="FC7" s="246">
        <v>0</v>
      </c>
      <c r="FD7" s="246">
        <v>0</v>
      </c>
      <c r="FE7" s="246">
        <v>0</v>
      </c>
      <c r="FF7" s="246">
        <v>0</v>
      </c>
      <c r="FG7" s="246">
        <v>0</v>
      </c>
      <c r="FH7" s="246">
        <v>0</v>
      </c>
      <c r="FI7" s="246">
        <v>0</v>
      </c>
      <c r="FJ7" s="246">
        <v>0</v>
      </c>
      <c r="FK7" s="246">
        <v>0</v>
      </c>
      <c r="FL7" s="246">
        <v>0</v>
      </c>
      <c r="FM7" s="246">
        <v>0</v>
      </c>
      <c r="FN7" s="246">
        <v>0</v>
      </c>
      <c r="FO7" s="246">
        <v>0</v>
      </c>
      <c r="FT7" s="132" t="s">
        <v>355</v>
      </c>
      <c r="FU7" s="246">
        <v>0</v>
      </c>
      <c r="FV7" s="246">
        <v>0</v>
      </c>
      <c r="FW7" s="246">
        <v>0</v>
      </c>
      <c r="FX7" s="246">
        <v>0</v>
      </c>
      <c r="FY7" s="246">
        <v>0</v>
      </c>
      <c r="FZ7" s="246">
        <v>0</v>
      </c>
      <c r="GA7" s="246">
        <v>0</v>
      </c>
      <c r="GB7" s="246">
        <v>0</v>
      </c>
      <c r="GC7" s="246">
        <v>0</v>
      </c>
      <c r="GD7" s="246">
        <v>0</v>
      </c>
      <c r="GE7" s="246">
        <v>0</v>
      </c>
      <c r="GF7" s="246">
        <v>0</v>
      </c>
      <c r="GG7" s="246">
        <v>0</v>
      </c>
      <c r="GH7" s="246">
        <v>0</v>
      </c>
    </row>
    <row r="8" spans="1:194" x14ac:dyDescent="0.2">
      <c r="B8" s="132" t="s">
        <v>466</v>
      </c>
      <c r="C8" s="246">
        <v>1</v>
      </c>
      <c r="AR8" s="132" t="s">
        <v>466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G8" s="246">
        <v>0</v>
      </c>
      <c r="BL8" s="132" t="s">
        <v>466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  <c r="EZ8" s="132" t="s">
        <v>377</v>
      </c>
      <c r="FA8" s="246">
        <v>0</v>
      </c>
      <c r="FB8" s="246">
        <v>0</v>
      </c>
      <c r="FC8" s="246">
        <v>0</v>
      </c>
      <c r="FD8" s="246">
        <v>0</v>
      </c>
      <c r="FE8" s="246">
        <v>0</v>
      </c>
      <c r="FF8" s="246">
        <v>0</v>
      </c>
      <c r="FG8" s="246">
        <v>0</v>
      </c>
      <c r="FH8" s="246">
        <v>0</v>
      </c>
      <c r="FI8" s="246">
        <v>0</v>
      </c>
      <c r="FJ8" s="246">
        <v>0</v>
      </c>
      <c r="FK8" s="246">
        <v>0</v>
      </c>
      <c r="FL8" s="246">
        <v>0</v>
      </c>
      <c r="FM8" s="246">
        <v>0</v>
      </c>
      <c r="FN8" s="246">
        <v>0</v>
      </c>
      <c r="FO8" s="246">
        <v>0</v>
      </c>
      <c r="FT8" s="132" t="s">
        <v>377</v>
      </c>
      <c r="FU8" s="246">
        <v>0</v>
      </c>
      <c r="FV8" s="246">
        <v>0</v>
      </c>
      <c r="FW8" s="246">
        <v>0</v>
      </c>
      <c r="FX8" s="246">
        <v>0</v>
      </c>
      <c r="FY8" s="246">
        <v>0</v>
      </c>
      <c r="FZ8" s="246">
        <v>0</v>
      </c>
      <c r="GA8" s="246">
        <v>0</v>
      </c>
      <c r="GB8" s="246">
        <v>0</v>
      </c>
      <c r="GC8" s="246">
        <v>0</v>
      </c>
      <c r="GD8" s="246">
        <v>0</v>
      </c>
      <c r="GE8" s="246">
        <v>0</v>
      </c>
      <c r="GF8" s="246">
        <v>0</v>
      </c>
      <c r="GG8" s="246">
        <v>0</v>
      </c>
      <c r="GH8" s="246">
        <v>0</v>
      </c>
    </row>
    <row r="9" spans="1:194" x14ac:dyDescent="0.2">
      <c r="B9" s="132" t="s">
        <v>467</v>
      </c>
      <c r="C9" s="246">
        <v>1</v>
      </c>
      <c r="AR9" s="132" t="s">
        <v>467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G9" s="246">
        <v>0</v>
      </c>
      <c r="BL9" s="132" t="s">
        <v>467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  <c r="EZ9" s="132" t="s">
        <v>466</v>
      </c>
      <c r="FA9" s="246">
        <v>0</v>
      </c>
      <c r="FB9" s="246">
        <v>0</v>
      </c>
      <c r="FC9" s="246">
        <v>0</v>
      </c>
      <c r="FD9" s="246">
        <v>0</v>
      </c>
      <c r="FE9" s="246">
        <v>0</v>
      </c>
      <c r="FF9" s="246">
        <v>0</v>
      </c>
      <c r="FG9" s="246">
        <v>0</v>
      </c>
      <c r="FH9" s="246">
        <v>0</v>
      </c>
      <c r="FI9" s="246">
        <v>0</v>
      </c>
      <c r="FJ9" s="246">
        <v>0</v>
      </c>
      <c r="FK9" s="246">
        <v>0</v>
      </c>
      <c r="FL9" s="246">
        <v>0</v>
      </c>
      <c r="FM9" s="246">
        <v>0</v>
      </c>
      <c r="FN9" s="246">
        <v>0</v>
      </c>
      <c r="FO9" s="246">
        <v>0</v>
      </c>
      <c r="FT9" s="132" t="s">
        <v>466</v>
      </c>
      <c r="FU9" s="246">
        <v>0</v>
      </c>
      <c r="FV9" s="246">
        <v>0</v>
      </c>
      <c r="FW9" s="246">
        <v>0</v>
      </c>
      <c r="FX9" s="246">
        <v>0</v>
      </c>
      <c r="FY9" s="246">
        <v>0</v>
      </c>
      <c r="FZ9" s="246">
        <v>0</v>
      </c>
      <c r="GA9" s="246">
        <v>0</v>
      </c>
      <c r="GB9" s="246">
        <v>0</v>
      </c>
      <c r="GC9" s="246">
        <v>0</v>
      </c>
      <c r="GD9" s="246">
        <v>0</v>
      </c>
      <c r="GE9" s="246">
        <v>0</v>
      </c>
      <c r="GF9" s="246">
        <v>0</v>
      </c>
      <c r="GG9" s="246">
        <v>0</v>
      </c>
      <c r="GH9" s="246">
        <v>0</v>
      </c>
    </row>
    <row r="10" spans="1:194" x14ac:dyDescent="0.2">
      <c r="B10" s="132" t="s">
        <v>411</v>
      </c>
      <c r="C10" s="246">
        <v>1</v>
      </c>
      <c r="AR10" s="132" t="s">
        <v>411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G10" s="246">
        <v>0</v>
      </c>
      <c r="BL10" s="132" t="s">
        <v>411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  <c r="EZ10" s="132" t="s">
        <v>467</v>
      </c>
      <c r="FA10" s="246">
        <v>0</v>
      </c>
      <c r="FB10" s="246">
        <v>0</v>
      </c>
      <c r="FC10" s="246">
        <v>0</v>
      </c>
      <c r="FD10" s="246">
        <v>0</v>
      </c>
      <c r="FE10" s="246">
        <v>0</v>
      </c>
      <c r="FF10" s="246">
        <v>0</v>
      </c>
      <c r="FG10" s="246">
        <v>0</v>
      </c>
      <c r="FH10" s="246">
        <v>0</v>
      </c>
      <c r="FI10" s="246">
        <v>0</v>
      </c>
      <c r="FJ10" s="246">
        <v>0</v>
      </c>
      <c r="FK10" s="246">
        <v>0</v>
      </c>
      <c r="FL10" s="246">
        <v>0</v>
      </c>
      <c r="FM10" s="246">
        <v>0</v>
      </c>
      <c r="FN10" s="246">
        <v>0</v>
      </c>
      <c r="FO10" s="246">
        <v>0</v>
      </c>
      <c r="FT10" s="132" t="s">
        <v>467</v>
      </c>
      <c r="FU10" s="246">
        <v>0</v>
      </c>
      <c r="FV10" s="246">
        <v>0</v>
      </c>
      <c r="FW10" s="246">
        <v>0</v>
      </c>
      <c r="FX10" s="246">
        <v>0</v>
      </c>
      <c r="FY10" s="246">
        <v>0</v>
      </c>
      <c r="FZ10" s="246">
        <v>0</v>
      </c>
      <c r="GA10" s="246">
        <v>0</v>
      </c>
      <c r="GB10" s="246">
        <v>0</v>
      </c>
      <c r="GC10" s="246">
        <v>0</v>
      </c>
      <c r="GD10" s="246">
        <v>0</v>
      </c>
      <c r="GE10" s="246">
        <v>0</v>
      </c>
      <c r="GF10" s="246">
        <v>0</v>
      </c>
      <c r="GG10" s="246">
        <v>0</v>
      </c>
      <c r="GH10" s="246">
        <v>0</v>
      </c>
    </row>
    <row r="11" spans="1:194" ht="16" customHeight="1" x14ac:dyDescent="0.2">
      <c r="B11" s="132" t="s">
        <v>459</v>
      </c>
      <c r="C11" s="246">
        <v>1</v>
      </c>
      <c r="AR11" s="132" t="s">
        <v>459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G11" s="246">
        <v>0</v>
      </c>
      <c r="BL11" s="132" t="s">
        <v>459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  <c r="EZ11" s="132" t="s">
        <v>411</v>
      </c>
      <c r="FA11" s="246">
        <v>0</v>
      </c>
      <c r="FB11" s="246">
        <v>0</v>
      </c>
      <c r="FC11" s="246">
        <v>0</v>
      </c>
      <c r="FD11" s="246">
        <v>0</v>
      </c>
      <c r="FE11" s="246">
        <v>0</v>
      </c>
      <c r="FF11" s="246">
        <v>0</v>
      </c>
      <c r="FG11" s="246">
        <v>0</v>
      </c>
      <c r="FH11" s="246">
        <v>0</v>
      </c>
      <c r="FI11" s="246">
        <v>0</v>
      </c>
      <c r="FJ11" s="246">
        <v>0</v>
      </c>
      <c r="FK11" s="246">
        <v>0</v>
      </c>
      <c r="FL11" s="246">
        <v>0</v>
      </c>
      <c r="FM11" s="246">
        <v>0</v>
      </c>
      <c r="FN11" s="246">
        <v>0</v>
      </c>
      <c r="FO11" s="246">
        <v>0</v>
      </c>
      <c r="FT11" s="132" t="s">
        <v>411</v>
      </c>
      <c r="FU11" s="246">
        <v>0</v>
      </c>
      <c r="FV11" s="246">
        <v>0</v>
      </c>
      <c r="FW11" s="246">
        <v>0</v>
      </c>
      <c r="FX11" s="246">
        <v>0</v>
      </c>
      <c r="FY11" s="246">
        <v>0</v>
      </c>
      <c r="FZ11" s="246">
        <v>0</v>
      </c>
      <c r="GA11" s="246">
        <v>0</v>
      </c>
      <c r="GB11" s="246">
        <v>0</v>
      </c>
      <c r="GC11" s="246">
        <v>0</v>
      </c>
      <c r="GD11" s="246">
        <v>0</v>
      </c>
      <c r="GE11" s="246">
        <v>0</v>
      </c>
      <c r="GF11" s="246">
        <v>0</v>
      </c>
      <c r="GG11" s="246">
        <v>0</v>
      </c>
      <c r="GH11" s="246">
        <v>0</v>
      </c>
    </row>
    <row r="12" spans="1:194" ht="16" x14ac:dyDescent="0.2">
      <c r="B12" s="229" t="s">
        <v>442</v>
      </c>
      <c r="C12" s="246">
        <v>1</v>
      </c>
      <c r="AR12" s="229" t="s">
        <v>442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G12" s="246">
        <v>0</v>
      </c>
      <c r="BL12" s="229" t="s">
        <v>442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  <c r="EZ12" s="132" t="s">
        <v>459</v>
      </c>
      <c r="FA12" s="246">
        <v>0</v>
      </c>
      <c r="FB12" s="246">
        <v>0</v>
      </c>
      <c r="FC12" s="246">
        <v>0</v>
      </c>
      <c r="FD12" s="246">
        <v>0</v>
      </c>
      <c r="FE12" s="246">
        <v>0</v>
      </c>
      <c r="FF12" s="246">
        <v>0</v>
      </c>
      <c r="FG12" s="246">
        <v>0</v>
      </c>
      <c r="FH12" s="246">
        <v>0</v>
      </c>
      <c r="FI12" s="246">
        <v>0</v>
      </c>
      <c r="FJ12" s="246">
        <v>0</v>
      </c>
      <c r="FK12" s="246">
        <v>0</v>
      </c>
      <c r="FL12" s="246">
        <v>0</v>
      </c>
      <c r="FM12" s="246">
        <v>0</v>
      </c>
      <c r="FN12" s="246">
        <v>0</v>
      </c>
      <c r="FO12" s="246">
        <v>0</v>
      </c>
      <c r="FT12" s="132" t="s">
        <v>459</v>
      </c>
      <c r="FU12" s="246">
        <v>0</v>
      </c>
      <c r="FV12" s="246">
        <v>0</v>
      </c>
      <c r="FW12" s="246">
        <v>0</v>
      </c>
      <c r="FX12" s="246">
        <v>0</v>
      </c>
      <c r="FY12" s="246">
        <v>0</v>
      </c>
      <c r="FZ12" s="246">
        <v>0</v>
      </c>
      <c r="GA12" s="246">
        <v>0</v>
      </c>
      <c r="GB12" s="246">
        <v>0</v>
      </c>
      <c r="GC12" s="246">
        <v>0</v>
      </c>
      <c r="GD12" s="246">
        <v>0</v>
      </c>
      <c r="GE12" s="246">
        <v>0</v>
      </c>
      <c r="GF12" s="246">
        <v>0</v>
      </c>
      <c r="GG12" s="246">
        <v>0</v>
      </c>
      <c r="GH12" s="246">
        <v>0</v>
      </c>
    </row>
    <row r="13" spans="1:194" ht="16" customHeight="1" x14ac:dyDescent="0.2">
      <c r="B13" s="132" t="s">
        <v>409</v>
      </c>
      <c r="C13" s="246">
        <v>1</v>
      </c>
      <c r="AR13" s="132" t="s">
        <v>409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G13" s="246">
        <v>0</v>
      </c>
      <c r="BL13" s="132" t="s">
        <v>409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  <c r="EZ13" s="229" t="s">
        <v>442</v>
      </c>
      <c r="FA13" s="246">
        <v>0</v>
      </c>
      <c r="FB13" s="246">
        <v>0</v>
      </c>
      <c r="FC13" s="246">
        <v>0</v>
      </c>
      <c r="FD13" s="246">
        <v>0</v>
      </c>
      <c r="FE13" s="246">
        <v>0</v>
      </c>
      <c r="FF13" s="246">
        <v>0</v>
      </c>
      <c r="FG13" s="246">
        <v>0</v>
      </c>
      <c r="FH13" s="246">
        <v>0</v>
      </c>
      <c r="FI13" s="246">
        <v>0</v>
      </c>
      <c r="FJ13" s="246">
        <v>0</v>
      </c>
      <c r="FK13" s="246">
        <v>0</v>
      </c>
      <c r="FL13" s="246">
        <v>0</v>
      </c>
      <c r="FM13" s="246">
        <v>0</v>
      </c>
      <c r="FN13" s="246">
        <v>0</v>
      </c>
      <c r="FO13" s="246">
        <v>0</v>
      </c>
      <c r="FT13" s="229" t="s">
        <v>442</v>
      </c>
      <c r="FU13" s="246">
        <v>0</v>
      </c>
      <c r="FV13" s="246">
        <v>0</v>
      </c>
      <c r="FW13" s="246">
        <v>0</v>
      </c>
      <c r="FX13" s="246">
        <v>0</v>
      </c>
      <c r="FY13" s="246">
        <v>0</v>
      </c>
      <c r="FZ13" s="246">
        <v>0</v>
      </c>
      <c r="GA13" s="246">
        <v>0</v>
      </c>
      <c r="GB13" s="246">
        <v>0</v>
      </c>
      <c r="GC13" s="246">
        <v>0</v>
      </c>
      <c r="GD13" s="246">
        <v>0</v>
      </c>
      <c r="GE13" s="246">
        <v>0</v>
      </c>
      <c r="GF13" s="246">
        <v>0</v>
      </c>
      <c r="GG13" s="246">
        <v>0</v>
      </c>
      <c r="GH13" s="246">
        <v>0</v>
      </c>
    </row>
    <row r="14" spans="1:194" ht="16" x14ac:dyDescent="0.2">
      <c r="B14" s="229" t="s">
        <v>412</v>
      </c>
      <c r="C14" s="246">
        <v>1</v>
      </c>
      <c r="AR14" s="229" t="s">
        <v>412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G14" s="246">
        <v>0</v>
      </c>
      <c r="BL14" s="229" t="s">
        <v>412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  <c r="EZ14" s="132" t="s">
        <v>409</v>
      </c>
      <c r="FA14" s="246">
        <v>0</v>
      </c>
      <c r="FB14" s="246">
        <v>0</v>
      </c>
      <c r="FC14" s="246">
        <v>0</v>
      </c>
      <c r="FD14" s="246">
        <v>0</v>
      </c>
      <c r="FE14" s="246">
        <v>0</v>
      </c>
      <c r="FF14" s="246">
        <v>0</v>
      </c>
      <c r="FG14" s="246">
        <v>0</v>
      </c>
      <c r="FH14" s="246">
        <v>0</v>
      </c>
      <c r="FI14" s="246">
        <v>0</v>
      </c>
      <c r="FJ14" s="246">
        <v>0</v>
      </c>
      <c r="FK14" s="246">
        <v>0</v>
      </c>
      <c r="FL14" s="246">
        <v>0</v>
      </c>
      <c r="FM14" s="246">
        <v>0</v>
      </c>
      <c r="FN14" s="246">
        <v>0</v>
      </c>
      <c r="FO14" s="246">
        <v>0</v>
      </c>
      <c r="FT14" s="132" t="s">
        <v>409</v>
      </c>
      <c r="FU14" s="246">
        <v>0</v>
      </c>
      <c r="FV14" s="246">
        <v>0</v>
      </c>
      <c r="FW14" s="246">
        <v>0</v>
      </c>
      <c r="FX14" s="246">
        <v>0</v>
      </c>
      <c r="FY14" s="246">
        <v>0</v>
      </c>
      <c r="FZ14" s="246">
        <v>0</v>
      </c>
      <c r="GA14" s="246">
        <v>0</v>
      </c>
      <c r="GB14" s="246">
        <v>0</v>
      </c>
      <c r="GC14" s="246">
        <v>0</v>
      </c>
      <c r="GD14" s="246">
        <v>0</v>
      </c>
      <c r="GE14" s="246">
        <v>0</v>
      </c>
      <c r="GF14" s="246">
        <v>0</v>
      </c>
      <c r="GG14" s="246">
        <v>0</v>
      </c>
      <c r="GH14" s="246">
        <v>0</v>
      </c>
    </row>
    <row r="15" spans="1:194" ht="16" x14ac:dyDescent="0.2">
      <c r="B15" s="132" t="s">
        <v>437</v>
      </c>
      <c r="C15" s="246">
        <v>1</v>
      </c>
      <c r="AR15" s="132" t="s">
        <v>437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G15" s="246">
        <v>0</v>
      </c>
      <c r="BL15" s="132" t="s">
        <v>437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  <c r="EZ15" s="229" t="s">
        <v>412</v>
      </c>
      <c r="FA15" s="246">
        <v>0</v>
      </c>
      <c r="FB15" s="246">
        <v>0</v>
      </c>
      <c r="FC15" s="246">
        <v>0</v>
      </c>
      <c r="FD15" s="246">
        <v>0</v>
      </c>
      <c r="FE15" s="246">
        <v>0</v>
      </c>
      <c r="FF15" s="246">
        <v>0</v>
      </c>
      <c r="FG15" s="246">
        <v>0</v>
      </c>
      <c r="FH15" s="246">
        <v>0</v>
      </c>
      <c r="FI15" s="246">
        <v>0</v>
      </c>
      <c r="FJ15" s="246">
        <v>0</v>
      </c>
      <c r="FK15" s="246">
        <v>0</v>
      </c>
      <c r="FL15" s="246">
        <v>0</v>
      </c>
      <c r="FM15" s="246">
        <v>0</v>
      </c>
      <c r="FN15" s="246">
        <v>0</v>
      </c>
      <c r="FO15" s="246">
        <v>0</v>
      </c>
      <c r="FT15" s="229" t="s">
        <v>412</v>
      </c>
      <c r="FU15" s="246">
        <v>0</v>
      </c>
      <c r="FV15" s="246">
        <v>0</v>
      </c>
      <c r="FW15" s="246">
        <v>0</v>
      </c>
      <c r="FX15" s="246">
        <v>0</v>
      </c>
      <c r="FY15" s="246">
        <v>0</v>
      </c>
      <c r="FZ15" s="246">
        <v>0</v>
      </c>
      <c r="GA15" s="246">
        <v>0</v>
      </c>
      <c r="GB15" s="246">
        <v>0</v>
      </c>
      <c r="GC15" s="246">
        <v>0</v>
      </c>
      <c r="GD15" s="246">
        <v>0</v>
      </c>
      <c r="GE15" s="246">
        <v>0</v>
      </c>
      <c r="GF15" s="246">
        <v>0</v>
      </c>
      <c r="GG15" s="246">
        <v>0</v>
      </c>
      <c r="GH15" s="246">
        <v>0</v>
      </c>
    </row>
    <row r="16" spans="1:194" x14ac:dyDescent="0.2">
      <c r="B16" s="230" t="s">
        <v>430</v>
      </c>
      <c r="C16" s="246">
        <v>1</v>
      </c>
      <c r="AR16" s="230" t="s">
        <v>430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G16" s="246">
        <v>0</v>
      </c>
      <c r="BL16" s="230" t="s">
        <v>430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  <c r="EZ16" s="132" t="s">
        <v>437</v>
      </c>
      <c r="FA16" s="246">
        <v>0</v>
      </c>
      <c r="FB16" s="246">
        <v>0</v>
      </c>
      <c r="FC16" s="246">
        <v>0</v>
      </c>
      <c r="FD16" s="246">
        <v>0</v>
      </c>
      <c r="FE16" s="246">
        <v>0</v>
      </c>
      <c r="FF16" s="246">
        <v>0</v>
      </c>
      <c r="FG16" s="246">
        <v>0</v>
      </c>
      <c r="FH16" s="246">
        <v>0</v>
      </c>
      <c r="FI16" s="246">
        <v>0</v>
      </c>
      <c r="FJ16" s="246">
        <v>0</v>
      </c>
      <c r="FK16" s="246">
        <v>0</v>
      </c>
      <c r="FL16" s="246">
        <v>0</v>
      </c>
      <c r="FM16" s="246">
        <v>0</v>
      </c>
      <c r="FN16" s="246">
        <v>0</v>
      </c>
      <c r="FO16" s="246">
        <v>0</v>
      </c>
      <c r="FT16" s="132" t="s">
        <v>437</v>
      </c>
      <c r="FU16" s="246">
        <v>0</v>
      </c>
      <c r="FV16" s="246">
        <v>0</v>
      </c>
      <c r="FW16" s="246">
        <v>0</v>
      </c>
      <c r="FX16" s="246">
        <v>0</v>
      </c>
      <c r="FY16" s="246">
        <v>0</v>
      </c>
      <c r="FZ16" s="246">
        <v>0</v>
      </c>
      <c r="GA16" s="246">
        <v>0</v>
      </c>
      <c r="GB16" s="246">
        <v>0</v>
      </c>
      <c r="GC16" s="246">
        <v>0</v>
      </c>
      <c r="GD16" s="246">
        <v>0</v>
      </c>
      <c r="GE16" s="246">
        <v>0</v>
      </c>
      <c r="GF16" s="246">
        <v>0</v>
      </c>
      <c r="GG16" s="246">
        <v>0</v>
      </c>
      <c r="GH16" s="246">
        <v>0</v>
      </c>
    </row>
    <row r="17" spans="2:190" ht="16" customHeight="1" x14ac:dyDescent="0.2">
      <c r="B17" s="132" t="s">
        <v>416</v>
      </c>
      <c r="C17" s="246">
        <v>1</v>
      </c>
      <c r="AR17" s="132" t="s">
        <v>416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G17" s="246">
        <v>0</v>
      </c>
      <c r="BL17" s="132" t="s">
        <v>416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  <c r="EZ17" s="230" t="s">
        <v>430</v>
      </c>
      <c r="FA17" s="246">
        <v>0</v>
      </c>
      <c r="FB17" s="246">
        <v>0</v>
      </c>
      <c r="FC17" s="246">
        <v>0</v>
      </c>
      <c r="FD17" s="246">
        <v>0</v>
      </c>
      <c r="FE17" s="246">
        <v>0</v>
      </c>
      <c r="FF17" s="246">
        <v>0</v>
      </c>
      <c r="FG17" s="246">
        <v>0</v>
      </c>
      <c r="FH17" s="246">
        <v>0</v>
      </c>
      <c r="FI17" s="246">
        <v>0</v>
      </c>
      <c r="FJ17" s="246">
        <v>0</v>
      </c>
      <c r="FK17" s="246">
        <v>0</v>
      </c>
      <c r="FL17" s="246">
        <v>0</v>
      </c>
      <c r="FM17" s="246">
        <v>0</v>
      </c>
      <c r="FN17" s="246">
        <v>0</v>
      </c>
      <c r="FO17" s="246">
        <v>0</v>
      </c>
      <c r="FT17" s="230" t="s">
        <v>430</v>
      </c>
      <c r="FU17" s="246">
        <v>0</v>
      </c>
      <c r="FV17" s="246">
        <v>0</v>
      </c>
      <c r="FW17" s="246">
        <v>0</v>
      </c>
      <c r="FX17" s="246">
        <v>0</v>
      </c>
      <c r="FY17" s="246">
        <v>0</v>
      </c>
      <c r="FZ17" s="246">
        <v>0</v>
      </c>
      <c r="GA17" s="246">
        <v>0</v>
      </c>
      <c r="GB17" s="246">
        <v>0</v>
      </c>
      <c r="GC17" s="246">
        <v>0</v>
      </c>
      <c r="GD17" s="246">
        <v>0</v>
      </c>
      <c r="GE17" s="246">
        <v>0</v>
      </c>
      <c r="GF17" s="246">
        <v>0</v>
      </c>
      <c r="GG17" s="246">
        <v>0</v>
      </c>
      <c r="GH17" s="246">
        <v>0</v>
      </c>
    </row>
    <row r="18" spans="2:190" ht="16" customHeight="1" x14ac:dyDescent="0.2">
      <c r="B18" s="229" t="s">
        <v>441</v>
      </c>
      <c r="C18" s="246">
        <v>1</v>
      </c>
      <c r="AR18" s="229" t="s">
        <v>441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G18" s="246">
        <v>0</v>
      </c>
      <c r="BL18" s="229" t="s">
        <v>441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  <c r="EZ18" s="132" t="s">
        <v>416</v>
      </c>
      <c r="FA18" s="246">
        <v>0</v>
      </c>
      <c r="FB18" s="246">
        <v>0</v>
      </c>
      <c r="FC18" s="246">
        <v>0</v>
      </c>
      <c r="FD18" s="246">
        <v>0</v>
      </c>
      <c r="FE18" s="246">
        <v>0</v>
      </c>
      <c r="FF18" s="246">
        <v>0</v>
      </c>
      <c r="FG18" s="246">
        <v>0</v>
      </c>
      <c r="FH18" s="246">
        <v>0</v>
      </c>
      <c r="FI18" s="246">
        <v>0</v>
      </c>
      <c r="FJ18" s="246">
        <v>0</v>
      </c>
      <c r="FK18" s="246">
        <v>0</v>
      </c>
      <c r="FL18" s="246">
        <v>0</v>
      </c>
      <c r="FM18" s="246">
        <v>0</v>
      </c>
      <c r="FN18" s="246">
        <v>0</v>
      </c>
      <c r="FO18" s="246">
        <v>0</v>
      </c>
      <c r="FT18" s="132" t="s">
        <v>416</v>
      </c>
      <c r="FU18" s="246">
        <v>0</v>
      </c>
      <c r="FV18" s="246">
        <v>0</v>
      </c>
      <c r="FW18" s="246">
        <v>0</v>
      </c>
      <c r="FX18" s="246">
        <v>0</v>
      </c>
      <c r="FY18" s="246">
        <v>0</v>
      </c>
      <c r="FZ18" s="246">
        <v>0</v>
      </c>
      <c r="GA18" s="246">
        <v>0</v>
      </c>
      <c r="GB18" s="246">
        <v>0</v>
      </c>
      <c r="GC18" s="246">
        <v>0</v>
      </c>
      <c r="GD18" s="246">
        <v>0</v>
      </c>
      <c r="GE18" s="246">
        <v>0</v>
      </c>
      <c r="GF18" s="246">
        <v>0</v>
      </c>
      <c r="GG18" s="246">
        <v>0</v>
      </c>
      <c r="GH18" s="246">
        <v>0</v>
      </c>
    </row>
    <row r="19" spans="2:190" ht="16" customHeight="1" x14ac:dyDescent="0.2">
      <c r="B19" s="229" t="s">
        <v>436</v>
      </c>
      <c r="C19" s="246">
        <v>1</v>
      </c>
      <c r="AR19" s="229" t="s">
        <v>436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G19" s="246">
        <v>0</v>
      </c>
      <c r="BL19" s="229" t="s">
        <v>436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  <c r="EZ19" s="229" t="s">
        <v>441</v>
      </c>
      <c r="FA19" s="246">
        <v>0</v>
      </c>
      <c r="FB19" s="246">
        <v>0</v>
      </c>
      <c r="FC19" s="246">
        <v>0</v>
      </c>
      <c r="FD19" s="246">
        <v>0</v>
      </c>
      <c r="FE19" s="246">
        <v>0</v>
      </c>
      <c r="FF19" s="246">
        <v>0</v>
      </c>
      <c r="FG19" s="246">
        <v>0</v>
      </c>
      <c r="FH19" s="246">
        <v>0</v>
      </c>
      <c r="FI19" s="246">
        <v>0</v>
      </c>
      <c r="FJ19" s="246">
        <v>0</v>
      </c>
      <c r="FK19" s="246">
        <v>0</v>
      </c>
      <c r="FL19" s="246">
        <v>0</v>
      </c>
      <c r="FM19" s="246">
        <v>0</v>
      </c>
      <c r="FN19" s="246">
        <v>0</v>
      </c>
      <c r="FO19" s="246">
        <v>0</v>
      </c>
      <c r="FT19" s="229" t="s">
        <v>441</v>
      </c>
      <c r="FU19" s="246">
        <v>0</v>
      </c>
      <c r="FV19" s="246">
        <v>0</v>
      </c>
      <c r="FW19" s="246">
        <v>0</v>
      </c>
      <c r="FX19" s="246">
        <v>0</v>
      </c>
      <c r="FY19" s="246">
        <v>0</v>
      </c>
      <c r="FZ19" s="246">
        <v>0</v>
      </c>
      <c r="GA19" s="246">
        <v>0</v>
      </c>
      <c r="GB19" s="246">
        <v>0</v>
      </c>
      <c r="GC19" s="246">
        <v>0</v>
      </c>
      <c r="GD19" s="246">
        <v>0</v>
      </c>
      <c r="GE19" s="246">
        <v>0</v>
      </c>
      <c r="GF19" s="246">
        <v>0</v>
      </c>
      <c r="GG19" s="246">
        <v>0</v>
      </c>
      <c r="GH19" s="246">
        <v>0</v>
      </c>
    </row>
    <row r="20" spans="2:190" ht="16" customHeight="1" x14ac:dyDescent="0.2">
      <c r="B20" s="229" t="s">
        <v>433</v>
      </c>
      <c r="C20" s="246">
        <v>1</v>
      </c>
      <c r="AR20" s="229" t="s">
        <v>433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G20" s="246">
        <v>0</v>
      </c>
      <c r="BL20" s="229" t="s">
        <v>433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  <c r="EZ20" s="229" t="s">
        <v>436</v>
      </c>
      <c r="FA20" s="246">
        <v>0</v>
      </c>
      <c r="FB20" s="246">
        <v>0</v>
      </c>
      <c r="FC20" s="246">
        <v>0</v>
      </c>
      <c r="FD20" s="246">
        <v>0</v>
      </c>
      <c r="FE20" s="246">
        <v>0</v>
      </c>
      <c r="FF20" s="246">
        <v>0</v>
      </c>
      <c r="FG20" s="246">
        <v>0</v>
      </c>
      <c r="FH20" s="246">
        <v>0</v>
      </c>
      <c r="FI20" s="246">
        <v>0</v>
      </c>
      <c r="FJ20" s="246">
        <v>0</v>
      </c>
      <c r="FK20" s="246">
        <v>0</v>
      </c>
      <c r="FL20" s="246">
        <v>0</v>
      </c>
      <c r="FM20" s="246">
        <v>0</v>
      </c>
      <c r="FN20" s="246">
        <v>0</v>
      </c>
      <c r="FO20" s="246">
        <v>0</v>
      </c>
      <c r="FT20" s="229" t="s">
        <v>436</v>
      </c>
      <c r="FU20" s="246">
        <v>0</v>
      </c>
      <c r="FV20" s="246">
        <v>0</v>
      </c>
      <c r="FW20" s="246">
        <v>0</v>
      </c>
      <c r="FX20" s="246">
        <v>0</v>
      </c>
      <c r="FY20" s="246">
        <v>0</v>
      </c>
      <c r="FZ20" s="246">
        <v>0</v>
      </c>
      <c r="GA20" s="246">
        <v>0</v>
      </c>
      <c r="GB20" s="246">
        <v>0</v>
      </c>
      <c r="GC20" s="246">
        <v>0</v>
      </c>
      <c r="GD20" s="246">
        <v>0</v>
      </c>
      <c r="GE20" s="246">
        <v>0</v>
      </c>
      <c r="GF20" s="246">
        <v>0</v>
      </c>
      <c r="GG20" s="246">
        <v>0</v>
      </c>
      <c r="GH20" s="246">
        <v>0</v>
      </c>
    </row>
    <row r="21" spans="2:190" ht="16" x14ac:dyDescent="0.2">
      <c r="B21" s="229" t="s">
        <v>439</v>
      </c>
      <c r="C21" s="246">
        <v>1</v>
      </c>
      <c r="AR21" s="229" t="s">
        <v>439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G21" s="246">
        <v>0</v>
      </c>
      <c r="BL21" s="229" t="s">
        <v>439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  <c r="EZ21" s="229" t="s">
        <v>433</v>
      </c>
      <c r="FA21" s="246">
        <v>0</v>
      </c>
      <c r="FB21" s="246">
        <v>0</v>
      </c>
      <c r="FC21" s="246">
        <v>0</v>
      </c>
      <c r="FD21" s="246">
        <v>0</v>
      </c>
      <c r="FE21" s="246">
        <v>0</v>
      </c>
      <c r="FF21" s="246">
        <v>0</v>
      </c>
      <c r="FG21" s="246">
        <v>0</v>
      </c>
      <c r="FH21" s="246">
        <v>0</v>
      </c>
      <c r="FI21" s="246">
        <v>0</v>
      </c>
      <c r="FJ21" s="246">
        <v>0</v>
      </c>
      <c r="FK21" s="246">
        <v>0</v>
      </c>
      <c r="FL21" s="246">
        <v>0</v>
      </c>
      <c r="FM21" s="246">
        <v>0</v>
      </c>
      <c r="FN21" s="246">
        <v>0</v>
      </c>
      <c r="FO21" s="246">
        <v>0</v>
      </c>
      <c r="FT21" s="229" t="s">
        <v>433</v>
      </c>
      <c r="FU21" s="246">
        <v>0</v>
      </c>
      <c r="FV21" s="246">
        <v>0</v>
      </c>
      <c r="FW21" s="246">
        <v>0</v>
      </c>
      <c r="FX21" s="246">
        <v>0</v>
      </c>
      <c r="FY21" s="246">
        <v>0</v>
      </c>
      <c r="FZ21" s="246">
        <v>0</v>
      </c>
      <c r="GA21" s="246">
        <v>0</v>
      </c>
      <c r="GB21" s="246">
        <v>0</v>
      </c>
      <c r="GC21" s="246">
        <v>0</v>
      </c>
      <c r="GD21" s="246">
        <v>0</v>
      </c>
      <c r="GE21" s="246">
        <v>0</v>
      </c>
      <c r="GF21" s="246">
        <v>0</v>
      </c>
      <c r="GG21" s="246">
        <v>0</v>
      </c>
      <c r="GH21" s="246">
        <v>0</v>
      </c>
    </row>
    <row r="22" spans="2:190" ht="16" x14ac:dyDescent="0.2">
      <c r="B22" s="230" t="s">
        <v>438</v>
      </c>
      <c r="C22" s="246">
        <v>1</v>
      </c>
      <c r="AR22" s="230" t="s">
        <v>438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G22" s="246">
        <v>0</v>
      </c>
      <c r="BL22" s="230" t="s">
        <v>438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  <c r="EZ22" s="229" t="s">
        <v>439</v>
      </c>
      <c r="FA22" s="246">
        <v>0</v>
      </c>
      <c r="FB22" s="246">
        <v>0</v>
      </c>
      <c r="FC22" s="246">
        <v>0</v>
      </c>
      <c r="FD22" s="246">
        <v>0</v>
      </c>
      <c r="FE22" s="246">
        <v>0</v>
      </c>
      <c r="FF22" s="246">
        <v>0</v>
      </c>
      <c r="FG22" s="246">
        <v>0</v>
      </c>
      <c r="FH22" s="246">
        <v>0</v>
      </c>
      <c r="FI22" s="246">
        <v>0</v>
      </c>
      <c r="FJ22" s="246">
        <v>0</v>
      </c>
      <c r="FK22" s="246">
        <v>0</v>
      </c>
      <c r="FL22" s="246">
        <v>0</v>
      </c>
      <c r="FM22" s="246">
        <v>0</v>
      </c>
      <c r="FN22" s="246">
        <v>0</v>
      </c>
      <c r="FO22" s="246">
        <v>0</v>
      </c>
      <c r="FT22" s="229" t="s">
        <v>439</v>
      </c>
      <c r="FU22" s="246">
        <v>0</v>
      </c>
      <c r="FV22" s="246">
        <v>0</v>
      </c>
      <c r="FW22" s="246">
        <v>0</v>
      </c>
      <c r="FX22" s="246">
        <v>0</v>
      </c>
      <c r="FY22" s="246">
        <v>0</v>
      </c>
      <c r="FZ22" s="246">
        <v>0</v>
      </c>
      <c r="GA22" s="246">
        <v>0</v>
      </c>
      <c r="GB22" s="246">
        <v>0</v>
      </c>
      <c r="GC22" s="246">
        <v>0</v>
      </c>
      <c r="GD22" s="246">
        <v>0</v>
      </c>
      <c r="GE22" s="246">
        <v>0</v>
      </c>
      <c r="GF22" s="246">
        <v>0</v>
      </c>
      <c r="GG22" s="246">
        <v>0</v>
      </c>
      <c r="GH22" s="246">
        <v>0</v>
      </c>
    </row>
    <row r="23" spans="2:190" x14ac:dyDescent="0.2">
      <c r="B23" s="230" t="s">
        <v>424</v>
      </c>
      <c r="C23" s="246">
        <v>1</v>
      </c>
      <c r="AR23" s="230" t="s">
        <v>424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G23" s="246">
        <v>0</v>
      </c>
      <c r="BL23" s="230" t="s">
        <v>424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  <c r="EZ23" s="230" t="s">
        <v>438</v>
      </c>
      <c r="FA23" s="246">
        <v>0</v>
      </c>
      <c r="FB23" s="246">
        <v>0</v>
      </c>
      <c r="FC23" s="246">
        <v>0</v>
      </c>
      <c r="FD23" s="246">
        <v>0</v>
      </c>
      <c r="FE23" s="246">
        <v>0</v>
      </c>
      <c r="FF23" s="246">
        <v>0</v>
      </c>
      <c r="FG23" s="246">
        <v>0</v>
      </c>
      <c r="FH23" s="246">
        <v>0</v>
      </c>
      <c r="FI23" s="246">
        <v>0</v>
      </c>
      <c r="FJ23" s="246">
        <v>0</v>
      </c>
      <c r="FK23" s="246">
        <v>0</v>
      </c>
      <c r="FL23" s="246">
        <v>0</v>
      </c>
      <c r="FM23" s="246">
        <v>0</v>
      </c>
      <c r="FN23" s="246">
        <v>0</v>
      </c>
      <c r="FO23" s="246">
        <v>0</v>
      </c>
      <c r="FT23" s="230" t="s">
        <v>438</v>
      </c>
      <c r="FU23" s="246">
        <v>0</v>
      </c>
      <c r="FV23" s="246">
        <v>0</v>
      </c>
      <c r="FW23" s="246">
        <v>0</v>
      </c>
      <c r="FX23" s="246">
        <v>0</v>
      </c>
      <c r="FY23" s="246">
        <v>0</v>
      </c>
      <c r="FZ23" s="246">
        <v>0</v>
      </c>
      <c r="GA23" s="246">
        <v>0</v>
      </c>
      <c r="GB23" s="246">
        <v>0</v>
      </c>
      <c r="GC23" s="246">
        <v>0</v>
      </c>
      <c r="GD23" s="246">
        <v>0</v>
      </c>
      <c r="GE23" s="246">
        <v>0</v>
      </c>
      <c r="GF23" s="246">
        <v>0</v>
      </c>
      <c r="GG23" s="246">
        <v>0</v>
      </c>
      <c r="GH23" s="246">
        <v>0</v>
      </c>
    </row>
    <row r="24" spans="2:190" x14ac:dyDescent="0.2">
      <c r="B24" s="230" t="s">
        <v>456</v>
      </c>
      <c r="C24" s="246">
        <v>1</v>
      </c>
      <c r="AR24" s="230" t="s">
        <v>456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G24" s="246">
        <v>0</v>
      </c>
      <c r="BL24" s="230" t="s">
        <v>456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  <c r="EZ24" s="230" t="s">
        <v>424</v>
      </c>
      <c r="FA24" s="246">
        <v>0</v>
      </c>
      <c r="FB24" s="246">
        <v>0</v>
      </c>
      <c r="FC24" s="246">
        <v>0</v>
      </c>
      <c r="FD24" s="246">
        <v>0</v>
      </c>
      <c r="FE24" s="246">
        <v>0</v>
      </c>
      <c r="FF24" s="246">
        <v>0</v>
      </c>
      <c r="FG24" s="246">
        <v>0</v>
      </c>
      <c r="FH24" s="246">
        <v>0</v>
      </c>
      <c r="FI24" s="246">
        <v>0</v>
      </c>
      <c r="FJ24" s="246">
        <v>0</v>
      </c>
      <c r="FK24" s="246">
        <v>0</v>
      </c>
      <c r="FL24" s="246">
        <v>0</v>
      </c>
      <c r="FM24" s="246">
        <v>0</v>
      </c>
      <c r="FN24" s="246">
        <v>0</v>
      </c>
      <c r="FO24" s="246">
        <v>0</v>
      </c>
      <c r="FT24" s="230" t="s">
        <v>424</v>
      </c>
      <c r="FU24" s="246">
        <v>0</v>
      </c>
      <c r="FV24" s="246">
        <v>0</v>
      </c>
      <c r="FW24" s="246">
        <v>0</v>
      </c>
      <c r="FX24" s="246">
        <v>0</v>
      </c>
      <c r="FY24" s="246">
        <v>0</v>
      </c>
      <c r="FZ24" s="246">
        <v>0</v>
      </c>
      <c r="GA24" s="246">
        <v>0</v>
      </c>
      <c r="GB24" s="246">
        <v>0</v>
      </c>
      <c r="GC24" s="246">
        <v>0</v>
      </c>
      <c r="GD24" s="246">
        <v>0</v>
      </c>
      <c r="GE24" s="246">
        <v>0</v>
      </c>
      <c r="GF24" s="246">
        <v>0</v>
      </c>
      <c r="GG24" s="246">
        <v>0</v>
      </c>
      <c r="GH24" s="246">
        <v>0</v>
      </c>
    </row>
    <row r="25" spans="2:190" x14ac:dyDescent="0.2">
      <c r="B25" s="230" t="s">
        <v>425</v>
      </c>
      <c r="C25" s="246">
        <v>1</v>
      </c>
      <c r="AR25" s="230" t="s">
        <v>425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G25" s="246">
        <v>0</v>
      </c>
      <c r="BL25" s="230" t="s">
        <v>425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  <c r="EZ25" s="230" t="s">
        <v>456</v>
      </c>
      <c r="FA25" s="246">
        <v>0</v>
      </c>
      <c r="FB25" s="246">
        <v>0</v>
      </c>
      <c r="FC25" s="246">
        <v>0</v>
      </c>
      <c r="FD25" s="246">
        <v>0</v>
      </c>
      <c r="FE25" s="246">
        <v>0</v>
      </c>
      <c r="FF25" s="246">
        <v>0</v>
      </c>
      <c r="FG25" s="246">
        <v>0</v>
      </c>
      <c r="FH25" s="246">
        <v>0</v>
      </c>
      <c r="FI25" s="246">
        <v>0</v>
      </c>
      <c r="FJ25" s="246">
        <v>0</v>
      </c>
      <c r="FK25" s="246">
        <v>0</v>
      </c>
      <c r="FL25" s="246">
        <v>0</v>
      </c>
      <c r="FM25" s="246">
        <v>0</v>
      </c>
      <c r="FN25" s="246">
        <v>0</v>
      </c>
      <c r="FO25" s="246">
        <v>0</v>
      </c>
      <c r="FT25" s="230" t="s">
        <v>456</v>
      </c>
      <c r="FU25" s="246">
        <v>0</v>
      </c>
      <c r="FV25" s="246">
        <v>0</v>
      </c>
      <c r="FW25" s="246">
        <v>0</v>
      </c>
      <c r="FX25" s="246">
        <v>0</v>
      </c>
      <c r="FY25" s="246">
        <v>0</v>
      </c>
      <c r="FZ25" s="246">
        <v>0</v>
      </c>
      <c r="GA25" s="246">
        <v>0</v>
      </c>
      <c r="GB25" s="246">
        <v>0</v>
      </c>
      <c r="GC25" s="246">
        <v>0</v>
      </c>
      <c r="GD25" s="246">
        <v>0</v>
      </c>
      <c r="GE25" s="246">
        <v>0</v>
      </c>
      <c r="GF25" s="246">
        <v>0</v>
      </c>
      <c r="GG25" s="246">
        <v>0</v>
      </c>
      <c r="GH25" s="246">
        <v>0</v>
      </c>
    </row>
    <row r="26" spans="2:190" x14ac:dyDescent="0.2">
      <c r="B26" s="230" t="s">
        <v>427</v>
      </c>
      <c r="C26" s="246">
        <v>1</v>
      </c>
      <c r="AR26" s="230" t="s">
        <v>427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G26" s="246">
        <v>0</v>
      </c>
      <c r="BL26" s="230" t="s">
        <v>427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  <c r="EZ26" s="230" t="s">
        <v>425</v>
      </c>
      <c r="FA26" s="246">
        <v>0</v>
      </c>
      <c r="FB26" s="246">
        <v>0</v>
      </c>
      <c r="FC26" s="246">
        <v>0</v>
      </c>
      <c r="FD26" s="246">
        <v>0</v>
      </c>
      <c r="FE26" s="246">
        <v>0</v>
      </c>
      <c r="FF26" s="246">
        <v>0</v>
      </c>
      <c r="FG26" s="246">
        <v>0</v>
      </c>
      <c r="FH26" s="246">
        <v>0</v>
      </c>
      <c r="FI26" s="246">
        <v>0</v>
      </c>
      <c r="FJ26" s="246">
        <v>0</v>
      </c>
      <c r="FK26" s="246">
        <v>0</v>
      </c>
      <c r="FL26" s="246">
        <v>0</v>
      </c>
      <c r="FM26" s="246">
        <v>0</v>
      </c>
      <c r="FN26" s="246">
        <v>0</v>
      </c>
      <c r="FO26" s="246">
        <v>0</v>
      </c>
      <c r="FT26" s="230" t="s">
        <v>425</v>
      </c>
      <c r="FU26" s="246">
        <v>0</v>
      </c>
      <c r="FV26" s="246">
        <v>0</v>
      </c>
      <c r="FW26" s="246">
        <v>0</v>
      </c>
      <c r="FX26" s="246">
        <v>0</v>
      </c>
      <c r="FY26" s="246">
        <v>0</v>
      </c>
      <c r="FZ26" s="246">
        <v>0</v>
      </c>
      <c r="GA26" s="246">
        <v>0</v>
      </c>
      <c r="GB26" s="246">
        <v>0</v>
      </c>
      <c r="GC26" s="246">
        <v>0</v>
      </c>
      <c r="GD26" s="246">
        <v>0</v>
      </c>
      <c r="GE26" s="246">
        <v>0</v>
      </c>
      <c r="GF26" s="246">
        <v>0</v>
      </c>
      <c r="GG26" s="246">
        <v>0</v>
      </c>
      <c r="GH26" s="246">
        <v>0</v>
      </c>
    </row>
    <row r="27" spans="2:190" x14ac:dyDescent="0.2">
      <c r="B27" s="230" t="s">
        <v>426</v>
      </c>
      <c r="C27" s="246">
        <v>1</v>
      </c>
      <c r="AR27" s="230" t="s">
        <v>426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G27" s="246">
        <v>0</v>
      </c>
      <c r="BL27" s="230" t="s">
        <v>426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  <c r="EZ27" s="230" t="s">
        <v>427</v>
      </c>
      <c r="FA27" s="246">
        <v>0</v>
      </c>
      <c r="FB27" s="246">
        <v>0</v>
      </c>
      <c r="FC27" s="246">
        <v>0</v>
      </c>
      <c r="FD27" s="246">
        <v>0</v>
      </c>
      <c r="FE27" s="246">
        <v>0</v>
      </c>
      <c r="FF27" s="246">
        <v>0</v>
      </c>
      <c r="FG27" s="246">
        <v>0</v>
      </c>
      <c r="FH27" s="246">
        <v>0</v>
      </c>
      <c r="FI27" s="246">
        <v>0</v>
      </c>
      <c r="FJ27" s="246">
        <v>0</v>
      </c>
      <c r="FK27" s="246">
        <v>0</v>
      </c>
      <c r="FL27" s="246">
        <v>0</v>
      </c>
      <c r="FM27" s="246">
        <v>0</v>
      </c>
      <c r="FN27" s="246">
        <v>0</v>
      </c>
      <c r="FO27" s="246">
        <v>0</v>
      </c>
      <c r="FT27" s="230" t="s">
        <v>427</v>
      </c>
      <c r="FU27" s="246">
        <v>0</v>
      </c>
      <c r="FV27" s="246">
        <v>0</v>
      </c>
      <c r="FW27" s="246">
        <v>0</v>
      </c>
      <c r="FX27" s="246">
        <v>0</v>
      </c>
      <c r="FY27" s="246">
        <v>0</v>
      </c>
      <c r="FZ27" s="246">
        <v>0</v>
      </c>
      <c r="GA27" s="246">
        <v>0</v>
      </c>
      <c r="GB27" s="246">
        <v>0</v>
      </c>
      <c r="GC27" s="246">
        <v>0</v>
      </c>
      <c r="GD27" s="246">
        <v>0</v>
      </c>
      <c r="GE27" s="246">
        <v>0</v>
      </c>
      <c r="GF27" s="246">
        <v>0</v>
      </c>
      <c r="GG27" s="246">
        <v>0</v>
      </c>
      <c r="GH27" s="246">
        <v>0</v>
      </c>
    </row>
    <row r="28" spans="2:190" ht="16" customHeight="1" x14ac:dyDescent="0.2">
      <c r="B28" s="230" t="s">
        <v>484</v>
      </c>
      <c r="C28" s="246">
        <v>1</v>
      </c>
      <c r="AR28" s="230" t="s">
        <v>484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G28" s="246">
        <v>0</v>
      </c>
      <c r="BL28" s="230" t="s">
        <v>484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  <c r="EZ28" s="230" t="s">
        <v>426</v>
      </c>
      <c r="FA28" s="246">
        <v>0</v>
      </c>
      <c r="FB28" s="246">
        <v>0</v>
      </c>
      <c r="FC28" s="246">
        <v>0</v>
      </c>
      <c r="FD28" s="246">
        <v>0</v>
      </c>
      <c r="FE28" s="246">
        <v>0</v>
      </c>
      <c r="FF28" s="246">
        <v>0</v>
      </c>
      <c r="FG28" s="246">
        <v>0</v>
      </c>
      <c r="FH28" s="246">
        <v>0</v>
      </c>
      <c r="FI28" s="246">
        <v>0</v>
      </c>
      <c r="FJ28" s="246">
        <v>0</v>
      </c>
      <c r="FK28" s="246">
        <v>0</v>
      </c>
      <c r="FL28" s="246">
        <v>0</v>
      </c>
      <c r="FM28" s="246">
        <v>0</v>
      </c>
      <c r="FN28" s="246">
        <v>0</v>
      </c>
      <c r="FO28" s="246">
        <v>0</v>
      </c>
      <c r="FT28" s="230" t="s">
        <v>426</v>
      </c>
      <c r="FU28" s="246">
        <v>0</v>
      </c>
      <c r="FV28" s="246">
        <v>0</v>
      </c>
      <c r="FW28" s="246">
        <v>0</v>
      </c>
      <c r="FX28" s="246">
        <v>0</v>
      </c>
      <c r="FY28" s="246">
        <v>0</v>
      </c>
      <c r="FZ28" s="246">
        <v>0</v>
      </c>
      <c r="GA28" s="246">
        <v>0</v>
      </c>
      <c r="GB28" s="246">
        <v>0</v>
      </c>
      <c r="GC28" s="246">
        <v>0</v>
      </c>
      <c r="GD28" s="246">
        <v>0</v>
      </c>
      <c r="GE28" s="246">
        <v>0</v>
      </c>
      <c r="GF28" s="246">
        <v>0</v>
      </c>
      <c r="GG28" s="246">
        <v>0</v>
      </c>
      <c r="GH28" s="246">
        <v>0</v>
      </c>
    </row>
    <row r="29" spans="2:190" ht="16" customHeight="1" x14ac:dyDescent="0.2">
      <c r="B29" s="244" t="s">
        <v>422</v>
      </c>
      <c r="C29" s="246">
        <v>1</v>
      </c>
      <c r="AR29" s="244" t="s">
        <v>422</v>
      </c>
      <c r="AS29" s="246">
        <v>0</v>
      </c>
      <c r="AT29" s="246">
        <v>0</v>
      </c>
      <c r="AU29" s="246">
        <v>0</v>
      </c>
      <c r="AV29" s="246">
        <v>0</v>
      </c>
      <c r="AW29" s="246">
        <v>0</v>
      </c>
      <c r="AX29" s="246">
        <v>0</v>
      </c>
      <c r="AY29" s="246">
        <v>0</v>
      </c>
      <c r="AZ29" s="246">
        <v>0</v>
      </c>
      <c r="BA29" s="246">
        <v>0</v>
      </c>
      <c r="BB29" s="246">
        <v>0</v>
      </c>
      <c r="BC29" s="246">
        <v>0</v>
      </c>
      <c r="BD29" s="246">
        <v>0</v>
      </c>
      <c r="BE29" s="246">
        <v>0</v>
      </c>
      <c r="BF29" s="246">
        <v>0</v>
      </c>
      <c r="BG29" s="246">
        <v>0</v>
      </c>
      <c r="BL29" s="244" t="s">
        <v>422</v>
      </c>
      <c r="BM29" s="246">
        <v>0</v>
      </c>
      <c r="BN29" s="246">
        <v>0</v>
      </c>
      <c r="BO29" s="246">
        <v>0</v>
      </c>
      <c r="BP29" s="246">
        <v>0</v>
      </c>
      <c r="BQ29" s="246">
        <v>0</v>
      </c>
      <c r="BR29" s="246">
        <v>0</v>
      </c>
      <c r="BS29" s="246">
        <v>0</v>
      </c>
      <c r="BT29" s="246">
        <v>0</v>
      </c>
      <c r="BU29" s="246">
        <v>0</v>
      </c>
      <c r="BV29" s="246">
        <v>0</v>
      </c>
      <c r="BW29" s="246">
        <v>0</v>
      </c>
      <c r="BX29" s="246">
        <v>0</v>
      </c>
      <c r="BY29" s="246">
        <v>0</v>
      </c>
      <c r="BZ29" s="246">
        <v>0</v>
      </c>
      <c r="EZ29" s="230" t="s">
        <v>484</v>
      </c>
      <c r="FA29" s="246">
        <v>0</v>
      </c>
      <c r="FB29" s="246">
        <v>0</v>
      </c>
      <c r="FC29" s="246">
        <v>0</v>
      </c>
      <c r="FD29" s="246">
        <v>0</v>
      </c>
      <c r="FE29" s="246">
        <v>0</v>
      </c>
      <c r="FF29" s="246">
        <v>0</v>
      </c>
      <c r="FG29" s="246">
        <v>0</v>
      </c>
      <c r="FH29" s="246">
        <v>0</v>
      </c>
      <c r="FI29" s="246">
        <v>0</v>
      </c>
      <c r="FJ29" s="246">
        <v>0</v>
      </c>
      <c r="FK29" s="246">
        <v>0</v>
      </c>
      <c r="FL29" s="246">
        <v>0</v>
      </c>
      <c r="FM29" s="246">
        <v>0</v>
      </c>
      <c r="FN29" s="246">
        <v>0</v>
      </c>
      <c r="FO29" s="246">
        <v>0</v>
      </c>
      <c r="FT29" s="230" t="s">
        <v>484</v>
      </c>
      <c r="FU29" s="246">
        <v>0</v>
      </c>
      <c r="FV29" s="246">
        <v>0</v>
      </c>
      <c r="FW29" s="246">
        <v>0</v>
      </c>
      <c r="FX29" s="246">
        <v>0</v>
      </c>
      <c r="FY29" s="246">
        <v>0</v>
      </c>
      <c r="FZ29" s="246">
        <v>0</v>
      </c>
      <c r="GA29" s="246">
        <v>0</v>
      </c>
      <c r="GB29" s="246">
        <v>0</v>
      </c>
      <c r="GC29" s="246">
        <v>0</v>
      </c>
      <c r="GD29" s="246">
        <v>0</v>
      </c>
      <c r="GE29" s="246">
        <v>0</v>
      </c>
      <c r="GF29" s="246">
        <v>0</v>
      </c>
      <c r="GG29" s="246">
        <v>0</v>
      </c>
      <c r="GH29" s="246">
        <v>0</v>
      </c>
    </row>
    <row r="30" spans="2:190" ht="16" x14ac:dyDescent="0.2">
      <c r="B30" s="244"/>
      <c r="C30" s="246"/>
      <c r="AR30" s="244" t="s">
        <v>552</v>
      </c>
      <c r="AS30" s="246"/>
      <c r="AT30" s="246"/>
      <c r="AU30" s="246"/>
      <c r="AV30" s="246"/>
      <c r="AW30" s="246"/>
      <c r="AX30" s="246"/>
      <c r="AY30" s="246"/>
      <c r="AZ30" s="246"/>
      <c r="BA30" s="246"/>
      <c r="BB30" s="246"/>
      <c r="BC30" s="246"/>
      <c r="BD30" s="246"/>
      <c r="BE30" s="246"/>
      <c r="BF30" s="246"/>
      <c r="BG30" s="246"/>
      <c r="BL30" s="244" t="s">
        <v>552</v>
      </c>
      <c r="BM30" s="246"/>
      <c r="BN30" s="246"/>
      <c r="BO30" s="246"/>
      <c r="BP30" s="246"/>
      <c r="BQ30" s="246"/>
      <c r="BR30" s="246"/>
      <c r="BS30" s="246"/>
      <c r="BT30" s="246"/>
      <c r="BU30" s="246"/>
      <c r="BV30" s="246"/>
      <c r="BW30" s="246"/>
      <c r="BX30" s="246"/>
      <c r="BY30" s="246"/>
      <c r="BZ30" s="246"/>
      <c r="EZ30" s="244" t="s">
        <v>422</v>
      </c>
      <c r="FA30" s="246">
        <v>0</v>
      </c>
      <c r="FB30" s="246">
        <v>0</v>
      </c>
      <c r="FC30" s="246">
        <v>0</v>
      </c>
      <c r="FD30" s="246">
        <v>0</v>
      </c>
      <c r="FE30" s="246">
        <v>0</v>
      </c>
      <c r="FF30" s="246">
        <v>0</v>
      </c>
      <c r="FG30" s="246">
        <v>0</v>
      </c>
      <c r="FH30" s="246">
        <v>0</v>
      </c>
      <c r="FI30" s="246">
        <v>0</v>
      </c>
      <c r="FJ30" s="246">
        <v>0</v>
      </c>
      <c r="FK30" s="246">
        <v>0</v>
      </c>
      <c r="FL30" s="246">
        <v>0</v>
      </c>
      <c r="FM30" s="246">
        <v>0</v>
      </c>
      <c r="FN30" s="246">
        <v>0</v>
      </c>
      <c r="FO30" s="246">
        <v>0</v>
      </c>
      <c r="FT30" s="244" t="s">
        <v>422</v>
      </c>
      <c r="FU30" s="246">
        <v>0</v>
      </c>
      <c r="FV30" s="246">
        <v>0</v>
      </c>
      <c r="FW30" s="246">
        <v>0</v>
      </c>
      <c r="FX30" s="246">
        <v>0</v>
      </c>
      <c r="FY30" s="246">
        <v>0</v>
      </c>
      <c r="FZ30" s="246">
        <v>0</v>
      </c>
      <c r="GA30" s="246">
        <v>0</v>
      </c>
      <c r="GB30" s="246">
        <v>0</v>
      </c>
      <c r="GC30" s="246">
        <v>0</v>
      </c>
      <c r="GD30" s="246">
        <v>0</v>
      </c>
      <c r="GE30" s="246">
        <v>0</v>
      </c>
      <c r="GF30" s="246">
        <v>0</v>
      </c>
      <c r="GG30" s="246">
        <v>0</v>
      </c>
      <c r="GH30" s="246">
        <v>0</v>
      </c>
    </row>
    <row r="31" spans="2:190" ht="16" x14ac:dyDescent="0.2">
      <c r="B31" s="230" t="s">
        <v>421</v>
      </c>
      <c r="C31" s="246">
        <v>1</v>
      </c>
      <c r="AR31" s="230" t="s">
        <v>421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G31" s="246">
        <v>0</v>
      </c>
      <c r="BL31" s="230" t="s">
        <v>421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  <c r="EZ31" s="244" t="s">
        <v>552</v>
      </c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T31" s="244" t="s">
        <v>552</v>
      </c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</row>
    <row r="32" spans="2:190" x14ac:dyDescent="0.2">
      <c r="B32" s="132" t="s">
        <v>423</v>
      </c>
      <c r="C32" s="246">
        <v>1</v>
      </c>
      <c r="AR32" s="132" t="s">
        <v>423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G32" s="246">
        <v>0</v>
      </c>
      <c r="BL32" s="132" t="s">
        <v>423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  <c r="EZ32" s="230" t="s">
        <v>421</v>
      </c>
      <c r="FA32" s="246">
        <v>0</v>
      </c>
      <c r="FB32" s="246">
        <v>0</v>
      </c>
      <c r="FC32" s="246">
        <v>0</v>
      </c>
      <c r="FD32" s="246">
        <v>0</v>
      </c>
      <c r="FE32" s="246">
        <v>0</v>
      </c>
      <c r="FF32" s="246">
        <v>0</v>
      </c>
      <c r="FG32" s="246">
        <v>0</v>
      </c>
      <c r="FH32" s="246">
        <v>0</v>
      </c>
      <c r="FI32" s="246">
        <v>0</v>
      </c>
      <c r="FJ32" s="246">
        <v>0</v>
      </c>
      <c r="FK32" s="246">
        <v>0</v>
      </c>
      <c r="FL32" s="246">
        <v>0</v>
      </c>
      <c r="FM32" s="246">
        <v>0</v>
      </c>
      <c r="FN32" s="246">
        <v>0</v>
      </c>
      <c r="FO32" s="246">
        <v>0</v>
      </c>
      <c r="FT32" s="230" t="s">
        <v>421</v>
      </c>
      <c r="FU32" s="246">
        <v>0</v>
      </c>
      <c r="FV32" s="246">
        <v>0</v>
      </c>
      <c r="FW32" s="246">
        <v>0</v>
      </c>
      <c r="FX32" s="246">
        <v>0</v>
      </c>
      <c r="FY32" s="246">
        <v>0</v>
      </c>
      <c r="FZ32" s="246">
        <v>0</v>
      </c>
      <c r="GA32" s="246">
        <v>0</v>
      </c>
      <c r="GB32" s="246">
        <v>0</v>
      </c>
      <c r="GC32" s="246">
        <v>0</v>
      </c>
      <c r="GD32" s="246">
        <v>0</v>
      </c>
      <c r="GE32" s="246">
        <v>0</v>
      </c>
      <c r="GF32" s="246">
        <v>0</v>
      </c>
      <c r="GG32" s="246">
        <v>0</v>
      </c>
      <c r="GH32" s="246">
        <v>0</v>
      </c>
    </row>
    <row r="33" spans="2:190" x14ac:dyDescent="0.2">
      <c r="B33" s="230" t="s">
        <v>419</v>
      </c>
      <c r="C33" s="246">
        <v>1</v>
      </c>
      <c r="AR33" s="230" t="s">
        <v>515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G33" s="246">
        <v>0</v>
      </c>
      <c r="BL33" s="230" t="s">
        <v>515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  <c r="EZ33" s="132" t="s">
        <v>423</v>
      </c>
      <c r="FA33" s="246">
        <v>0</v>
      </c>
      <c r="FB33" s="246">
        <v>0</v>
      </c>
      <c r="FC33" s="246">
        <v>0</v>
      </c>
      <c r="FD33" s="246">
        <v>0</v>
      </c>
      <c r="FE33" s="246">
        <v>0</v>
      </c>
      <c r="FF33" s="246">
        <v>0</v>
      </c>
      <c r="FG33" s="246">
        <v>0</v>
      </c>
      <c r="FH33" s="246">
        <v>0</v>
      </c>
      <c r="FI33" s="246">
        <v>0</v>
      </c>
      <c r="FJ33" s="246">
        <v>0</v>
      </c>
      <c r="FK33" s="246">
        <v>0</v>
      </c>
      <c r="FL33" s="246">
        <v>0</v>
      </c>
      <c r="FM33" s="246">
        <v>0</v>
      </c>
      <c r="FN33" s="246">
        <v>0</v>
      </c>
      <c r="FO33" s="246">
        <v>0</v>
      </c>
      <c r="FT33" s="132" t="s">
        <v>423</v>
      </c>
      <c r="FU33" s="246">
        <v>0</v>
      </c>
      <c r="FV33" s="246">
        <v>0</v>
      </c>
      <c r="FW33" s="246">
        <v>0</v>
      </c>
      <c r="FX33" s="246">
        <v>0</v>
      </c>
      <c r="FY33" s="246">
        <v>0</v>
      </c>
      <c r="FZ33" s="246">
        <v>0</v>
      </c>
      <c r="GA33" s="246">
        <v>0</v>
      </c>
      <c r="GB33" s="246">
        <v>0</v>
      </c>
      <c r="GC33" s="246">
        <v>0</v>
      </c>
      <c r="GD33" s="246">
        <v>0</v>
      </c>
      <c r="GE33" s="246">
        <v>0</v>
      </c>
      <c r="GF33" s="246">
        <v>0</v>
      </c>
      <c r="GG33" s="246">
        <v>0</v>
      </c>
      <c r="GH33" s="246">
        <v>0</v>
      </c>
    </row>
    <row r="34" spans="2:190" x14ac:dyDescent="0.2">
      <c r="B34" s="230" t="s">
        <v>445</v>
      </c>
      <c r="C34" s="246">
        <v>1</v>
      </c>
      <c r="AR34" s="230" t="s">
        <v>517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G34" s="246">
        <v>0</v>
      </c>
      <c r="BL34" s="230" t="s">
        <v>517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  <c r="EZ34" s="230" t="s">
        <v>515</v>
      </c>
      <c r="FA34" s="246">
        <v>0</v>
      </c>
      <c r="FB34" s="246">
        <v>0</v>
      </c>
      <c r="FC34" s="246">
        <v>0</v>
      </c>
      <c r="FD34" s="246">
        <v>0</v>
      </c>
      <c r="FE34" s="246">
        <v>0</v>
      </c>
      <c r="FF34" s="246">
        <v>0</v>
      </c>
      <c r="FG34" s="246">
        <v>0</v>
      </c>
      <c r="FH34" s="246">
        <v>0</v>
      </c>
      <c r="FI34" s="246">
        <v>0</v>
      </c>
      <c r="FJ34" s="246">
        <v>0</v>
      </c>
      <c r="FK34" s="246">
        <v>0</v>
      </c>
      <c r="FL34" s="246">
        <v>0</v>
      </c>
      <c r="FM34" s="246">
        <v>0</v>
      </c>
      <c r="FN34" s="246">
        <v>0</v>
      </c>
      <c r="FO34" s="246">
        <v>0</v>
      </c>
      <c r="FT34" s="230" t="s">
        <v>515</v>
      </c>
      <c r="FU34" s="246">
        <v>0</v>
      </c>
      <c r="FV34" s="246">
        <v>0</v>
      </c>
      <c r="FW34" s="246">
        <v>0</v>
      </c>
      <c r="FX34" s="246">
        <v>0</v>
      </c>
      <c r="FY34" s="246">
        <v>0</v>
      </c>
      <c r="FZ34" s="246">
        <v>0</v>
      </c>
      <c r="GA34" s="246">
        <v>0</v>
      </c>
      <c r="GB34" s="246">
        <v>0</v>
      </c>
      <c r="GC34" s="246">
        <v>0</v>
      </c>
      <c r="GD34" s="246">
        <v>0</v>
      </c>
      <c r="GE34" s="246">
        <v>0</v>
      </c>
      <c r="GF34" s="246">
        <v>0</v>
      </c>
      <c r="GG34" s="246">
        <v>0</v>
      </c>
      <c r="GH34" s="246">
        <v>0</v>
      </c>
    </row>
    <row r="35" spans="2:190" x14ac:dyDescent="0.2">
      <c r="B35" s="230" t="s">
        <v>446</v>
      </c>
      <c r="C35" s="246">
        <v>1</v>
      </c>
      <c r="AR35" s="230" t="s">
        <v>445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G35" s="246">
        <v>0</v>
      </c>
      <c r="BL35" s="230" t="s">
        <v>445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  <c r="EZ35" s="230" t="s">
        <v>517</v>
      </c>
      <c r="FA35" s="246">
        <v>0</v>
      </c>
      <c r="FB35" s="246">
        <v>0</v>
      </c>
      <c r="FC35" s="246">
        <v>0</v>
      </c>
      <c r="FD35" s="246">
        <v>0</v>
      </c>
      <c r="FE35" s="246">
        <v>0</v>
      </c>
      <c r="FF35" s="246">
        <v>0</v>
      </c>
      <c r="FG35" s="246">
        <v>0</v>
      </c>
      <c r="FH35" s="246">
        <v>0</v>
      </c>
      <c r="FI35" s="246">
        <v>0</v>
      </c>
      <c r="FJ35" s="246">
        <v>0</v>
      </c>
      <c r="FK35" s="246">
        <v>0</v>
      </c>
      <c r="FL35" s="246">
        <v>0</v>
      </c>
      <c r="FM35" s="246">
        <v>0</v>
      </c>
      <c r="FN35" s="246">
        <v>0</v>
      </c>
      <c r="FO35" s="246">
        <v>0</v>
      </c>
      <c r="FT35" s="230" t="s">
        <v>517</v>
      </c>
      <c r="FU35" s="246">
        <v>0</v>
      </c>
      <c r="FV35" s="246">
        <v>0</v>
      </c>
      <c r="FW35" s="246">
        <v>0</v>
      </c>
      <c r="FX35" s="246">
        <v>0</v>
      </c>
      <c r="FY35" s="246">
        <v>0</v>
      </c>
      <c r="FZ35" s="246">
        <v>0</v>
      </c>
      <c r="GA35" s="246">
        <v>0</v>
      </c>
      <c r="GB35" s="246">
        <v>0</v>
      </c>
      <c r="GC35" s="246">
        <v>0</v>
      </c>
      <c r="GD35" s="246">
        <v>0</v>
      </c>
      <c r="GE35" s="246">
        <v>0</v>
      </c>
      <c r="GF35" s="246">
        <v>0</v>
      </c>
      <c r="GG35" s="246">
        <v>0</v>
      </c>
      <c r="GH35" s="246">
        <v>0</v>
      </c>
    </row>
    <row r="36" spans="2:190" x14ac:dyDescent="0.2">
      <c r="B36" s="230" t="s">
        <v>447</v>
      </c>
      <c r="C36" s="246">
        <v>1</v>
      </c>
      <c r="AR36" s="230" t="s">
        <v>446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G36" s="246">
        <v>0</v>
      </c>
      <c r="BL36" s="230" t="s">
        <v>446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  <c r="EZ36" s="230" t="s">
        <v>445</v>
      </c>
      <c r="FA36" s="246">
        <v>0</v>
      </c>
      <c r="FB36" s="246">
        <v>0</v>
      </c>
      <c r="FC36" s="246">
        <v>0</v>
      </c>
      <c r="FD36" s="246">
        <v>0</v>
      </c>
      <c r="FE36" s="246">
        <v>0</v>
      </c>
      <c r="FF36" s="246">
        <v>0</v>
      </c>
      <c r="FG36" s="246">
        <v>0</v>
      </c>
      <c r="FH36" s="246">
        <v>0</v>
      </c>
      <c r="FI36" s="246">
        <v>0</v>
      </c>
      <c r="FJ36" s="246">
        <v>0</v>
      </c>
      <c r="FK36" s="246">
        <v>0</v>
      </c>
      <c r="FL36" s="246">
        <v>0</v>
      </c>
      <c r="FM36" s="246">
        <v>0</v>
      </c>
      <c r="FN36" s="246">
        <v>0</v>
      </c>
      <c r="FO36" s="246">
        <v>0</v>
      </c>
      <c r="FT36" s="230" t="s">
        <v>445</v>
      </c>
      <c r="FU36" s="246">
        <v>0</v>
      </c>
      <c r="FV36" s="246">
        <v>0</v>
      </c>
      <c r="FW36" s="246">
        <v>0</v>
      </c>
      <c r="FX36" s="246">
        <v>0</v>
      </c>
      <c r="FY36" s="246">
        <v>0</v>
      </c>
      <c r="FZ36" s="246">
        <v>0</v>
      </c>
      <c r="GA36" s="246">
        <v>0</v>
      </c>
      <c r="GB36" s="246">
        <v>0</v>
      </c>
      <c r="GC36" s="246">
        <v>0</v>
      </c>
      <c r="GD36" s="246">
        <v>0</v>
      </c>
      <c r="GE36" s="246">
        <v>0</v>
      </c>
      <c r="GF36" s="246">
        <v>0</v>
      </c>
      <c r="GG36" s="246">
        <v>0</v>
      </c>
      <c r="GH36" s="246">
        <v>0</v>
      </c>
    </row>
    <row r="37" spans="2:190" x14ac:dyDescent="0.2">
      <c r="B37" s="230" t="s">
        <v>457</v>
      </c>
      <c r="C37" s="246">
        <v>1</v>
      </c>
      <c r="AR37" s="230" t="s">
        <v>447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G37" s="246">
        <v>0</v>
      </c>
      <c r="BL37" s="230" t="s">
        <v>447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  <c r="EZ37" s="230" t="s">
        <v>446</v>
      </c>
      <c r="FA37" s="246">
        <v>0</v>
      </c>
      <c r="FB37" s="246">
        <v>0</v>
      </c>
      <c r="FC37" s="246">
        <v>0</v>
      </c>
      <c r="FD37" s="246">
        <v>0</v>
      </c>
      <c r="FE37" s="246">
        <v>0</v>
      </c>
      <c r="FF37" s="246">
        <v>0</v>
      </c>
      <c r="FG37" s="246">
        <v>0</v>
      </c>
      <c r="FH37" s="246">
        <v>0</v>
      </c>
      <c r="FI37" s="246">
        <v>0</v>
      </c>
      <c r="FJ37" s="246">
        <v>0</v>
      </c>
      <c r="FK37" s="246">
        <v>0</v>
      </c>
      <c r="FL37" s="246">
        <v>0</v>
      </c>
      <c r="FM37" s="246">
        <v>0</v>
      </c>
      <c r="FN37" s="246">
        <v>0</v>
      </c>
      <c r="FO37" s="246">
        <v>0</v>
      </c>
      <c r="FT37" s="230" t="s">
        <v>446</v>
      </c>
      <c r="FU37" s="246">
        <v>0</v>
      </c>
      <c r="FV37" s="246">
        <v>0</v>
      </c>
      <c r="FW37" s="246">
        <v>0</v>
      </c>
      <c r="FX37" s="246">
        <v>0</v>
      </c>
      <c r="FY37" s="246">
        <v>0</v>
      </c>
      <c r="FZ37" s="246">
        <v>0</v>
      </c>
      <c r="GA37" s="246">
        <v>0</v>
      </c>
      <c r="GB37" s="246">
        <v>0</v>
      </c>
      <c r="GC37" s="246">
        <v>0</v>
      </c>
      <c r="GD37" s="246">
        <v>0</v>
      </c>
      <c r="GE37" s="246">
        <v>0</v>
      </c>
      <c r="GF37" s="246">
        <v>0</v>
      </c>
      <c r="GG37" s="246">
        <v>0</v>
      </c>
      <c r="GH37" s="246">
        <v>0</v>
      </c>
    </row>
    <row r="38" spans="2:190" x14ac:dyDescent="0.2">
      <c r="C38" s="52" t="s">
        <v>473</v>
      </c>
      <c r="AR38" s="230" t="s">
        <v>457</v>
      </c>
      <c r="AS38" s="246">
        <v>0</v>
      </c>
      <c r="AT38" s="246">
        <v>0</v>
      </c>
      <c r="AU38" s="246">
        <v>0</v>
      </c>
      <c r="AV38" s="246">
        <v>0</v>
      </c>
      <c r="AW38" s="246">
        <v>0</v>
      </c>
      <c r="AX38" s="246">
        <v>0</v>
      </c>
      <c r="AY38" s="246">
        <v>0</v>
      </c>
      <c r="AZ38" s="246">
        <v>0</v>
      </c>
      <c r="BA38" s="246">
        <v>0</v>
      </c>
      <c r="BB38" s="246">
        <v>0</v>
      </c>
      <c r="BC38" s="246">
        <v>0</v>
      </c>
      <c r="BD38" s="246">
        <v>0</v>
      </c>
      <c r="BE38" s="246">
        <v>0</v>
      </c>
      <c r="BF38" s="246">
        <v>0</v>
      </c>
      <c r="BG38" s="246">
        <v>0</v>
      </c>
      <c r="BL38" s="230" t="s">
        <v>457</v>
      </c>
      <c r="BM38" s="246">
        <v>0</v>
      </c>
      <c r="BN38" s="246">
        <v>0</v>
      </c>
      <c r="BO38" s="246">
        <v>0</v>
      </c>
      <c r="BP38" s="246">
        <v>0</v>
      </c>
      <c r="BQ38" s="246">
        <v>0</v>
      </c>
      <c r="BR38" s="246">
        <v>0</v>
      </c>
      <c r="BS38" s="246">
        <v>0</v>
      </c>
      <c r="BT38" s="246">
        <v>0</v>
      </c>
      <c r="BU38" s="246">
        <v>0</v>
      </c>
      <c r="BV38" s="246">
        <v>0</v>
      </c>
      <c r="BW38" s="246">
        <v>0</v>
      </c>
      <c r="BX38" s="246">
        <v>0</v>
      </c>
      <c r="BY38" s="246">
        <v>0</v>
      </c>
      <c r="BZ38" s="246">
        <v>0</v>
      </c>
      <c r="EZ38" s="230" t="s">
        <v>447</v>
      </c>
      <c r="FA38" s="246">
        <v>0</v>
      </c>
      <c r="FB38" s="246">
        <v>0</v>
      </c>
      <c r="FC38" s="246">
        <v>0</v>
      </c>
      <c r="FD38" s="246">
        <v>0</v>
      </c>
      <c r="FE38" s="246">
        <v>0</v>
      </c>
      <c r="FF38" s="246">
        <v>0</v>
      </c>
      <c r="FG38" s="246">
        <v>0</v>
      </c>
      <c r="FH38" s="246">
        <v>0</v>
      </c>
      <c r="FI38" s="246">
        <v>0</v>
      </c>
      <c r="FJ38" s="246">
        <v>0</v>
      </c>
      <c r="FK38" s="246">
        <v>0</v>
      </c>
      <c r="FL38" s="246">
        <v>0</v>
      </c>
      <c r="FM38" s="246">
        <v>0</v>
      </c>
      <c r="FN38" s="246">
        <v>0</v>
      </c>
      <c r="FO38" s="246">
        <v>0</v>
      </c>
      <c r="FT38" s="230" t="s">
        <v>447</v>
      </c>
      <c r="FU38" s="246">
        <v>0</v>
      </c>
      <c r="FV38" s="246">
        <v>0</v>
      </c>
      <c r="FW38" s="246">
        <v>0</v>
      </c>
      <c r="FX38" s="246">
        <v>0</v>
      </c>
      <c r="FY38" s="246">
        <v>0</v>
      </c>
      <c r="FZ38" s="246">
        <v>0</v>
      </c>
      <c r="GA38" s="246">
        <v>0</v>
      </c>
      <c r="GB38" s="246">
        <v>0</v>
      </c>
      <c r="GC38" s="246">
        <v>0</v>
      </c>
      <c r="GD38" s="246">
        <v>0</v>
      </c>
      <c r="GE38" s="246">
        <v>0</v>
      </c>
      <c r="GF38" s="246">
        <v>0</v>
      </c>
      <c r="GG38" s="246">
        <v>0</v>
      </c>
      <c r="GH38" s="246">
        <v>0</v>
      </c>
    </row>
    <row r="39" spans="2:190" x14ac:dyDescent="0.2">
      <c r="AR39" s="230"/>
      <c r="AS39" s="379" t="s">
        <v>470</v>
      </c>
      <c r="AT39" s="379"/>
      <c r="AU39" s="379"/>
      <c r="AV39" s="379"/>
      <c r="AW39" s="379"/>
      <c r="AX39" s="379"/>
      <c r="AY39" s="379"/>
      <c r="AZ39" s="379"/>
      <c r="BA39" s="379"/>
      <c r="BB39" s="379"/>
      <c r="BC39" s="379"/>
      <c r="BD39" s="379"/>
      <c r="BE39" s="379"/>
      <c r="BF39" s="379"/>
      <c r="BG39" s="379"/>
      <c r="BL39" s="230"/>
      <c r="BM39" s="379" t="s">
        <v>471</v>
      </c>
      <c r="BN39" s="379"/>
      <c r="BO39" s="379"/>
      <c r="BP39" s="379"/>
      <c r="BQ39" s="379"/>
      <c r="BR39" s="379"/>
      <c r="BS39" s="379"/>
      <c r="BT39" s="379"/>
      <c r="BU39" s="379"/>
      <c r="BV39" s="379"/>
      <c r="BW39" s="379"/>
      <c r="BX39" s="379"/>
      <c r="BY39" s="379"/>
      <c r="BZ39" s="379"/>
      <c r="EZ39" s="230" t="s">
        <v>457</v>
      </c>
      <c r="FA39" s="246">
        <v>0</v>
      </c>
      <c r="FB39" s="246">
        <v>0</v>
      </c>
      <c r="FC39" s="246">
        <v>0</v>
      </c>
      <c r="FD39" s="246">
        <v>0</v>
      </c>
      <c r="FE39" s="246">
        <v>0</v>
      </c>
      <c r="FF39" s="246">
        <v>0</v>
      </c>
      <c r="FG39" s="246">
        <v>0</v>
      </c>
      <c r="FH39" s="246">
        <v>0</v>
      </c>
      <c r="FI39" s="246">
        <v>0</v>
      </c>
      <c r="FJ39" s="246">
        <v>0</v>
      </c>
      <c r="FK39" s="246">
        <v>0</v>
      </c>
      <c r="FL39" s="246">
        <v>0</v>
      </c>
      <c r="FM39" s="246">
        <v>0</v>
      </c>
      <c r="FN39" s="246">
        <v>0</v>
      </c>
      <c r="FO39" s="246">
        <v>0</v>
      </c>
      <c r="FT39" s="230" t="s">
        <v>457</v>
      </c>
      <c r="FU39" s="246">
        <v>0</v>
      </c>
      <c r="FV39" s="246">
        <v>0</v>
      </c>
      <c r="FW39" s="246">
        <v>0</v>
      </c>
      <c r="FX39" s="246">
        <v>0</v>
      </c>
      <c r="FY39" s="246">
        <v>0</v>
      </c>
      <c r="FZ39" s="246">
        <v>0</v>
      </c>
      <c r="GA39" s="246">
        <v>0</v>
      </c>
      <c r="GB39" s="246">
        <v>0</v>
      </c>
      <c r="GC39" s="246">
        <v>0</v>
      </c>
      <c r="GD39" s="246">
        <v>0</v>
      </c>
      <c r="GE39" s="246">
        <v>0</v>
      </c>
      <c r="GF39" s="246">
        <v>0</v>
      </c>
      <c r="GG39" s="246">
        <v>0</v>
      </c>
      <c r="GH39" s="246">
        <v>0</v>
      </c>
    </row>
    <row r="40" spans="2:190" x14ac:dyDescent="0.2">
      <c r="AR40" s="230"/>
      <c r="BL40" s="230"/>
      <c r="EZ40" s="230"/>
      <c r="FA40" s="379" t="s">
        <v>470</v>
      </c>
      <c r="FB40" s="379"/>
      <c r="FC40" s="379"/>
      <c r="FD40" s="379"/>
      <c r="FE40" s="379"/>
      <c r="FF40" s="379"/>
      <c r="FG40" s="379"/>
      <c r="FH40" s="379"/>
      <c r="FI40" s="379"/>
      <c r="FJ40" s="379"/>
      <c r="FK40" s="379"/>
      <c r="FL40" s="379"/>
      <c r="FM40" s="379"/>
      <c r="FN40" s="379"/>
      <c r="FO40" s="379"/>
      <c r="FT40" s="230"/>
      <c r="FU40" s="379" t="s">
        <v>471</v>
      </c>
      <c r="FV40" s="379"/>
      <c r="FW40" s="379"/>
      <c r="FX40" s="379"/>
      <c r="FY40" s="379"/>
      <c r="FZ40" s="379"/>
      <c r="GA40" s="379"/>
      <c r="GB40" s="379"/>
      <c r="GC40" s="379"/>
      <c r="GD40" s="379"/>
      <c r="GE40" s="379"/>
      <c r="GF40" s="379"/>
      <c r="GG40" s="379"/>
      <c r="GH40" s="379"/>
    </row>
    <row r="41" spans="2:190" ht="112" customHeight="1" x14ac:dyDescent="0.2">
      <c r="AR41" s="230"/>
      <c r="EZ41" s="230"/>
      <c r="FT41" s="230"/>
    </row>
    <row r="42" spans="2:190" ht="114" x14ac:dyDescent="0.2">
      <c r="AR42" s="245"/>
      <c r="AS42" s="231" t="s">
        <v>325</v>
      </c>
      <c r="AT42" s="231" t="s">
        <v>326</v>
      </c>
      <c r="AU42" s="231" t="s">
        <v>327</v>
      </c>
      <c r="AV42" s="231" t="s">
        <v>455</v>
      </c>
      <c r="AW42" s="231" t="s">
        <v>435</v>
      </c>
      <c r="AX42" s="231" t="s">
        <v>434</v>
      </c>
      <c r="AY42" s="231" t="s">
        <v>351</v>
      </c>
      <c r="AZ42" s="231" t="s">
        <v>348</v>
      </c>
      <c r="BA42" s="231" t="s">
        <v>362</v>
      </c>
      <c r="BB42" s="231" t="s">
        <v>349</v>
      </c>
      <c r="BC42" s="231" t="s">
        <v>344</v>
      </c>
      <c r="BD42" s="231" t="s">
        <v>514</v>
      </c>
      <c r="BE42" s="231" t="s">
        <v>516</v>
      </c>
      <c r="BF42" s="231" t="s">
        <v>76</v>
      </c>
      <c r="BG42" s="231" t="s">
        <v>337</v>
      </c>
      <c r="EZ42" s="230"/>
    </row>
    <row r="43" spans="2:190" ht="114" x14ac:dyDescent="0.2">
      <c r="AR43" s="132" t="s">
        <v>333</v>
      </c>
      <c r="AS43" s="246">
        <f>AS84</f>
        <v>1011.7674660019052</v>
      </c>
      <c r="AT43" s="246">
        <f t="shared" ref="AT43:BG58" si="0">AT84</f>
        <v>0</v>
      </c>
      <c r="AU43" s="246">
        <f t="shared" si="0"/>
        <v>0</v>
      </c>
      <c r="AV43" s="246">
        <f t="shared" si="0"/>
        <v>0</v>
      </c>
      <c r="AW43" s="246">
        <f t="shared" si="0"/>
        <v>0</v>
      </c>
      <c r="AX43" s="246">
        <f t="shared" si="0"/>
        <v>0</v>
      </c>
      <c r="AY43" s="246">
        <f t="shared" si="0"/>
        <v>0</v>
      </c>
      <c r="AZ43" s="246">
        <f t="shared" si="0"/>
        <v>0</v>
      </c>
      <c r="BA43" s="246">
        <f t="shared" si="0"/>
        <v>0</v>
      </c>
      <c r="BB43" s="246">
        <f t="shared" si="0"/>
        <v>0</v>
      </c>
      <c r="BC43" s="246">
        <f t="shared" si="0"/>
        <v>0</v>
      </c>
      <c r="BD43" s="246">
        <f t="shared" si="0"/>
        <v>0</v>
      </c>
      <c r="BE43" s="246">
        <f t="shared" si="0"/>
        <v>0</v>
      </c>
      <c r="BF43" s="246">
        <f t="shared" si="0"/>
        <v>0</v>
      </c>
      <c r="BG43" s="246">
        <f t="shared" si="0"/>
        <v>0</v>
      </c>
      <c r="EZ43" s="245"/>
      <c r="FA43" s="231" t="s">
        <v>325</v>
      </c>
      <c r="FB43" s="231" t="s">
        <v>326</v>
      </c>
      <c r="FC43" s="231" t="s">
        <v>327</v>
      </c>
      <c r="FD43" s="231" t="s">
        <v>455</v>
      </c>
      <c r="FE43" s="231" t="s">
        <v>435</v>
      </c>
      <c r="FF43" s="231" t="s">
        <v>434</v>
      </c>
      <c r="FG43" s="231" t="s">
        <v>351</v>
      </c>
      <c r="FH43" s="231" t="s">
        <v>348</v>
      </c>
      <c r="FI43" s="231" t="s">
        <v>362</v>
      </c>
      <c r="FJ43" s="231" t="s">
        <v>349</v>
      </c>
      <c r="FK43" s="231" t="s">
        <v>344</v>
      </c>
      <c r="FL43" s="231" t="s">
        <v>514</v>
      </c>
      <c r="FM43" s="231" t="s">
        <v>516</v>
      </c>
      <c r="FN43" s="231" t="s">
        <v>76</v>
      </c>
      <c r="FO43" s="231" t="s">
        <v>337</v>
      </c>
    </row>
    <row r="44" spans="2:190" x14ac:dyDescent="0.2">
      <c r="AR44" s="132" t="s">
        <v>335</v>
      </c>
      <c r="AS44" s="246">
        <f t="shared" ref="AS44:BG59" si="1">AS85</f>
        <v>0</v>
      </c>
      <c r="AT44" s="246">
        <f t="shared" si="1"/>
        <v>208.55560337725498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si="1"/>
        <v>0</v>
      </c>
      <c r="BA44" s="246">
        <f t="shared" si="0"/>
        <v>0</v>
      </c>
      <c r="BB44" s="246">
        <f t="shared" si="0"/>
        <v>0</v>
      </c>
      <c r="BC44" s="246">
        <f t="shared" si="0"/>
        <v>0</v>
      </c>
      <c r="BD44" s="246">
        <f t="shared" si="0"/>
        <v>0</v>
      </c>
      <c r="BE44" s="246">
        <f t="shared" si="0"/>
        <v>0</v>
      </c>
      <c r="BF44" s="246">
        <f t="shared" si="0"/>
        <v>0</v>
      </c>
      <c r="BG44" s="246">
        <f t="shared" si="0"/>
        <v>0</v>
      </c>
      <c r="EZ44" s="132" t="s">
        <v>333</v>
      </c>
      <c r="FA44" s="246">
        <v>1011.7674660019052</v>
      </c>
      <c r="FB44" s="246">
        <v>0</v>
      </c>
      <c r="FC44" s="246">
        <v>0</v>
      </c>
      <c r="FD44" s="246">
        <v>0</v>
      </c>
      <c r="FE44" s="246">
        <v>0</v>
      </c>
      <c r="FF44" s="246">
        <v>0</v>
      </c>
      <c r="FG44" s="246">
        <v>0</v>
      </c>
      <c r="FH44" s="246">
        <v>0</v>
      </c>
      <c r="FI44" s="246">
        <v>0</v>
      </c>
      <c r="FJ44" s="246">
        <v>0</v>
      </c>
      <c r="FK44" s="246">
        <v>0</v>
      </c>
      <c r="FL44" s="246">
        <v>0</v>
      </c>
      <c r="FM44" s="246">
        <v>0</v>
      </c>
      <c r="FN44" s="246">
        <v>0</v>
      </c>
      <c r="FO44" s="246">
        <v>0</v>
      </c>
    </row>
    <row r="45" spans="2:190" x14ac:dyDescent="0.2">
      <c r="AR45" s="132" t="s">
        <v>336</v>
      </c>
      <c r="AS45" s="246">
        <f t="shared" si="1"/>
        <v>0</v>
      </c>
      <c r="AT45" s="246">
        <f t="shared" si="1"/>
        <v>0</v>
      </c>
      <c r="AU45" s="246">
        <f t="shared" si="1"/>
        <v>298.6148747230165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si="1"/>
        <v>0</v>
      </c>
      <c r="BA45" s="246">
        <f t="shared" si="0"/>
        <v>0</v>
      </c>
      <c r="BB45" s="246">
        <f t="shared" si="0"/>
        <v>0</v>
      </c>
      <c r="BC45" s="246">
        <f t="shared" si="0"/>
        <v>0</v>
      </c>
      <c r="BD45" s="246">
        <f t="shared" si="0"/>
        <v>0</v>
      </c>
      <c r="BE45" s="246">
        <f t="shared" si="0"/>
        <v>0</v>
      </c>
      <c r="BF45" s="246">
        <f t="shared" si="0"/>
        <v>0</v>
      </c>
      <c r="BG45" s="246">
        <f t="shared" si="0"/>
        <v>0</v>
      </c>
      <c r="EZ45" s="132" t="s">
        <v>335</v>
      </c>
      <c r="FA45" s="246">
        <v>0</v>
      </c>
      <c r="FB45" s="246">
        <v>208.55560337725498</v>
      </c>
      <c r="FC45" s="246">
        <v>0</v>
      </c>
      <c r="FD45" s="246">
        <v>0</v>
      </c>
      <c r="FE45" s="246">
        <v>0</v>
      </c>
      <c r="FF45" s="246">
        <v>0</v>
      </c>
      <c r="FG45" s="246">
        <v>0</v>
      </c>
      <c r="FH45" s="246">
        <v>0</v>
      </c>
      <c r="FI45" s="246">
        <v>0</v>
      </c>
      <c r="FJ45" s="246">
        <v>0</v>
      </c>
      <c r="FK45" s="246">
        <v>0</v>
      </c>
      <c r="FL45" s="246">
        <v>0</v>
      </c>
      <c r="FM45" s="246">
        <v>0</v>
      </c>
      <c r="FN45" s="246">
        <v>0</v>
      </c>
      <c r="FO45" s="246">
        <v>0</v>
      </c>
    </row>
    <row r="46" spans="2:190" x14ac:dyDescent="0.2">
      <c r="AR46" s="132" t="s">
        <v>355</v>
      </c>
      <c r="AS46" s="246">
        <f t="shared" si="1"/>
        <v>30.150427560669065</v>
      </c>
      <c r="AT46" s="246">
        <f t="shared" si="1"/>
        <v>9.0394269236644703E-2</v>
      </c>
      <c r="AU46" s="246">
        <f t="shared" si="1"/>
        <v>7.4647476716394348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si="1"/>
        <v>0</v>
      </c>
      <c r="BA46" s="246">
        <f t="shared" si="0"/>
        <v>0</v>
      </c>
      <c r="BB46" s="246">
        <f t="shared" si="0"/>
        <v>644.2421909044931</v>
      </c>
      <c r="BC46" s="246">
        <f t="shared" si="0"/>
        <v>3494.7460959815226</v>
      </c>
      <c r="BD46" s="246">
        <f t="shared" si="0"/>
        <v>0</v>
      </c>
      <c r="BE46" s="246">
        <f t="shared" si="0"/>
        <v>0</v>
      </c>
      <c r="BF46" s="246">
        <f t="shared" si="0"/>
        <v>0</v>
      </c>
      <c r="BG46" s="246">
        <f t="shared" si="0"/>
        <v>2852.0490535886452</v>
      </c>
      <c r="EZ46" s="132" t="s">
        <v>336</v>
      </c>
      <c r="FA46" s="246">
        <v>0</v>
      </c>
      <c r="FB46" s="246">
        <v>0</v>
      </c>
      <c r="FC46" s="246">
        <v>298.6148747230165</v>
      </c>
      <c r="FD46" s="246">
        <v>0</v>
      </c>
      <c r="FE46" s="246">
        <v>0</v>
      </c>
      <c r="FF46" s="246">
        <v>0</v>
      </c>
      <c r="FG46" s="246">
        <v>0</v>
      </c>
      <c r="FH46" s="246">
        <v>0</v>
      </c>
      <c r="FI46" s="246">
        <v>0</v>
      </c>
      <c r="FJ46" s="246">
        <v>0</v>
      </c>
      <c r="FK46" s="246">
        <v>0</v>
      </c>
      <c r="FL46" s="246">
        <v>0</v>
      </c>
      <c r="FM46" s="246">
        <v>0</v>
      </c>
      <c r="FN46" s="246">
        <v>0</v>
      </c>
      <c r="FO46" s="246">
        <v>0</v>
      </c>
    </row>
    <row r="47" spans="2:190" x14ac:dyDescent="0.2">
      <c r="AR47" s="132" t="s">
        <v>377</v>
      </c>
      <c r="AS47" s="246">
        <f t="shared" si="1"/>
        <v>0</v>
      </c>
      <c r="AT47" s="246">
        <f t="shared" si="1"/>
        <v>0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si="1"/>
        <v>0</v>
      </c>
      <c r="BA47" s="246">
        <f t="shared" si="0"/>
        <v>0</v>
      </c>
      <c r="BB47" s="246">
        <f t="shared" si="0"/>
        <v>37.630021206323519</v>
      </c>
      <c r="BC47" s="246">
        <f t="shared" si="0"/>
        <v>204.127223518021</v>
      </c>
      <c r="BD47" s="246">
        <f t="shared" si="0"/>
        <v>0</v>
      </c>
      <c r="BE47" s="246">
        <f t="shared" si="0"/>
        <v>0</v>
      </c>
      <c r="BF47" s="246">
        <f t="shared" si="0"/>
        <v>0</v>
      </c>
      <c r="BG47" s="246">
        <f t="shared" si="0"/>
        <v>44.927545117863247</v>
      </c>
      <c r="EZ47" s="132" t="s">
        <v>355</v>
      </c>
      <c r="FA47" s="246">
        <v>30.150427560669065</v>
      </c>
      <c r="FB47" s="246">
        <v>9.0394269236644703E-2</v>
      </c>
      <c r="FC47" s="246">
        <v>7.4647476716394348</v>
      </c>
      <c r="FD47" s="246">
        <v>0</v>
      </c>
      <c r="FE47" s="246">
        <v>0</v>
      </c>
      <c r="FF47" s="246">
        <v>0</v>
      </c>
      <c r="FG47" s="246">
        <v>0</v>
      </c>
      <c r="FH47" s="246">
        <v>0</v>
      </c>
      <c r="FI47" s="246">
        <v>0</v>
      </c>
      <c r="FJ47" s="246">
        <v>644.2421909044931</v>
      </c>
      <c r="FK47" s="246">
        <v>3494.7460959815226</v>
      </c>
      <c r="FL47" s="246">
        <v>0</v>
      </c>
      <c r="FM47" s="246">
        <v>0</v>
      </c>
      <c r="FN47" s="246">
        <v>0</v>
      </c>
      <c r="FO47" s="246">
        <v>2852.0490535886452</v>
      </c>
    </row>
    <row r="48" spans="2:190" x14ac:dyDescent="0.2">
      <c r="AR48" s="132" t="s">
        <v>466</v>
      </c>
      <c r="AS48" s="246">
        <f t="shared" si="1"/>
        <v>2.0694989883749622</v>
      </c>
      <c r="AT48" s="246">
        <f t="shared" si="1"/>
        <v>5.671161105764883E-3</v>
      </c>
      <c r="AU48" s="246">
        <f t="shared" si="1"/>
        <v>0.51237375403207552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si="1"/>
        <v>0</v>
      </c>
      <c r="BA48" s="246">
        <f t="shared" si="0"/>
        <v>0</v>
      </c>
      <c r="BB48" s="246">
        <f t="shared" si="0"/>
        <v>0</v>
      </c>
      <c r="BC48" s="246">
        <f t="shared" si="0"/>
        <v>0</v>
      </c>
      <c r="BD48" s="246">
        <f t="shared" si="0"/>
        <v>0</v>
      </c>
      <c r="BE48" s="246">
        <f t="shared" si="0"/>
        <v>0</v>
      </c>
      <c r="BF48" s="246">
        <f t="shared" si="0"/>
        <v>0</v>
      </c>
      <c r="BG48" s="246">
        <f t="shared" si="0"/>
        <v>0</v>
      </c>
      <c r="EZ48" s="132" t="s">
        <v>377</v>
      </c>
      <c r="FA48" s="246">
        <v>0</v>
      </c>
      <c r="FB48" s="246">
        <v>0</v>
      </c>
      <c r="FC48" s="246">
        <v>0</v>
      </c>
      <c r="FD48" s="246">
        <v>0</v>
      </c>
      <c r="FE48" s="246">
        <v>0</v>
      </c>
      <c r="FF48" s="246">
        <v>0</v>
      </c>
      <c r="FG48" s="246">
        <v>0</v>
      </c>
      <c r="FH48" s="246">
        <v>0</v>
      </c>
      <c r="FI48" s="246">
        <v>0</v>
      </c>
      <c r="FJ48" s="246">
        <v>37.630021206323519</v>
      </c>
      <c r="FK48" s="246">
        <v>204.127223518021</v>
      </c>
      <c r="FL48" s="246">
        <v>0</v>
      </c>
      <c r="FM48" s="246">
        <v>0</v>
      </c>
      <c r="FN48" s="246">
        <v>0</v>
      </c>
      <c r="FO48" s="246">
        <v>44.927545117863247</v>
      </c>
    </row>
    <row r="49" spans="44:171" x14ac:dyDescent="0.2">
      <c r="AR49" s="132" t="s">
        <v>467</v>
      </c>
      <c r="AS49" s="246">
        <f t="shared" si="1"/>
        <v>0</v>
      </c>
      <c r="AT49" s="246">
        <f t="shared" si="1"/>
        <v>5.1714158616864253E-4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si="1"/>
        <v>0</v>
      </c>
      <c r="BA49" s="246">
        <f t="shared" si="0"/>
        <v>0</v>
      </c>
      <c r="BB49" s="246">
        <f t="shared" si="0"/>
        <v>0</v>
      </c>
      <c r="BC49" s="246">
        <f t="shared" si="0"/>
        <v>0</v>
      </c>
      <c r="BD49" s="246">
        <f t="shared" si="0"/>
        <v>0</v>
      </c>
      <c r="BE49" s="246">
        <f t="shared" si="0"/>
        <v>0</v>
      </c>
      <c r="BF49" s="246">
        <f t="shared" si="0"/>
        <v>0</v>
      </c>
      <c r="BG49" s="246">
        <f t="shared" si="0"/>
        <v>0</v>
      </c>
      <c r="EZ49" s="132" t="s">
        <v>466</v>
      </c>
      <c r="FA49" s="246">
        <v>2.0694989883749622</v>
      </c>
      <c r="FB49" s="246">
        <v>5.671161105764883E-3</v>
      </c>
      <c r="FC49" s="246">
        <v>0.51237375403207552</v>
      </c>
      <c r="FD49" s="246">
        <v>0</v>
      </c>
      <c r="FE49" s="246">
        <v>0</v>
      </c>
      <c r="FF49" s="246">
        <v>0</v>
      </c>
      <c r="FG49" s="246">
        <v>0</v>
      </c>
      <c r="FH49" s="246">
        <v>0</v>
      </c>
      <c r="FI49" s="246">
        <v>0</v>
      </c>
      <c r="FJ49" s="246">
        <v>0</v>
      </c>
      <c r="FK49" s="246">
        <v>0</v>
      </c>
      <c r="FL49" s="246">
        <v>0</v>
      </c>
      <c r="FM49" s="246">
        <v>0</v>
      </c>
      <c r="FN49" s="246">
        <v>0</v>
      </c>
      <c r="FO49" s="246">
        <v>0</v>
      </c>
    </row>
    <row r="50" spans="44:171" x14ac:dyDescent="0.2">
      <c r="AR50" s="132" t="s">
        <v>411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si="1"/>
        <v>0</v>
      </c>
      <c r="BA50" s="246">
        <f t="shared" si="0"/>
        <v>0</v>
      </c>
      <c r="BB50" s="246">
        <f t="shared" si="0"/>
        <v>0</v>
      </c>
      <c r="BC50" s="246">
        <f t="shared" si="0"/>
        <v>0</v>
      </c>
      <c r="BD50" s="246">
        <f t="shared" si="0"/>
        <v>0</v>
      </c>
      <c r="BE50" s="246">
        <f t="shared" si="0"/>
        <v>0</v>
      </c>
      <c r="BF50" s="246">
        <f t="shared" si="0"/>
        <v>0</v>
      </c>
      <c r="BG50" s="246">
        <f t="shared" si="0"/>
        <v>4.914718171980665</v>
      </c>
      <c r="EZ50" s="132" t="s">
        <v>467</v>
      </c>
      <c r="FA50" s="246">
        <v>0</v>
      </c>
      <c r="FB50" s="246">
        <v>5.1714158616864253E-4</v>
      </c>
      <c r="FC50" s="246">
        <v>0</v>
      </c>
      <c r="FD50" s="246">
        <v>0</v>
      </c>
      <c r="FE50" s="246">
        <v>0</v>
      </c>
      <c r="FF50" s="246">
        <v>0</v>
      </c>
      <c r="FG50" s="246">
        <v>0</v>
      </c>
      <c r="FH50" s="246">
        <v>0</v>
      </c>
      <c r="FI50" s="246">
        <v>0</v>
      </c>
      <c r="FJ50" s="246">
        <v>0</v>
      </c>
      <c r="FK50" s="246">
        <v>0</v>
      </c>
      <c r="FL50" s="246">
        <v>0</v>
      </c>
      <c r="FM50" s="246">
        <v>0</v>
      </c>
      <c r="FN50" s="246">
        <v>0</v>
      </c>
      <c r="FO50" s="246">
        <v>0</v>
      </c>
    </row>
    <row r="51" spans="44:171" ht="16" customHeight="1" x14ac:dyDescent="0.2">
      <c r="AR51" s="132" t="s">
        <v>459</v>
      </c>
      <c r="AS51" s="246">
        <f t="shared" si="1"/>
        <v>0</v>
      </c>
      <c r="AT51" s="246">
        <f t="shared" si="1"/>
        <v>0</v>
      </c>
      <c r="AU51" s="246">
        <f t="shared" si="1"/>
        <v>0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si="1"/>
        <v>0</v>
      </c>
      <c r="BA51" s="246">
        <f t="shared" si="0"/>
        <v>0</v>
      </c>
      <c r="BB51" s="246">
        <f t="shared" si="0"/>
        <v>0</v>
      </c>
      <c r="BC51" s="246">
        <f t="shared" si="0"/>
        <v>0</v>
      </c>
      <c r="BD51" s="246">
        <f t="shared" si="0"/>
        <v>0</v>
      </c>
      <c r="BE51" s="246">
        <f t="shared" si="0"/>
        <v>0</v>
      </c>
      <c r="BF51" s="246">
        <f t="shared" si="0"/>
        <v>0</v>
      </c>
      <c r="BG51" s="246">
        <f t="shared" si="0"/>
        <v>0</v>
      </c>
      <c r="EZ51" s="132" t="s">
        <v>411</v>
      </c>
      <c r="FA51" s="246">
        <v>0</v>
      </c>
      <c r="FB51" s="246">
        <v>0</v>
      </c>
      <c r="FC51" s="246">
        <v>0</v>
      </c>
      <c r="FD51" s="246">
        <v>0</v>
      </c>
      <c r="FE51" s="246">
        <v>0</v>
      </c>
      <c r="FF51" s="246">
        <v>0</v>
      </c>
      <c r="FG51" s="246">
        <v>0</v>
      </c>
      <c r="FH51" s="246">
        <v>0</v>
      </c>
      <c r="FI51" s="246">
        <v>0</v>
      </c>
      <c r="FJ51" s="246">
        <v>0</v>
      </c>
      <c r="FK51" s="246">
        <v>0</v>
      </c>
      <c r="FL51" s="246">
        <v>0</v>
      </c>
      <c r="FM51" s="246">
        <v>0</v>
      </c>
      <c r="FN51" s="246">
        <v>0</v>
      </c>
      <c r="FO51" s="246">
        <v>4.914718171980665</v>
      </c>
    </row>
    <row r="52" spans="44:171" ht="16" x14ac:dyDescent="0.2">
      <c r="AR52" s="229" t="s">
        <v>442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1011.7674660019052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si="1"/>
        <v>0</v>
      </c>
      <c r="BA52" s="246">
        <f t="shared" si="0"/>
        <v>0</v>
      </c>
      <c r="BB52" s="246">
        <f t="shared" si="0"/>
        <v>0</v>
      </c>
      <c r="BC52" s="246">
        <f t="shared" si="0"/>
        <v>0</v>
      </c>
      <c r="BD52" s="246">
        <f t="shared" si="0"/>
        <v>0</v>
      </c>
      <c r="BE52" s="246">
        <f t="shared" si="0"/>
        <v>0</v>
      </c>
      <c r="BF52" s="246">
        <f t="shared" si="0"/>
        <v>0</v>
      </c>
      <c r="BG52" s="246">
        <f t="shared" si="0"/>
        <v>0</v>
      </c>
      <c r="EZ52" s="132" t="s">
        <v>459</v>
      </c>
      <c r="FA52" s="246">
        <v>0</v>
      </c>
      <c r="FB52" s="246">
        <v>0</v>
      </c>
      <c r="FC52" s="246">
        <v>0</v>
      </c>
      <c r="FD52" s="246">
        <v>0</v>
      </c>
      <c r="FE52" s="246">
        <v>0</v>
      </c>
      <c r="FF52" s="246">
        <v>0</v>
      </c>
      <c r="FG52" s="246">
        <v>0</v>
      </c>
      <c r="FH52" s="246">
        <v>0</v>
      </c>
      <c r="FI52" s="246">
        <v>0</v>
      </c>
      <c r="FJ52" s="246">
        <v>0</v>
      </c>
      <c r="FK52" s="246">
        <v>0</v>
      </c>
      <c r="FL52" s="246">
        <v>0</v>
      </c>
      <c r="FM52" s="246">
        <v>0</v>
      </c>
      <c r="FN52" s="246">
        <v>0</v>
      </c>
      <c r="FO52" s="246">
        <v>0</v>
      </c>
    </row>
    <row r="53" spans="44:171" ht="16" customHeight="1" x14ac:dyDescent="0.2">
      <c r="AR53" s="132" t="s">
        <v>409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0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si="1"/>
        <v>0</v>
      </c>
      <c r="BA53" s="246">
        <f t="shared" si="0"/>
        <v>0</v>
      </c>
      <c r="BB53" s="246">
        <f t="shared" si="0"/>
        <v>0</v>
      </c>
      <c r="BC53" s="246">
        <f t="shared" si="0"/>
        <v>0</v>
      </c>
      <c r="BD53" s="246">
        <f t="shared" si="0"/>
        <v>0</v>
      </c>
      <c r="BE53" s="246">
        <f t="shared" si="0"/>
        <v>0</v>
      </c>
      <c r="BF53" s="246">
        <f t="shared" si="0"/>
        <v>0</v>
      </c>
      <c r="BG53" s="246">
        <f t="shared" si="0"/>
        <v>0</v>
      </c>
      <c r="EZ53" s="229" t="s">
        <v>442</v>
      </c>
      <c r="FA53" s="246">
        <v>0</v>
      </c>
      <c r="FB53" s="246">
        <v>0</v>
      </c>
      <c r="FC53" s="246">
        <v>0</v>
      </c>
      <c r="FD53" s="246">
        <v>1011.7674660019052</v>
      </c>
      <c r="FE53" s="246">
        <v>0</v>
      </c>
      <c r="FF53" s="246">
        <v>0</v>
      </c>
      <c r="FG53" s="246">
        <v>0</v>
      </c>
      <c r="FH53" s="246">
        <v>0</v>
      </c>
      <c r="FI53" s="246">
        <v>0</v>
      </c>
      <c r="FJ53" s="246">
        <v>0</v>
      </c>
      <c r="FK53" s="246">
        <v>0</v>
      </c>
      <c r="FL53" s="246">
        <v>0</v>
      </c>
      <c r="FM53" s="246">
        <v>0</v>
      </c>
      <c r="FN53" s="246">
        <v>0</v>
      </c>
      <c r="FO53" s="246">
        <v>0</v>
      </c>
    </row>
    <row r="54" spans="44:171" ht="16" x14ac:dyDescent="0.2">
      <c r="AR54" s="229" t="s">
        <v>412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208.55560337725498</v>
      </c>
      <c r="AX54" s="246">
        <f t="shared" si="1"/>
        <v>0</v>
      </c>
      <c r="AY54" s="246">
        <f t="shared" si="1"/>
        <v>0</v>
      </c>
      <c r="AZ54" s="246">
        <f t="shared" si="1"/>
        <v>0</v>
      </c>
      <c r="BA54" s="246">
        <f t="shared" si="0"/>
        <v>0</v>
      </c>
      <c r="BB54" s="246">
        <f t="shared" si="0"/>
        <v>0</v>
      </c>
      <c r="BC54" s="246">
        <f t="shared" si="0"/>
        <v>0</v>
      </c>
      <c r="BD54" s="246">
        <f t="shared" si="0"/>
        <v>0</v>
      </c>
      <c r="BE54" s="246">
        <f t="shared" si="0"/>
        <v>0</v>
      </c>
      <c r="BF54" s="246">
        <f t="shared" si="0"/>
        <v>0</v>
      </c>
      <c r="BG54" s="246">
        <f t="shared" si="0"/>
        <v>0</v>
      </c>
      <c r="EZ54" s="132" t="s">
        <v>409</v>
      </c>
      <c r="FA54" s="246">
        <v>0</v>
      </c>
      <c r="FB54" s="246">
        <v>0</v>
      </c>
      <c r="FC54" s="246">
        <v>0</v>
      </c>
      <c r="FD54" s="246">
        <v>0</v>
      </c>
      <c r="FE54" s="246">
        <v>0</v>
      </c>
      <c r="FF54" s="246">
        <v>0</v>
      </c>
      <c r="FG54" s="246">
        <v>0</v>
      </c>
      <c r="FH54" s="246">
        <v>0</v>
      </c>
      <c r="FI54" s="246">
        <v>0</v>
      </c>
      <c r="FJ54" s="246">
        <v>0</v>
      </c>
      <c r="FK54" s="246">
        <v>0</v>
      </c>
      <c r="FL54" s="246">
        <v>0</v>
      </c>
      <c r="FM54" s="246">
        <v>0</v>
      </c>
      <c r="FN54" s="246">
        <v>0</v>
      </c>
      <c r="FO54" s="246">
        <v>0</v>
      </c>
    </row>
    <row r="55" spans="44:171" ht="16" x14ac:dyDescent="0.2">
      <c r="AR55" s="132" t="s">
        <v>437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0</v>
      </c>
      <c r="AX55" s="246">
        <f t="shared" si="1"/>
        <v>0</v>
      </c>
      <c r="AY55" s="246">
        <f t="shared" si="1"/>
        <v>0</v>
      </c>
      <c r="AZ55" s="246">
        <f t="shared" si="1"/>
        <v>0</v>
      </c>
      <c r="BA55" s="246">
        <f t="shared" si="0"/>
        <v>0</v>
      </c>
      <c r="BB55" s="246">
        <f t="shared" si="0"/>
        <v>0</v>
      </c>
      <c r="BC55" s="246">
        <f t="shared" si="0"/>
        <v>0</v>
      </c>
      <c r="BD55" s="246">
        <f t="shared" si="0"/>
        <v>0</v>
      </c>
      <c r="BE55" s="246">
        <f t="shared" si="0"/>
        <v>0</v>
      </c>
      <c r="BF55" s="246">
        <f t="shared" si="0"/>
        <v>0</v>
      </c>
      <c r="BG55" s="246">
        <f t="shared" si="0"/>
        <v>0</v>
      </c>
      <c r="EZ55" s="229" t="s">
        <v>412</v>
      </c>
      <c r="FA55" s="246">
        <v>0</v>
      </c>
      <c r="FB55" s="246">
        <v>0</v>
      </c>
      <c r="FC55" s="246">
        <v>0</v>
      </c>
      <c r="FD55" s="246">
        <v>0</v>
      </c>
      <c r="FE55" s="246">
        <v>208.55560337725498</v>
      </c>
      <c r="FF55" s="246">
        <v>0</v>
      </c>
      <c r="FG55" s="246">
        <v>0</v>
      </c>
      <c r="FH55" s="246">
        <v>0</v>
      </c>
      <c r="FI55" s="246">
        <v>0</v>
      </c>
      <c r="FJ55" s="246">
        <v>0</v>
      </c>
      <c r="FK55" s="246">
        <v>0</v>
      </c>
      <c r="FL55" s="246">
        <v>0</v>
      </c>
      <c r="FM55" s="246">
        <v>0</v>
      </c>
      <c r="FN55" s="246">
        <v>0</v>
      </c>
      <c r="FO55" s="246">
        <v>0</v>
      </c>
    </row>
    <row r="56" spans="44:171" x14ac:dyDescent="0.2">
      <c r="AR56" s="230" t="s">
        <v>430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298.6148747230165</v>
      </c>
      <c r="AY56" s="246">
        <f t="shared" si="1"/>
        <v>0</v>
      </c>
      <c r="AZ56" s="246">
        <f t="shared" si="1"/>
        <v>0</v>
      </c>
      <c r="BA56" s="246">
        <f t="shared" si="0"/>
        <v>0</v>
      </c>
      <c r="BB56" s="246">
        <f t="shared" si="0"/>
        <v>0</v>
      </c>
      <c r="BC56" s="246">
        <f t="shared" si="0"/>
        <v>0</v>
      </c>
      <c r="BD56" s="246">
        <f t="shared" si="0"/>
        <v>0</v>
      </c>
      <c r="BE56" s="246">
        <f t="shared" si="0"/>
        <v>0</v>
      </c>
      <c r="BF56" s="246">
        <f t="shared" si="0"/>
        <v>0</v>
      </c>
      <c r="BG56" s="246">
        <f t="shared" si="0"/>
        <v>0</v>
      </c>
      <c r="EZ56" s="132" t="s">
        <v>437</v>
      </c>
      <c r="FA56" s="246">
        <v>0</v>
      </c>
      <c r="FB56" s="246">
        <v>0</v>
      </c>
      <c r="FC56" s="246">
        <v>0</v>
      </c>
      <c r="FD56" s="246">
        <v>0</v>
      </c>
      <c r="FE56" s="246">
        <v>0</v>
      </c>
      <c r="FF56" s="246">
        <v>0</v>
      </c>
      <c r="FG56" s="246">
        <v>0</v>
      </c>
      <c r="FH56" s="246">
        <v>0</v>
      </c>
      <c r="FI56" s="246">
        <v>0</v>
      </c>
      <c r="FJ56" s="246">
        <v>0</v>
      </c>
      <c r="FK56" s="246">
        <v>0</v>
      </c>
      <c r="FL56" s="246">
        <v>0</v>
      </c>
      <c r="FM56" s="246">
        <v>0</v>
      </c>
      <c r="FN56" s="246">
        <v>0</v>
      </c>
      <c r="FO56" s="246">
        <v>0</v>
      </c>
    </row>
    <row r="57" spans="44:171" ht="16" customHeight="1" x14ac:dyDescent="0.2">
      <c r="AR57" s="132" t="s">
        <v>416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0</v>
      </c>
      <c r="AY57" s="246">
        <f t="shared" si="1"/>
        <v>0</v>
      </c>
      <c r="AZ57" s="246">
        <f t="shared" si="1"/>
        <v>0</v>
      </c>
      <c r="BA57" s="246">
        <f t="shared" si="0"/>
        <v>0</v>
      </c>
      <c r="BB57" s="246">
        <f t="shared" si="0"/>
        <v>0</v>
      </c>
      <c r="BC57" s="246">
        <f t="shared" si="0"/>
        <v>0</v>
      </c>
      <c r="BD57" s="246">
        <f t="shared" si="0"/>
        <v>0</v>
      </c>
      <c r="BE57" s="246">
        <f t="shared" si="0"/>
        <v>0</v>
      </c>
      <c r="BF57" s="246">
        <f t="shared" si="0"/>
        <v>0</v>
      </c>
      <c r="BG57" s="246">
        <f t="shared" si="0"/>
        <v>0</v>
      </c>
      <c r="EZ57" s="230" t="s">
        <v>430</v>
      </c>
      <c r="FA57" s="246">
        <v>0</v>
      </c>
      <c r="FB57" s="246">
        <v>0</v>
      </c>
      <c r="FC57" s="246">
        <v>0</v>
      </c>
      <c r="FD57" s="246">
        <v>0</v>
      </c>
      <c r="FE57" s="246">
        <v>0</v>
      </c>
      <c r="FF57" s="246">
        <v>298.6148747230165</v>
      </c>
      <c r="FG57" s="246">
        <v>0</v>
      </c>
      <c r="FH57" s="246">
        <v>0</v>
      </c>
      <c r="FI57" s="246">
        <v>0</v>
      </c>
      <c r="FJ57" s="246">
        <v>0</v>
      </c>
      <c r="FK57" s="246">
        <v>0</v>
      </c>
      <c r="FL57" s="246">
        <v>0</v>
      </c>
      <c r="FM57" s="246">
        <v>0</v>
      </c>
      <c r="FN57" s="246">
        <v>0</v>
      </c>
      <c r="FO57" s="246">
        <v>0</v>
      </c>
    </row>
    <row r="58" spans="44:171" ht="16" customHeight="1" x14ac:dyDescent="0.2">
      <c r="AR58" s="229" t="s">
        <v>441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1011.7674660019052</v>
      </c>
      <c r="AZ58" s="246">
        <f t="shared" si="1"/>
        <v>0</v>
      </c>
      <c r="BA58" s="246">
        <f t="shared" si="0"/>
        <v>0</v>
      </c>
      <c r="BB58" s="246">
        <f t="shared" si="0"/>
        <v>0</v>
      </c>
      <c r="BC58" s="246">
        <f t="shared" si="0"/>
        <v>0</v>
      </c>
      <c r="BD58" s="246">
        <f t="shared" si="0"/>
        <v>0</v>
      </c>
      <c r="BE58" s="246">
        <f t="shared" si="0"/>
        <v>0</v>
      </c>
      <c r="BF58" s="246">
        <f t="shared" si="0"/>
        <v>0</v>
      </c>
      <c r="BG58" s="246">
        <f t="shared" si="0"/>
        <v>0</v>
      </c>
      <c r="EZ58" s="132" t="s">
        <v>416</v>
      </c>
      <c r="FA58" s="246">
        <v>0</v>
      </c>
      <c r="FB58" s="246">
        <v>0</v>
      </c>
      <c r="FC58" s="246">
        <v>0</v>
      </c>
      <c r="FD58" s="246">
        <v>0</v>
      </c>
      <c r="FE58" s="246">
        <v>0</v>
      </c>
      <c r="FF58" s="246">
        <v>0</v>
      </c>
      <c r="FG58" s="246">
        <v>0</v>
      </c>
      <c r="FH58" s="246">
        <v>0</v>
      </c>
      <c r="FI58" s="246">
        <v>0</v>
      </c>
      <c r="FJ58" s="246">
        <v>0</v>
      </c>
      <c r="FK58" s="246">
        <v>0</v>
      </c>
      <c r="FL58" s="246">
        <v>0</v>
      </c>
      <c r="FM58" s="246">
        <v>0</v>
      </c>
      <c r="FN58" s="246">
        <v>0</v>
      </c>
      <c r="FO58" s="246">
        <v>0</v>
      </c>
    </row>
    <row r="59" spans="44:171" ht="16" customHeight="1" x14ac:dyDescent="0.2">
      <c r="AR59" s="229" t="s">
        <v>436</v>
      </c>
      <c r="AS59" s="246">
        <f t="shared" si="1"/>
        <v>0</v>
      </c>
      <c r="AT59" s="246">
        <f t="shared" si="1"/>
        <v>0</v>
      </c>
      <c r="AU59" s="246">
        <f t="shared" si="1"/>
        <v>0</v>
      </c>
      <c r="AV59" s="246">
        <f t="shared" si="1"/>
        <v>0</v>
      </c>
      <c r="AW59" s="246">
        <f t="shared" si="1"/>
        <v>0</v>
      </c>
      <c r="AX59" s="246">
        <f t="shared" si="1"/>
        <v>0</v>
      </c>
      <c r="AY59" s="246">
        <f t="shared" si="1"/>
        <v>0</v>
      </c>
      <c r="AZ59" s="246">
        <f t="shared" si="1"/>
        <v>208.55560337725498</v>
      </c>
      <c r="BA59" s="246">
        <f t="shared" si="1"/>
        <v>0</v>
      </c>
      <c r="BB59" s="246">
        <f t="shared" si="1"/>
        <v>0</v>
      </c>
      <c r="BC59" s="246">
        <f t="shared" si="1"/>
        <v>0</v>
      </c>
      <c r="BD59" s="246">
        <f t="shared" si="1"/>
        <v>0</v>
      </c>
      <c r="BE59" s="246">
        <f t="shared" si="1"/>
        <v>0</v>
      </c>
      <c r="BF59" s="246">
        <f t="shared" si="1"/>
        <v>0</v>
      </c>
      <c r="BG59" s="246">
        <f t="shared" si="1"/>
        <v>0</v>
      </c>
      <c r="EZ59" s="229" t="s">
        <v>441</v>
      </c>
      <c r="FA59" s="246">
        <v>0</v>
      </c>
      <c r="FB59" s="246">
        <v>0</v>
      </c>
      <c r="FC59" s="246">
        <v>0</v>
      </c>
      <c r="FD59" s="246">
        <v>0</v>
      </c>
      <c r="FE59" s="246">
        <v>0</v>
      </c>
      <c r="FF59" s="246">
        <v>0</v>
      </c>
      <c r="FG59" s="246">
        <v>1011.7674660019052</v>
      </c>
      <c r="FH59" s="246">
        <v>0</v>
      </c>
      <c r="FI59" s="246">
        <v>0</v>
      </c>
      <c r="FJ59" s="246">
        <v>0</v>
      </c>
      <c r="FK59" s="246">
        <v>0</v>
      </c>
      <c r="FL59" s="246">
        <v>0</v>
      </c>
      <c r="FM59" s="246">
        <v>0</v>
      </c>
      <c r="FN59" s="246">
        <v>0</v>
      </c>
      <c r="FO59" s="246">
        <v>0</v>
      </c>
    </row>
    <row r="60" spans="44:171" ht="16" customHeight="1" x14ac:dyDescent="0.2">
      <c r="AR60" s="229" t="s">
        <v>433</v>
      </c>
      <c r="AS60" s="246">
        <f t="shared" ref="AS60:BG69" si="2">AS101</f>
        <v>0</v>
      </c>
      <c r="AT60" s="246">
        <f t="shared" si="2"/>
        <v>0</v>
      </c>
      <c r="AU60" s="246">
        <f t="shared" si="2"/>
        <v>0</v>
      </c>
      <c r="AV60" s="246">
        <f t="shared" si="2"/>
        <v>0</v>
      </c>
      <c r="AW60" s="246">
        <f t="shared" si="2"/>
        <v>0</v>
      </c>
      <c r="AX60" s="246">
        <f t="shared" si="2"/>
        <v>0</v>
      </c>
      <c r="AY60" s="246">
        <f t="shared" si="2"/>
        <v>0</v>
      </c>
      <c r="AZ60" s="246">
        <f t="shared" si="2"/>
        <v>0</v>
      </c>
      <c r="BA60" s="246">
        <f t="shared" si="2"/>
        <v>298.6148747230165</v>
      </c>
      <c r="BB60" s="246">
        <f t="shared" si="2"/>
        <v>0</v>
      </c>
      <c r="BC60" s="246">
        <f t="shared" si="2"/>
        <v>0</v>
      </c>
      <c r="BD60" s="246">
        <f t="shared" si="2"/>
        <v>0</v>
      </c>
      <c r="BE60" s="246">
        <f t="shared" si="2"/>
        <v>0</v>
      </c>
      <c r="BF60" s="246">
        <f t="shared" si="2"/>
        <v>0</v>
      </c>
      <c r="BG60" s="246">
        <f t="shared" si="2"/>
        <v>0</v>
      </c>
      <c r="EZ60" s="229" t="s">
        <v>436</v>
      </c>
      <c r="FA60" s="246">
        <v>0</v>
      </c>
      <c r="FB60" s="246">
        <v>0</v>
      </c>
      <c r="FC60" s="246">
        <v>0</v>
      </c>
      <c r="FD60" s="246">
        <v>0</v>
      </c>
      <c r="FE60" s="246">
        <v>0</v>
      </c>
      <c r="FF60" s="246">
        <v>0</v>
      </c>
      <c r="FG60" s="246">
        <v>0</v>
      </c>
      <c r="FH60" s="246">
        <v>208.55560337725498</v>
      </c>
      <c r="FI60" s="246">
        <v>0</v>
      </c>
      <c r="FJ60" s="246">
        <v>0</v>
      </c>
      <c r="FK60" s="246">
        <v>0</v>
      </c>
      <c r="FL60" s="246">
        <v>0</v>
      </c>
      <c r="FM60" s="246">
        <v>0</v>
      </c>
      <c r="FN60" s="246">
        <v>0</v>
      </c>
      <c r="FO60" s="246">
        <v>0</v>
      </c>
    </row>
    <row r="61" spans="44:171" ht="16" x14ac:dyDescent="0.2">
      <c r="AR61" s="229" t="s">
        <v>439</v>
      </c>
      <c r="AS61" s="246">
        <f t="shared" si="2"/>
        <v>0</v>
      </c>
      <c r="AT61" s="246">
        <f t="shared" si="2"/>
        <v>0</v>
      </c>
      <c r="AU61" s="246">
        <f t="shared" si="2"/>
        <v>0</v>
      </c>
      <c r="AV61" s="246">
        <f t="shared" si="2"/>
        <v>0</v>
      </c>
      <c r="AW61" s="246">
        <f t="shared" si="2"/>
        <v>0</v>
      </c>
      <c r="AX61" s="246">
        <f t="shared" si="2"/>
        <v>0</v>
      </c>
      <c r="AY61" s="246">
        <f t="shared" si="2"/>
        <v>0</v>
      </c>
      <c r="AZ61" s="246">
        <f t="shared" si="2"/>
        <v>0</v>
      </c>
      <c r="BA61" s="246">
        <f t="shared" si="2"/>
        <v>0</v>
      </c>
      <c r="BB61" s="246">
        <f t="shared" si="2"/>
        <v>0</v>
      </c>
      <c r="BC61" s="246">
        <f t="shared" si="2"/>
        <v>0</v>
      </c>
      <c r="BD61" s="246">
        <f t="shared" si="2"/>
        <v>0</v>
      </c>
      <c r="BE61" s="246">
        <f t="shared" si="2"/>
        <v>0</v>
      </c>
      <c r="BF61" s="246">
        <f t="shared" si="2"/>
        <v>1000.0000000000001</v>
      </c>
      <c r="BG61" s="246">
        <f t="shared" si="2"/>
        <v>0</v>
      </c>
      <c r="EZ61" s="229" t="s">
        <v>433</v>
      </c>
      <c r="FA61" s="246">
        <v>0</v>
      </c>
      <c r="FB61" s="246">
        <v>0</v>
      </c>
      <c r="FC61" s="246">
        <v>0</v>
      </c>
      <c r="FD61" s="246">
        <v>0</v>
      </c>
      <c r="FE61" s="246">
        <v>0</v>
      </c>
      <c r="FF61" s="246">
        <v>0</v>
      </c>
      <c r="FG61" s="246">
        <v>0</v>
      </c>
      <c r="FH61" s="246">
        <v>0</v>
      </c>
      <c r="FI61" s="246">
        <v>298.6148747230165</v>
      </c>
      <c r="FJ61" s="246">
        <v>0</v>
      </c>
      <c r="FK61" s="246">
        <v>0</v>
      </c>
      <c r="FL61" s="246">
        <v>0</v>
      </c>
      <c r="FM61" s="246">
        <v>0</v>
      </c>
      <c r="FN61" s="246">
        <v>0</v>
      </c>
      <c r="FO61" s="246">
        <v>0</v>
      </c>
    </row>
    <row r="62" spans="44:171" ht="16" x14ac:dyDescent="0.2">
      <c r="AR62" s="230" t="s">
        <v>438</v>
      </c>
      <c r="AS62" s="246">
        <f t="shared" si="2"/>
        <v>0</v>
      </c>
      <c r="AT62" s="246">
        <f t="shared" si="2"/>
        <v>0</v>
      </c>
      <c r="AU62" s="246">
        <f t="shared" si="2"/>
        <v>0</v>
      </c>
      <c r="AV62" s="246">
        <f t="shared" si="2"/>
        <v>0</v>
      </c>
      <c r="AW62" s="246">
        <f t="shared" si="2"/>
        <v>0</v>
      </c>
      <c r="AX62" s="246">
        <f t="shared" si="2"/>
        <v>0</v>
      </c>
      <c r="AY62" s="246">
        <f t="shared" si="2"/>
        <v>0</v>
      </c>
      <c r="AZ62" s="246">
        <f t="shared" si="2"/>
        <v>0</v>
      </c>
      <c r="BA62" s="246">
        <f t="shared" si="2"/>
        <v>0</v>
      </c>
      <c r="BB62" s="246">
        <f t="shared" si="2"/>
        <v>0</v>
      </c>
      <c r="BC62" s="246">
        <f t="shared" si="2"/>
        <v>0</v>
      </c>
      <c r="BD62" s="246">
        <f t="shared" si="2"/>
        <v>0</v>
      </c>
      <c r="BE62" s="246">
        <f t="shared" si="2"/>
        <v>0</v>
      </c>
      <c r="BF62" s="246">
        <f t="shared" si="2"/>
        <v>0</v>
      </c>
      <c r="BG62" s="246">
        <f t="shared" si="2"/>
        <v>0</v>
      </c>
      <c r="EZ62" s="229" t="s">
        <v>439</v>
      </c>
      <c r="FA62" s="246">
        <v>0</v>
      </c>
      <c r="FB62" s="246">
        <v>0</v>
      </c>
      <c r="FC62" s="246">
        <v>0</v>
      </c>
      <c r="FD62" s="246">
        <v>0</v>
      </c>
      <c r="FE62" s="246">
        <v>0</v>
      </c>
      <c r="FF62" s="246">
        <v>0</v>
      </c>
      <c r="FG62" s="246">
        <v>0</v>
      </c>
      <c r="FH62" s="246">
        <v>0</v>
      </c>
      <c r="FI62" s="246">
        <v>0</v>
      </c>
      <c r="FJ62" s="246">
        <v>0</v>
      </c>
      <c r="FK62" s="246">
        <v>0</v>
      </c>
      <c r="FL62" s="246">
        <v>0</v>
      </c>
      <c r="FM62" s="246">
        <v>0</v>
      </c>
      <c r="FN62" s="246">
        <v>1000.0000000000001</v>
      </c>
      <c r="FO62" s="246">
        <v>0</v>
      </c>
    </row>
    <row r="63" spans="44:171" x14ac:dyDescent="0.2">
      <c r="AR63" s="230" t="s">
        <v>424</v>
      </c>
      <c r="AS63" s="246">
        <f t="shared" si="2"/>
        <v>0</v>
      </c>
      <c r="AT63" s="246">
        <f t="shared" si="2"/>
        <v>0</v>
      </c>
      <c r="AU63" s="246">
        <f t="shared" si="2"/>
        <v>0</v>
      </c>
      <c r="AV63" s="246">
        <f t="shared" si="2"/>
        <v>0</v>
      </c>
      <c r="AW63" s="246">
        <f t="shared" si="2"/>
        <v>0</v>
      </c>
      <c r="AX63" s="246">
        <f t="shared" si="2"/>
        <v>0</v>
      </c>
      <c r="AY63" s="246">
        <f t="shared" si="2"/>
        <v>0</v>
      </c>
      <c r="AZ63" s="246">
        <f t="shared" si="2"/>
        <v>0</v>
      </c>
      <c r="BA63" s="246">
        <f t="shared" si="2"/>
        <v>0</v>
      </c>
      <c r="BB63" s="246">
        <f t="shared" si="2"/>
        <v>208.55560337725498</v>
      </c>
      <c r="BC63" s="246">
        <f t="shared" si="2"/>
        <v>0</v>
      </c>
      <c r="BD63" s="246">
        <f t="shared" si="2"/>
        <v>0</v>
      </c>
      <c r="BE63" s="246">
        <f t="shared" si="2"/>
        <v>0</v>
      </c>
      <c r="BF63" s="246">
        <f t="shared" si="2"/>
        <v>0</v>
      </c>
      <c r="BG63" s="246">
        <f t="shared" si="2"/>
        <v>0</v>
      </c>
      <c r="EZ63" s="230" t="s">
        <v>438</v>
      </c>
      <c r="FA63" s="246">
        <v>0</v>
      </c>
      <c r="FB63" s="246">
        <v>0</v>
      </c>
      <c r="FC63" s="246">
        <v>0</v>
      </c>
      <c r="FD63" s="246">
        <v>0</v>
      </c>
      <c r="FE63" s="246">
        <v>0</v>
      </c>
      <c r="FF63" s="246">
        <v>0</v>
      </c>
      <c r="FG63" s="246">
        <v>0</v>
      </c>
      <c r="FH63" s="246">
        <v>0</v>
      </c>
      <c r="FI63" s="246">
        <v>0</v>
      </c>
      <c r="FJ63" s="246">
        <v>0</v>
      </c>
      <c r="FK63" s="246">
        <v>0</v>
      </c>
      <c r="FL63" s="246">
        <v>0</v>
      </c>
      <c r="FM63" s="246">
        <v>0</v>
      </c>
      <c r="FN63" s="246">
        <v>0</v>
      </c>
      <c r="FO63" s="246">
        <v>0</v>
      </c>
    </row>
    <row r="64" spans="44:171" x14ac:dyDescent="0.2">
      <c r="AR64" s="230" t="s">
        <v>456</v>
      </c>
      <c r="AS64" s="246">
        <f t="shared" si="2"/>
        <v>0</v>
      </c>
      <c r="AT64" s="246">
        <f t="shared" si="2"/>
        <v>0</v>
      </c>
      <c r="AU64" s="246">
        <f t="shared" si="2"/>
        <v>0</v>
      </c>
      <c r="AV64" s="246">
        <f t="shared" si="2"/>
        <v>0</v>
      </c>
      <c r="AW64" s="246">
        <f t="shared" si="2"/>
        <v>0</v>
      </c>
      <c r="AX64" s="246">
        <f t="shared" si="2"/>
        <v>0</v>
      </c>
      <c r="AY64" s="246">
        <f t="shared" si="2"/>
        <v>0</v>
      </c>
      <c r="AZ64" s="246">
        <f t="shared" si="2"/>
        <v>0</v>
      </c>
      <c r="BA64" s="246">
        <f t="shared" si="2"/>
        <v>0</v>
      </c>
      <c r="BB64" s="246">
        <f t="shared" si="2"/>
        <v>0</v>
      </c>
      <c r="BC64" s="246">
        <f t="shared" si="2"/>
        <v>298.6148747230165</v>
      </c>
      <c r="BD64" s="246">
        <f t="shared" si="2"/>
        <v>0</v>
      </c>
      <c r="BE64" s="246">
        <f t="shared" si="2"/>
        <v>0</v>
      </c>
      <c r="BF64" s="246">
        <f t="shared" si="2"/>
        <v>0</v>
      </c>
      <c r="BG64" s="246">
        <f t="shared" si="2"/>
        <v>0</v>
      </c>
      <c r="EZ64" s="230" t="s">
        <v>424</v>
      </c>
      <c r="FA64" s="246">
        <v>0</v>
      </c>
      <c r="FB64" s="246">
        <v>0</v>
      </c>
      <c r="FC64" s="246">
        <v>0</v>
      </c>
      <c r="FD64" s="246">
        <v>0</v>
      </c>
      <c r="FE64" s="246">
        <v>0</v>
      </c>
      <c r="FF64" s="246">
        <v>0</v>
      </c>
      <c r="FG64" s="246">
        <v>0</v>
      </c>
      <c r="FH64" s="246">
        <v>0</v>
      </c>
      <c r="FI64" s="246">
        <v>0</v>
      </c>
      <c r="FJ64" s="246">
        <v>208.55560337725498</v>
      </c>
      <c r="FK64" s="246">
        <v>0</v>
      </c>
      <c r="FL64" s="246">
        <v>0</v>
      </c>
      <c r="FM64" s="246">
        <v>0</v>
      </c>
      <c r="FN64" s="246">
        <v>0</v>
      </c>
      <c r="FO64" s="246">
        <v>0</v>
      </c>
    </row>
    <row r="65" spans="44:171" x14ac:dyDescent="0.2">
      <c r="AR65" s="230" t="s">
        <v>425</v>
      </c>
      <c r="AS65" s="246">
        <f t="shared" si="2"/>
        <v>0</v>
      </c>
      <c r="AT65" s="246">
        <f t="shared" si="2"/>
        <v>0</v>
      </c>
      <c r="AU65" s="246">
        <f t="shared" si="2"/>
        <v>0</v>
      </c>
      <c r="AV65" s="246">
        <f t="shared" si="2"/>
        <v>0</v>
      </c>
      <c r="AW65" s="246">
        <f t="shared" si="2"/>
        <v>0</v>
      </c>
      <c r="AX65" s="246">
        <f t="shared" si="2"/>
        <v>0</v>
      </c>
      <c r="AY65" s="246">
        <f t="shared" si="2"/>
        <v>0</v>
      </c>
      <c r="AZ65" s="246">
        <f t="shared" si="2"/>
        <v>0</v>
      </c>
      <c r="BA65" s="246">
        <f t="shared" si="2"/>
        <v>0</v>
      </c>
      <c r="BB65" s="246">
        <f t="shared" si="2"/>
        <v>0</v>
      </c>
      <c r="BC65" s="246">
        <f t="shared" si="2"/>
        <v>0</v>
      </c>
      <c r="BD65" s="246">
        <f t="shared" si="2"/>
        <v>0</v>
      </c>
      <c r="BE65" s="246">
        <f t="shared" si="2"/>
        <v>0</v>
      </c>
      <c r="BF65" s="246">
        <f t="shared" si="2"/>
        <v>111.00813284002646</v>
      </c>
      <c r="BG65" s="246">
        <f t="shared" si="2"/>
        <v>0</v>
      </c>
      <c r="EZ65" s="230" t="s">
        <v>456</v>
      </c>
      <c r="FA65" s="246">
        <v>0</v>
      </c>
      <c r="FB65" s="246">
        <v>0</v>
      </c>
      <c r="FC65" s="246">
        <v>0</v>
      </c>
      <c r="FD65" s="246">
        <v>0</v>
      </c>
      <c r="FE65" s="246">
        <v>0</v>
      </c>
      <c r="FF65" s="246">
        <v>0</v>
      </c>
      <c r="FG65" s="246">
        <v>0</v>
      </c>
      <c r="FH65" s="246">
        <v>0</v>
      </c>
      <c r="FI65" s="246">
        <v>0</v>
      </c>
      <c r="FJ65" s="246">
        <v>0</v>
      </c>
      <c r="FK65" s="246">
        <v>298.6148747230165</v>
      </c>
      <c r="FL65" s="246">
        <v>0</v>
      </c>
      <c r="FM65" s="246">
        <v>0</v>
      </c>
      <c r="FN65" s="246">
        <v>0</v>
      </c>
      <c r="FO65" s="246">
        <v>0</v>
      </c>
    </row>
    <row r="66" spans="44:171" x14ac:dyDescent="0.2">
      <c r="AR66" s="230" t="s">
        <v>427</v>
      </c>
      <c r="AS66" s="246">
        <f t="shared" si="2"/>
        <v>0</v>
      </c>
      <c r="AT66" s="246">
        <f t="shared" si="2"/>
        <v>0</v>
      </c>
      <c r="AU66" s="246">
        <f t="shared" si="2"/>
        <v>0</v>
      </c>
      <c r="AV66" s="246">
        <f t="shared" si="2"/>
        <v>0</v>
      </c>
      <c r="AW66" s="246">
        <f t="shared" si="2"/>
        <v>0</v>
      </c>
      <c r="AX66" s="246">
        <f t="shared" si="2"/>
        <v>0</v>
      </c>
      <c r="AY66" s="246">
        <f t="shared" si="2"/>
        <v>0</v>
      </c>
      <c r="AZ66" s="246">
        <f t="shared" si="2"/>
        <v>0</v>
      </c>
      <c r="BA66" s="246">
        <f t="shared" si="2"/>
        <v>0</v>
      </c>
      <c r="BB66" s="246">
        <f t="shared" si="2"/>
        <v>0</v>
      </c>
      <c r="BC66" s="246">
        <f t="shared" si="2"/>
        <v>0</v>
      </c>
      <c r="BD66" s="246">
        <f t="shared" si="2"/>
        <v>0</v>
      </c>
      <c r="BE66" s="246">
        <f t="shared" si="2"/>
        <v>0</v>
      </c>
      <c r="BF66" s="246">
        <f t="shared" si="2"/>
        <v>0</v>
      </c>
      <c r="BG66" s="246">
        <f t="shared" si="2"/>
        <v>0</v>
      </c>
      <c r="EZ66" s="230" t="s">
        <v>425</v>
      </c>
      <c r="FA66" s="246">
        <v>0</v>
      </c>
      <c r="FB66" s="246">
        <v>0</v>
      </c>
      <c r="FC66" s="246">
        <v>0</v>
      </c>
      <c r="FD66" s="246">
        <v>0</v>
      </c>
      <c r="FE66" s="246">
        <v>0</v>
      </c>
      <c r="FF66" s="246">
        <v>0</v>
      </c>
      <c r="FG66" s="246">
        <v>0</v>
      </c>
      <c r="FH66" s="246">
        <v>0</v>
      </c>
      <c r="FI66" s="246">
        <v>0</v>
      </c>
      <c r="FJ66" s="246">
        <v>0</v>
      </c>
      <c r="FK66" s="246">
        <v>0</v>
      </c>
      <c r="FL66" s="246">
        <v>0</v>
      </c>
      <c r="FM66" s="246">
        <v>0</v>
      </c>
      <c r="FN66" s="246">
        <v>111.00813284002646</v>
      </c>
      <c r="FO66" s="246">
        <v>0</v>
      </c>
    </row>
    <row r="67" spans="44:171" x14ac:dyDescent="0.2">
      <c r="AR67" s="230" t="s">
        <v>426</v>
      </c>
      <c r="AS67" s="246">
        <f t="shared" si="2"/>
        <v>0</v>
      </c>
      <c r="AT67" s="246">
        <f t="shared" si="2"/>
        <v>0</v>
      </c>
      <c r="AU67" s="246">
        <f t="shared" si="2"/>
        <v>0</v>
      </c>
      <c r="AV67" s="246">
        <f t="shared" si="2"/>
        <v>0</v>
      </c>
      <c r="AW67" s="246">
        <f t="shared" si="2"/>
        <v>0</v>
      </c>
      <c r="AX67" s="246">
        <f t="shared" si="2"/>
        <v>0</v>
      </c>
      <c r="AY67" s="246">
        <f t="shared" si="2"/>
        <v>0</v>
      </c>
      <c r="AZ67" s="246">
        <f t="shared" si="2"/>
        <v>0</v>
      </c>
      <c r="BA67" s="246">
        <f t="shared" si="2"/>
        <v>0</v>
      </c>
      <c r="BB67" s="246">
        <f t="shared" si="2"/>
        <v>0</v>
      </c>
      <c r="BC67" s="246">
        <f t="shared" si="2"/>
        <v>0</v>
      </c>
      <c r="BD67" s="246">
        <f t="shared" si="2"/>
        <v>0</v>
      </c>
      <c r="BE67" s="246">
        <f t="shared" si="2"/>
        <v>0</v>
      </c>
      <c r="BF67" s="246">
        <f t="shared" si="2"/>
        <v>0</v>
      </c>
      <c r="BG67" s="246">
        <f t="shared" si="2"/>
        <v>0</v>
      </c>
      <c r="EZ67" s="230" t="s">
        <v>427</v>
      </c>
      <c r="FA67" s="246">
        <v>0</v>
      </c>
      <c r="FB67" s="246">
        <v>0</v>
      </c>
      <c r="FC67" s="246">
        <v>0</v>
      </c>
      <c r="FD67" s="246">
        <v>0</v>
      </c>
      <c r="FE67" s="246">
        <v>0</v>
      </c>
      <c r="FF67" s="246">
        <v>0</v>
      </c>
      <c r="FG67" s="246">
        <v>0</v>
      </c>
      <c r="FH67" s="246">
        <v>0</v>
      </c>
      <c r="FI67" s="246">
        <v>0</v>
      </c>
      <c r="FJ67" s="246">
        <v>0</v>
      </c>
      <c r="FK67" s="246">
        <v>0</v>
      </c>
      <c r="FL67" s="246">
        <v>0</v>
      </c>
      <c r="FM67" s="246">
        <v>0</v>
      </c>
      <c r="FN67" s="246">
        <v>0</v>
      </c>
      <c r="FO67" s="246">
        <v>0</v>
      </c>
    </row>
    <row r="68" spans="44:171" ht="16" customHeight="1" x14ac:dyDescent="0.2">
      <c r="AR68" s="230" t="s">
        <v>484</v>
      </c>
      <c r="AS68" s="246">
        <f t="shared" si="2"/>
        <v>0</v>
      </c>
      <c r="AT68" s="246">
        <f t="shared" si="2"/>
        <v>0</v>
      </c>
      <c r="AU68" s="246">
        <f t="shared" si="2"/>
        <v>0</v>
      </c>
      <c r="AV68" s="246">
        <f t="shared" si="2"/>
        <v>0</v>
      </c>
      <c r="AW68" s="246">
        <f t="shared" si="2"/>
        <v>0</v>
      </c>
      <c r="AX68" s="246">
        <f t="shared" si="2"/>
        <v>0</v>
      </c>
      <c r="AY68" s="246">
        <f t="shared" si="2"/>
        <v>0</v>
      </c>
      <c r="AZ68" s="246">
        <f t="shared" si="2"/>
        <v>0</v>
      </c>
      <c r="BA68" s="246">
        <f t="shared" si="2"/>
        <v>0</v>
      </c>
      <c r="BB68" s="246">
        <f t="shared" si="2"/>
        <v>0</v>
      </c>
      <c r="BC68" s="246">
        <f t="shared" si="2"/>
        <v>0</v>
      </c>
      <c r="BD68" s="246">
        <f t="shared" si="2"/>
        <v>0</v>
      </c>
      <c r="BE68" s="246">
        <f t="shared" si="2"/>
        <v>0</v>
      </c>
      <c r="BF68" s="246">
        <f t="shared" si="2"/>
        <v>203.27980063725872</v>
      </c>
      <c r="BG68" s="246">
        <f t="shared" si="2"/>
        <v>0</v>
      </c>
      <c r="EZ68" s="230" t="s">
        <v>426</v>
      </c>
      <c r="FA68" s="246">
        <v>0</v>
      </c>
      <c r="FB68" s="246">
        <v>0</v>
      </c>
      <c r="FC68" s="246">
        <v>0</v>
      </c>
      <c r="FD68" s="246">
        <v>0</v>
      </c>
      <c r="FE68" s="246">
        <v>0</v>
      </c>
      <c r="FF68" s="246">
        <v>0</v>
      </c>
      <c r="FG68" s="246">
        <v>0</v>
      </c>
      <c r="FH68" s="246">
        <v>0</v>
      </c>
      <c r="FI68" s="246">
        <v>0</v>
      </c>
      <c r="FJ68" s="246">
        <v>0</v>
      </c>
      <c r="FK68" s="246">
        <v>0</v>
      </c>
      <c r="FL68" s="246">
        <v>0</v>
      </c>
      <c r="FM68" s="246">
        <v>0</v>
      </c>
      <c r="FN68" s="246">
        <v>0</v>
      </c>
      <c r="FO68" s="246">
        <v>0</v>
      </c>
    </row>
    <row r="69" spans="44:171" ht="16" customHeight="1" x14ac:dyDescent="0.2">
      <c r="AR69" s="244" t="s">
        <v>422</v>
      </c>
      <c r="AS69" s="246">
        <f t="shared" si="2"/>
        <v>0</v>
      </c>
      <c r="AT69" s="246">
        <f t="shared" si="2"/>
        <v>0</v>
      </c>
      <c r="AU69" s="246">
        <f t="shared" si="2"/>
        <v>0</v>
      </c>
      <c r="AV69" s="246">
        <f t="shared" si="2"/>
        <v>0</v>
      </c>
      <c r="AW69" s="246">
        <f t="shared" si="2"/>
        <v>0</v>
      </c>
      <c r="AX69" s="246">
        <f t="shared" si="2"/>
        <v>0</v>
      </c>
      <c r="AY69" s="246">
        <f t="shared" si="2"/>
        <v>0</v>
      </c>
      <c r="AZ69" s="246">
        <f t="shared" si="2"/>
        <v>0</v>
      </c>
      <c r="BA69" s="246">
        <f t="shared" si="2"/>
        <v>0</v>
      </c>
      <c r="BB69" s="246">
        <f t="shared" si="2"/>
        <v>0</v>
      </c>
      <c r="BC69" s="246">
        <f t="shared" si="2"/>
        <v>0</v>
      </c>
      <c r="BD69" s="246">
        <f t="shared" si="2"/>
        <v>46.0998047134687</v>
      </c>
      <c r="BE69" s="246">
        <f t="shared" si="2"/>
        <v>0</v>
      </c>
      <c r="BF69" s="246">
        <f t="shared" si="2"/>
        <v>0</v>
      </c>
      <c r="BG69" s="246">
        <f t="shared" si="2"/>
        <v>0</v>
      </c>
      <c r="EZ69" s="230" t="s">
        <v>484</v>
      </c>
      <c r="FA69" s="246">
        <v>0</v>
      </c>
      <c r="FB69" s="246">
        <v>0</v>
      </c>
      <c r="FC69" s="246">
        <v>0</v>
      </c>
      <c r="FD69" s="246">
        <v>0</v>
      </c>
      <c r="FE69" s="246">
        <v>0</v>
      </c>
      <c r="FF69" s="246">
        <v>0</v>
      </c>
      <c r="FG69" s="246">
        <v>0</v>
      </c>
      <c r="FH69" s="246">
        <v>0</v>
      </c>
      <c r="FI69" s="246">
        <v>0</v>
      </c>
      <c r="FJ69" s="246">
        <v>0</v>
      </c>
      <c r="FK69" s="246">
        <v>0</v>
      </c>
      <c r="FL69" s="246">
        <v>0</v>
      </c>
      <c r="FM69" s="246">
        <v>0</v>
      </c>
      <c r="FN69" s="246">
        <v>203.27980063725872</v>
      </c>
      <c r="FO69" s="246">
        <v>0</v>
      </c>
    </row>
    <row r="70" spans="44:171" ht="16" x14ac:dyDescent="0.2">
      <c r="AR70" s="244" t="s">
        <v>552</v>
      </c>
      <c r="AS70" s="246"/>
      <c r="AT70" s="246"/>
      <c r="AU70" s="246"/>
      <c r="AV70" s="246"/>
      <c r="AW70" s="246"/>
      <c r="AX70" s="246"/>
      <c r="AY70" s="246"/>
      <c r="AZ70" s="246"/>
      <c r="BA70" s="246"/>
      <c r="BB70" s="246"/>
      <c r="BC70" s="246"/>
      <c r="BD70" s="246"/>
      <c r="BE70" s="246"/>
      <c r="BF70" s="246"/>
      <c r="BG70" s="246"/>
      <c r="EZ70" s="244" t="s">
        <v>422</v>
      </c>
      <c r="FA70" s="246">
        <v>0</v>
      </c>
      <c r="FB70" s="246">
        <v>0</v>
      </c>
      <c r="FC70" s="246">
        <v>0</v>
      </c>
      <c r="FD70" s="246">
        <v>0</v>
      </c>
      <c r="FE70" s="246">
        <v>0</v>
      </c>
      <c r="FF70" s="246">
        <v>0</v>
      </c>
      <c r="FG70" s="246">
        <v>0</v>
      </c>
      <c r="FH70" s="246">
        <v>0</v>
      </c>
      <c r="FI70" s="246">
        <v>0</v>
      </c>
      <c r="FJ70" s="246">
        <v>0</v>
      </c>
      <c r="FK70" s="246">
        <v>0</v>
      </c>
      <c r="FL70" s="246">
        <v>46.0998047134687</v>
      </c>
      <c r="FM70" s="246">
        <v>0</v>
      </c>
      <c r="FN70" s="246">
        <v>0</v>
      </c>
      <c r="FO70" s="246">
        <v>0</v>
      </c>
    </row>
    <row r="71" spans="44:171" ht="16" x14ac:dyDescent="0.2">
      <c r="AR71" s="230" t="s">
        <v>421</v>
      </c>
      <c r="AS71" s="246">
        <f t="shared" ref="AS71:BD78" si="3">AS112</f>
        <v>0</v>
      </c>
      <c r="AT71" s="246">
        <f t="shared" si="3"/>
        <v>0</v>
      </c>
      <c r="AU71" s="246">
        <f t="shared" si="3"/>
        <v>0</v>
      </c>
      <c r="AV71" s="246">
        <f t="shared" si="3"/>
        <v>0</v>
      </c>
      <c r="AW71" s="246">
        <f t="shared" si="3"/>
        <v>0</v>
      </c>
      <c r="AX71" s="246">
        <f t="shared" si="3"/>
        <v>0</v>
      </c>
      <c r="AY71" s="246">
        <f t="shared" si="3"/>
        <v>0</v>
      </c>
      <c r="AZ71" s="246">
        <f t="shared" si="3"/>
        <v>0</v>
      </c>
      <c r="BA71" s="246">
        <f t="shared" si="3"/>
        <v>0</v>
      </c>
      <c r="BB71" s="246">
        <f t="shared" si="3"/>
        <v>0</v>
      </c>
      <c r="BC71" s="246">
        <f t="shared" si="3"/>
        <v>0</v>
      </c>
      <c r="BD71" s="246">
        <f t="shared" si="3"/>
        <v>0</v>
      </c>
      <c r="BE71" s="246">
        <f>BE112</f>
        <v>0</v>
      </c>
      <c r="BF71" s="246">
        <f t="shared" ref="BF71:BG78" si="4">BF112</f>
        <v>0</v>
      </c>
      <c r="BG71" s="246">
        <f t="shared" si="4"/>
        <v>0</v>
      </c>
      <c r="EZ71" s="244" t="s">
        <v>552</v>
      </c>
      <c r="FA71" s="246"/>
      <c r="FB71" s="246"/>
      <c r="FC71" s="246"/>
      <c r="FD71" s="246"/>
      <c r="FE71" s="246"/>
      <c r="FF71" s="246"/>
      <c r="FG71" s="246"/>
      <c r="FH71" s="246"/>
      <c r="FI71" s="246"/>
      <c r="FJ71" s="246"/>
      <c r="FK71" s="246"/>
      <c r="FL71" s="246"/>
      <c r="FM71" s="246"/>
      <c r="FN71" s="246"/>
      <c r="FO71" s="246"/>
    </row>
    <row r="72" spans="44:171" x14ac:dyDescent="0.2">
      <c r="AR72" s="132" t="s">
        <v>423</v>
      </c>
      <c r="AS72" s="246">
        <f t="shared" si="3"/>
        <v>0</v>
      </c>
      <c r="AT72" s="246">
        <f t="shared" si="3"/>
        <v>0</v>
      </c>
      <c r="AU72" s="246">
        <f t="shared" si="3"/>
        <v>0</v>
      </c>
      <c r="AV72" s="246">
        <f t="shared" si="3"/>
        <v>0</v>
      </c>
      <c r="AW72" s="246">
        <f t="shared" si="3"/>
        <v>0</v>
      </c>
      <c r="AX72" s="246">
        <f t="shared" si="3"/>
        <v>0</v>
      </c>
      <c r="AY72" s="246">
        <f t="shared" si="3"/>
        <v>0</v>
      </c>
      <c r="AZ72" s="246">
        <f t="shared" si="3"/>
        <v>0</v>
      </c>
      <c r="BA72" s="246">
        <f t="shared" si="3"/>
        <v>0</v>
      </c>
      <c r="BB72" s="246">
        <f t="shared" si="3"/>
        <v>0</v>
      </c>
      <c r="BC72" s="246">
        <f t="shared" si="3"/>
        <v>0</v>
      </c>
      <c r="BD72" s="246">
        <f t="shared" si="3"/>
        <v>0</v>
      </c>
      <c r="BE72" s="246">
        <f>BE113</f>
        <v>0</v>
      </c>
      <c r="BF72" s="246">
        <f t="shared" si="4"/>
        <v>0</v>
      </c>
      <c r="BG72" s="246">
        <f t="shared" si="4"/>
        <v>0</v>
      </c>
      <c r="EZ72" s="230" t="s">
        <v>421</v>
      </c>
      <c r="FA72" s="246">
        <v>0</v>
      </c>
      <c r="FB72" s="246">
        <v>0</v>
      </c>
      <c r="FC72" s="246">
        <v>0</v>
      </c>
      <c r="FD72" s="246">
        <v>0</v>
      </c>
      <c r="FE72" s="246">
        <v>0</v>
      </c>
      <c r="FF72" s="246">
        <v>0</v>
      </c>
      <c r="FG72" s="246">
        <v>0</v>
      </c>
      <c r="FH72" s="246">
        <v>0</v>
      </c>
      <c r="FI72" s="246">
        <v>0</v>
      </c>
      <c r="FJ72" s="246">
        <v>0</v>
      </c>
      <c r="FK72" s="246">
        <v>0</v>
      </c>
      <c r="FL72" s="246">
        <v>0</v>
      </c>
      <c r="FM72" s="246">
        <v>0</v>
      </c>
      <c r="FN72" s="246">
        <v>0</v>
      </c>
      <c r="FO72" s="246">
        <v>0</v>
      </c>
    </row>
    <row r="73" spans="44:171" x14ac:dyDescent="0.2">
      <c r="AR73" s="230" t="s">
        <v>515</v>
      </c>
      <c r="AS73" s="246">
        <f t="shared" si="3"/>
        <v>0</v>
      </c>
      <c r="AT73" s="246">
        <f t="shared" si="3"/>
        <v>0</v>
      </c>
      <c r="AU73" s="246">
        <f t="shared" si="3"/>
        <v>0</v>
      </c>
      <c r="AV73" s="246">
        <f t="shared" si="3"/>
        <v>0</v>
      </c>
      <c r="AW73" s="246">
        <f t="shared" si="3"/>
        <v>0</v>
      </c>
      <c r="AX73" s="246">
        <f t="shared" si="3"/>
        <v>0</v>
      </c>
      <c r="AY73" s="246">
        <f t="shared" si="3"/>
        <v>0</v>
      </c>
      <c r="AZ73" s="246">
        <f t="shared" si="3"/>
        <v>0</v>
      </c>
      <c r="BA73" s="246">
        <f t="shared" si="3"/>
        <v>0</v>
      </c>
      <c r="BB73" s="246">
        <f t="shared" si="3"/>
        <v>0</v>
      </c>
      <c r="BC73" s="246">
        <f t="shared" si="3"/>
        <v>0</v>
      </c>
      <c r="BD73" s="246">
        <f t="shared" si="3"/>
        <v>0</v>
      </c>
      <c r="BE73" s="246"/>
      <c r="BF73" s="246">
        <f t="shared" si="4"/>
        <v>0</v>
      </c>
      <c r="BG73" s="246">
        <f t="shared" si="4"/>
        <v>0</v>
      </c>
      <c r="EZ73" s="132" t="s">
        <v>423</v>
      </c>
      <c r="FA73" s="246">
        <v>0</v>
      </c>
      <c r="FB73" s="246">
        <v>0</v>
      </c>
      <c r="FC73" s="246">
        <v>0</v>
      </c>
      <c r="FD73" s="246">
        <v>0</v>
      </c>
      <c r="FE73" s="246">
        <v>0</v>
      </c>
      <c r="FF73" s="246">
        <v>0</v>
      </c>
      <c r="FG73" s="246">
        <v>0</v>
      </c>
      <c r="FH73" s="246">
        <v>0</v>
      </c>
      <c r="FI73" s="246">
        <v>0</v>
      </c>
      <c r="FJ73" s="246">
        <v>0</v>
      </c>
      <c r="FK73" s="246">
        <v>0</v>
      </c>
      <c r="FL73" s="246">
        <v>0</v>
      </c>
      <c r="FM73" s="246">
        <v>0</v>
      </c>
      <c r="FN73" s="246">
        <v>0</v>
      </c>
      <c r="FO73" s="246">
        <v>0</v>
      </c>
    </row>
    <row r="74" spans="44:171" x14ac:dyDescent="0.2">
      <c r="AR74" s="230" t="s">
        <v>517</v>
      </c>
      <c r="AS74" s="246">
        <f t="shared" si="3"/>
        <v>0</v>
      </c>
      <c r="AT74" s="246">
        <f t="shared" si="3"/>
        <v>0</v>
      </c>
      <c r="AU74" s="246">
        <f t="shared" si="3"/>
        <v>0</v>
      </c>
      <c r="AV74" s="246">
        <f t="shared" si="3"/>
        <v>0</v>
      </c>
      <c r="AW74" s="246">
        <f t="shared" si="3"/>
        <v>0</v>
      </c>
      <c r="AX74" s="246">
        <f t="shared" si="3"/>
        <v>0</v>
      </c>
      <c r="AY74" s="246">
        <f t="shared" si="3"/>
        <v>0</v>
      </c>
      <c r="AZ74" s="246">
        <f t="shared" si="3"/>
        <v>0</v>
      </c>
      <c r="BA74" s="246">
        <f t="shared" si="3"/>
        <v>0</v>
      </c>
      <c r="BB74" s="246">
        <f t="shared" si="3"/>
        <v>0</v>
      </c>
      <c r="BC74" s="246">
        <f t="shared" si="3"/>
        <v>0</v>
      </c>
      <c r="BD74" s="246">
        <f t="shared" si="3"/>
        <v>0</v>
      </c>
      <c r="BE74" s="246">
        <f t="shared" ref="BE74:BE78" si="5">BE114</f>
        <v>46.099804713468714</v>
      </c>
      <c r="BF74" s="246">
        <f t="shared" si="4"/>
        <v>0</v>
      </c>
      <c r="BG74" s="246">
        <f t="shared" si="4"/>
        <v>32.269863299428096</v>
      </c>
      <c r="EZ74" s="230" t="s">
        <v>515</v>
      </c>
      <c r="FA74" s="246">
        <v>0</v>
      </c>
      <c r="FB74" s="246">
        <v>0</v>
      </c>
      <c r="FC74" s="246">
        <v>0</v>
      </c>
      <c r="FD74" s="246">
        <v>0</v>
      </c>
      <c r="FE74" s="246">
        <v>0</v>
      </c>
      <c r="FF74" s="246">
        <v>0</v>
      </c>
      <c r="FG74" s="246">
        <v>0</v>
      </c>
      <c r="FH74" s="246">
        <v>0</v>
      </c>
      <c r="FI74" s="246">
        <v>0</v>
      </c>
      <c r="FJ74" s="246">
        <v>0</v>
      </c>
      <c r="FK74" s="246">
        <v>0</v>
      </c>
      <c r="FL74" s="246">
        <v>0</v>
      </c>
      <c r="FM74" s="246"/>
      <c r="FN74" s="246">
        <v>0</v>
      </c>
      <c r="FO74" s="246">
        <v>0</v>
      </c>
    </row>
    <row r="75" spans="44:171" x14ac:dyDescent="0.2">
      <c r="AR75" s="230" t="s">
        <v>445</v>
      </c>
      <c r="AS75" s="246">
        <f t="shared" si="3"/>
        <v>0</v>
      </c>
      <c r="AT75" s="246">
        <f t="shared" si="3"/>
        <v>0</v>
      </c>
      <c r="AU75" s="246">
        <f t="shared" si="3"/>
        <v>0</v>
      </c>
      <c r="AV75" s="246">
        <f t="shared" si="3"/>
        <v>0</v>
      </c>
      <c r="AW75" s="246">
        <f t="shared" si="3"/>
        <v>0</v>
      </c>
      <c r="AX75" s="246">
        <f t="shared" si="3"/>
        <v>0</v>
      </c>
      <c r="AY75" s="246">
        <f t="shared" si="3"/>
        <v>0</v>
      </c>
      <c r="AZ75" s="246">
        <f t="shared" si="3"/>
        <v>0</v>
      </c>
      <c r="BA75" s="246">
        <f t="shared" si="3"/>
        <v>0</v>
      </c>
      <c r="BB75" s="246">
        <f t="shared" si="3"/>
        <v>0</v>
      </c>
      <c r="BC75" s="246">
        <f t="shared" si="3"/>
        <v>0</v>
      </c>
      <c r="BD75" s="246">
        <f t="shared" si="3"/>
        <v>0</v>
      </c>
      <c r="BE75" s="246">
        <f t="shared" si="5"/>
        <v>0</v>
      </c>
      <c r="BF75" s="246">
        <f t="shared" si="4"/>
        <v>0</v>
      </c>
      <c r="BG75" s="246">
        <f t="shared" si="4"/>
        <v>1314.2879334772852</v>
      </c>
      <c r="EZ75" s="230" t="s">
        <v>517</v>
      </c>
      <c r="FA75" s="246">
        <v>0</v>
      </c>
      <c r="FB75" s="246">
        <v>0</v>
      </c>
      <c r="FC75" s="246">
        <v>0</v>
      </c>
      <c r="FD75" s="246">
        <v>0</v>
      </c>
      <c r="FE75" s="246">
        <v>0</v>
      </c>
      <c r="FF75" s="246">
        <v>0</v>
      </c>
      <c r="FG75" s="246">
        <v>0</v>
      </c>
      <c r="FH75" s="246">
        <v>0</v>
      </c>
      <c r="FI75" s="246">
        <v>0</v>
      </c>
      <c r="FJ75" s="246">
        <v>0</v>
      </c>
      <c r="FK75" s="246">
        <v>0</v>
      </c>
      <c r="FL75" s="246">
        <v>0</v>
      </c>
      <c r="FM75" s="246">
        <v>46.099804713468714</v>
      </c>
      <c r="FN75" s="246">
        <v>0</v>
      </c>
      <c r="FO75" s="246">
        <v>32.269863299428096</v>
      </c>
    </row>
    <row r="76" spans="44:171" x14ac:dyDescent="0.2">
      <c r="AR76" s="230" t="s">
        <v>446</v>
      </c>
      <c r="AS76" s="246">
        <f t="shared" si="3"/>
        <v>0</v>
      </c>
      <c r="AT76" s="246">
        <f t="shared" si="3"/>
        <v>0</v>
      </c>
      <c r="AU76" s="246">
        <f t="shared" si="3"/>
        <v>0</v>
      </c>
      <c r="AV76" s="246">
        <f t="shared" si="3"/>
        <v>0</v>
      </c>
      <c r="AW76" s="246">
        <f t="shared" si="3"/>
        <v>0</v>
      </c>
      <c r="AX76" s="246">
        <f t="shared" si="3"/>
        <v>0</v>
      </c>
      <c r="AY76" s="246">
        <f t="shared" si="3"/>
        <v>0</v>
      </c>
      <c r="AZ76" s="246">
        <f t="shared" si="3"/>
        <v>0</v>
      </c>
      <c r="BA76" s="246">
        <f t="shared" si="3"/>
        <v>0</v>
      </c>
      <c r="BB76" s="246">
        <f t="shared" si="3"/>
        <v>0</v>
      </c>
      <c r="BC76" s="246">
        <f t="shared" si="3"/>
        <v>0</v>
      </c>
      <c r="BD76" s="246">
        <f t="shared" si="3"/>
        <v>0</v>
      </c>
      <c r="BE76" s="246">
        <f t="shared" si="5"/>
        <v>0</v>
      </c>
      <c r="BF76" s="246">
        <f t="shared" si="4"/>
        <v>0</v>
      </c>
      <c r="BG76" s="246">
        <f t="shared" si="4"/>
        <v>0</v>
      </c>
      <c r="EZ76" s="230" t="s">
        <v>445</v>
      </c>
      <c r="FA76" s="246">
        <v>0</v>
      </c>
      <c r="FB76" s="246">
        <v>0</v>
      </c>
      <c r="FC76" s="246">
        <v>0</v>
      </c>
      <c r="FD76" s="246">
        <v>0</v>
      </c>
      <c r="FE76" s="246">
        <v>0</v>
      </c>
      <c r="FF76" s="246">
        <v>0</v>
      </c>
      <c r="FG76" s="246">
        <v>0</v>
      </c>
      <c r="FH76" s="246">
        <v>0</v>
      </c>
      <c r="FI76" s="246">
        <v>0</v>
      </c>
      <c r="FJ76" s="246">
        <v>0</v>
      </c>
      <c r="FK76" s="246">
        <v>0</v>
      </c>
      <c r="FL76" s="246">
        <v>0</v>
      </c>
      <c r="FM76" s="246">
        <v>0</v>
      </c>
      <c r="FN76" s="246">
        <v>0</v>
      </c>
      <c r="FO76" s="246">
        <v>1314.2879334772852</v>
      </c>
    </row>
    <row r="77" spans="44:171" x14ac:dyDescent="0.2">
      <c r="AR77" s="230" t="s">
        <v>447</v>
      </c>
      <c r="AS77" s="246">
        <f t="shared" si="3"/>
        <v>0</v>
      </c>
      <c r="AT77" s="246">
        <f t="shared" si="3"/>
        <v>0</v>
      </c>
      <c r="AU77" s="246">
        <f t="shared" si="3"/>
        <v>0</v>
      </c>
      <c r="AV77" s="246">
        <f t="shared" si="3"/>
        <v>0</v>
      </c>
      <c r="AW77" s="246">
        <f t="shared" si="3"/>
        <v>0</v>
      </c>
      <c r="AX77" s="246">
        <f t="shared" si="3"/>
        <v>0</v>
      </c>
      <c r="AY77" s="246">
        <f t="shared" si="3"/>
        <v>0</v>
      </c>
      <c r="AZ77" s="246">
        <f t="shared" si="3"/>
        <v>0</v>
      </c>
      <c r="BA77" s="246">
        <f t="shared" si="3"/>
        <v>0</v>
      </c>
      <c r="BB77" s="246">
        <f t="shared" si="3"/>
        <v>0</v>
      </c>
      <c r="BC77" s="246">
        <f t="shared" si="3"/>
        <v>0</v>
      </c>
      <c r="BD77" s="246">
        <f t="shared" si="3"/>
        <v>0</v>
      </c>
      <c r="BE77" s="246">
        <f t="shared" si="5"/>
        <v>0</v>
      </c>
      <c r="BF77" s="246">
        <f t="shared" si="4"/>
        <v>0</v>
      </c>
      <c r="BG77" s="246">
        <f t="shared" si="4"/>
        <v>0</v>
      </c>
      <c r="EZ77" s="230" t="s">
        <v>446</v>
      </c>
      <c r="FA77" s="246">
        <v>0</v>
      </c>
      <c r="FB77" s="246">
        <v>0</v>
      </c>
      <c r="FC77" s="246">
        <v>0</v>
      </c>
      <c r="FD77" s="246">
        <v>0</v>
      </c>
      <c r="FE77" s="246">
        <v>0</v>
      </c>
      <c r="FF77" s="246">
        <v>0</v>
      </c>
      <c r="FG77" s="246">
        <v>0</v>
      </c>
      <c r="FH77" s="246">
        <v>0</v>
      </c>
      <c r="FI77" s="246">
        <v>0</v>
      </c>
      <c r="FJ77" s="246">
        <v>0</v>
      </c>
      <c r="FK77" s="246">
        <v>0</v>
      </c>
      <c r="FL77" s="246">
        <v>0</v>
      </c>
      <c r="FM77" s="246">
        <v>0</v>
      </c>
      <c r="FN77" s="246">
        <v>0</v>
      </c>
      <c r="FO77" s="246">
        <v>0</v>
      </c>
    </row>
    <row r="78" spans="44:171" x14ac:dyDescent="0.2">
      <c r="AR78" s="230" t="s">
        <v>457</v>
      </c>
      <c r="AS78" s="246">
        <f t="shared" si="3"/>
        <v>0</v>
      </c>
      <c r="AT78" s="246">
        <f t="shared" si="3"/>
        <v>0</v>
      </c>
      <c r="AU78" s="246">
        <f t="shared" si="3"/>
        <v>0</v>
      </c>
      <c r="AV78" s="246">
        <f t="shared" si="3"/>
        <v>0</v>
      </c>
      <c r="AW78" s="246">
        <f t="shared" si="3"/>
        <v>0</v>
      </c>
      <c r="AX78" s="246">
        <f t="shared" si="3"/>
        <v>0</v>
      </c>
      <c r="AY78" s="246">
        <f t="shared" si="3"/>
        <v>0</v>
      </c>
      <c r="AZ78" s="246">
        <f t="shared" si="3"/>
        <v>0</v>
      </c>
      <c r="BA78" s="246">
        <f t="shared" si="3"/>
        <v>0</v>
      </c>
      <c r="BB78" s="246">
        <f t="shared" si="3"/>
        <v>0</v>
      </c>
      <c r="BC78" s="246">
        <f t="shared" si="3"/>
        <v>0</v>
      </c>
      <c r="BD78" s="246">
        <f t="shared" si="3"/>
        <v>0</v>
      </c>
      <c r="BE78" s="246">
        <f t="shared" si="5"/>
        <v>0</v>
      </c>
      <c r="BF78" s="246">
        <f t="shared" si="4"/>
        <v>0</v>
      </c>
      <c r="BG78" s="246">
        <f t="shared" si="4"/>
        <v>0</v>
      </c>
      <c r="EZ78" s="230" t="s">
        <v>447</v>
      </c>
      <c r="FA78" s="246">
        <v>0</v>
      </c>
      <c r="FB78" s="246">
        <v>0</v>
      </c>
      <c r="FC78" s="246">
        <v>0</v>
      </c>
      <c r="FD78" s="246">
        <v>0</v>
      </c>
      <c r="FE78" s="246">
        <v>0</v>
      </c>
      <c r="FF78" s="246">
        <v>0</v>
      </c>
      <c r="FG78" s="246">
        <v>0</v>
      </c>
      <c r="FH78" s="246">
        <v>0</v>
      </c>
      <c r="FI78" s="246">
        <v>0</v>
      </c>
      <c r="FJ78" s="246">
        <v>0</v>
      </c>
      <c r="FK78" s="246">
        <v>0</v>
      </c>
      <c r="FL78" s="246">
        <v>0</v>
      </c>
      <c r="FM78" s="246">
        <v>0</v>
      </c>
      <c r="FN78" s="246">
        <v>0</v>
      </c>
      <c r="FO78" s="246">
        <v>0</v>
      </c>
    </row>
    <row r="79" spans="44:171" x14ac:dyDescent="0.2">
      <c r="AR79" s="230"/>
      <c r="AS79" s="379" t="s">
        <v>472</v>
      </c>
      <c r="AT79" s="379"/>
      <c r="AU79" s="379"/>
      <c r="AV79" s="379"/>
      <c r="AW79" s="379"/>
      <c r="AX79" s="379"/>
      <c r="AY79" s="379"/>
      <c r="AZ79" s="379"/>
      <c r="BA79" s="379"/>
      <c r="BB79" s="379"/>
      <c r="BC79" s="379"/>
      <c r="BD79" s="379"/>
      <c r="BE79" s="379"/>
      <c r="BF79" s="379"/>
      <c r="BG79" s="379"/>
      <c r="EZ79" s="230" t="s">
        <v>457</v>
      </c>
      <c r="FA79" s="246">
        <v>0</v>
      </c>
      <c r="FB79" s="246">
        <v>0</v>
      </c>
      <c r="FC79" s="246">
        <v>0</v>
      </c>
      <c r="FD79" s="246">
        <v>0</v>
      </c>
      <c r="FE79" s="246">
        <v>0</v>
      </c>
      <c r="FF79" s="246">
        <v>0</v>
      </c>
      <c r="FG79" s="246">
        <v>0</v>
      </c>
      <c r="FH79" s="246">
        <v>0</v>
      </c>
      <c r="FI79" s="246">
        <v>0</v>
      </c>
      <c r="FJ79" s="246">
        <v>0</v>
      </c>
      <c r="FK79" s="246">
        <v>0</v>
      </c>
      <c r="FL79" s="246">
        <v>0</v>
      </c>
      <c r="FM79" s="246">
        <v>0</v>
      </c>
      <c r="FN79" s="246">
        <v>0</v>
      </c>
      <c r="FO79" s="246">
        <v>0</v>
      </c>
    </row>
    <row r="80" spans="44:171" x14ac:dyDescent="0.2">
      <c r="EZ80" s="230"/>
      <c r="FA80" s="379" t="s">
        <v>472</v>
      </c>
      <c r="FB80" s="379"/>
      <c r="FC80" s="379"/>
      <c r="FD80" s="379"/>
      <c r="FE80" s="379"/>
      <c r="FF80" s="379"/>
      <c r="FG80" s="379"/>
      <c r="FH80" s="379"/>
      <c r="FI80" s="379"/>
      <c r="FJ80" s="379"/>
      <c r="FK80" s="379"/>
      <c r="FL80" s="379"/>
      <c r="FM80" s="379"/>
      <c r="FN80" s="379"/>
      <c r="FO80" s="379"/>
    </row>
    <row r="82" spans="33:192" ht="112" customHeight="1" x14ac:dyDescent="0.2"/>
    <row r="83" spans="33:192" ht="237" x14ac:dyDescent="0.2">
      <c r="AS83" s="231" t="s">
        <v>325</v>
      </c>
      <c r="AT83" s="231" t="s">
        <v>326</v>
      </c>
      <c r="AU83" s="231" t="s">
        <v>327</v>
      </c>
      <c r="AV83" s="231" t="s">
        <v>455</v>
      </c>
      <c r="AW83" s="231" t="s">
        <v>435</v>
      </c>
      <c r="AX83" s="231" t="s">
        <v>434</v>
      </c>
      <c r="AY83" s="231" t="s">
        <v>351</v>
      </c>
      <c r="AZ83" s="231" t="s">
        <v>348</v>
      </c>
      <c r="BA83" s="231" t="s">
        <v>362</v>
      </c>
      <c r="BB83" s="231" t="s">
        <v>349</v>
      </c>
      <c r="BC83" s="231" t="s">
        <v>344</v>
      </c>
      <c r="BD83" s="231" t="s">
        <v>514</v>
      </c>
      <c r="BE83" s="231" t="s">
        <v>516</v>
      </c>
      <c r="BF83" s="231" t="s">
        <v>76</v>
      </c>
      <c r="BG83" s="231" t="s">
        <v>337</v>
      </c>
      <c r="BL83" s="231"/>
      <c r="BM83" s="231" t="s">
        <v>331</v>
      </c>
      <c r="BN83" s="231" t="s">
        <v>279</v>
      </c>
      <c r="CE83" s="245"/>
      <c r="CF83" s="231" t="s">
        <v>333</v>
      </c>
      <c r="CG83" s="231" t="s">
        <v>335</v>
      </c>
      <c r="CH83" s="231" t="s">
        <v>336</v>
      </c>
      <c r="CI83" s="231" t="s">
        <v>355</v>
      </c>
      <c r="CJ83" s="231" t="s">
        <v>377</v>
      </c>
      <c r="CK83" s="231" t="s">
        <v>407</v>
      </c>
      <c r="CL83" s="231" t="s">
        <v>466</v>
      </c>
      <c r="CM83" s="231" t="s">
        <v>467</v>
      </c>
      <c r="CN83" s="231" t="s">
        <v>459</v>
      </c>
      <c r="CO83" s="232" t="s">
        <v>442</v>
      </c>
      <c r="CP83" s="231" t="s">
        <v>409</v>
      </c>
      <c r="CQ83" s="232" t="s">
        <v>412</v>
      </c>
      <c r="CR83" s="231" t="s">
        <v>437</v>
      </c>
      <c r="CS83" s="233" t="s">
        <v>430</v>
      </c>
      <c r="CT83" s="231" t="s">
        <v>416</v>
      </c>
      <c r="CU83" s="232" t="s">
        <v>441</v>
      </c>
      <c r="CV83" s="232" t="s">
        <v>436</v>
      </c>
      <c r="CW83" s="232" t="s">
        <v>433</v>
      </c>
      <c r="CX83" s="232" t="s">
        <v>439</v>
      </c>
      <c r="CY83" s="233" t="s">
        <v>438</v>
      </c>
      <c r="CZ83" s="233" t="s">
        <v>424</v>
      </c>
      <c r="DA83" s="233" t="s">
        <v>456</v>
      </c>
      <c r="DB83" s="233" t="s">
        <v>425</v>
      </c>
      <c r="DC83" s="233" t="s">
        <v>427</v>
      </c>
      <c r="DD83" s="233" t="s">
        <v>426</v>
      </c>
      <c r="DE83" s="233" t="s">
        <v>484</v>
      </c>
      <c r="DF83" s="235" t="s">
        <v>422</v>
      </c>
      <c r="DG83" s="235" t="s">
        <v>552</v>
      </c>
      <c r="DH83" s="233" t="s">
        <v>421</v>
      </c>
      <c r="DI83" s="231" t="s">
        <v>423</v>
      </c>
      <c r="DJ83" s="233" t="s">
        <v>515</v>
      </c>
      <c r="DK83" s="233" t="s">
        <v>517</v>
      </c>
      <c r="DL83" s="233" t="s">
        <v>445</v>
      </c>
      <c r="DM83" s="233" t="s">
        <v>446</v>
      </c>
      <c r="DN83" s="233" t="s">
        <v>447</v>
      </c>
      <c r="DO83" s="233" t="s">
        <v>457</v>
      </c>
      <c r="DP83" s="233" t="s">
        <v>793</v>
      </c>
      <c r="FM83" s="231" t="s">
        <v>325</v>
      </c>
      <c r="FN83" s="231" t="s">
        <v>326</v>
      </c>
      <c r="FO83" s="231" t="s">
        <v>327</v>
      </c>
      <c r="FP83" s="231" t="s">
        <v>455</v>
      </c>
      <c r="FQ83" s="231" t="s">
        <v>435</v>
      </c>
      <c r="FR83" s="231" t="s">
        <v>434</v>
      </c>
      <c r="FS83" s="231" t="s">
        <v>351</v>
      </c>
      <c r="FT83" s="231" t="s">
        <v>348</v>
      </c>
      <c r="FU83" s="231" t="s">
        <v>362</v>
      </c>
      <c r="FV83" s="231" t="s">
        <v>349</v>
      </c>
      <c r="FW83" s="231" t="s">
        <v>344</v>
      </c>
      <c r="FX83" s="231" t="s">
        <v>514</v>
      </c>
      <c r="FY83" s="231" t="s">
        <v>516</v>
      </c>
      <c r="FZ83" s="231" t="s">
        <v>76</v>
      </c>
      <c r="GA83" s="231" t="s">
        <v>337</v>
      </c>
      <c r="GG83" s="231" t="s">
        <v>331</v>
      </c>
      <c r="GH83" s="231" t="s">
        <v>279</v>
      </c>
      <c r="GI83" s="231" t="s">
        <v>793</v>
      </c>
    </row>
    <row r="84" spans="33:192" x14ac:dyDescent="0.2">
      <c r="AG84" s="132"/>
      <c r="AH84" s="132"/>
      <c r="AR84" s="132" t="s">
        <v>333</v>
      </c>
      <c r="AS84" s="234">
        <f>Ore_to_PI!AN42</f>
        <v>1011.7674660019052</v>
      </c>
      <c r="AT84" s="234"/>
      <c r="AU84" s="234"/>
      <c r="AV84" s="234"/>
      <c r="AW84" s="234"/>
      <c r="AX84" s="234"/>
      <c r="AY84" s="234"/>
      <c r="AZ84" s="234"/>
      <c r="BA84" s="234"/>
      <c r="BB84" s="234"/>
      <c r="BC84" s="234"/>
      <c r="BD84" s="234"/>
      <c r="BE84" s="234"/>
      <c r="BF84" s="234"/>
      <c r="BG84" s="234"/>
      <c r="BH84" s="243">
        <f t="shared" ref="BH84:BH119" si="6">SUM(AS84:BG84)</f>
        <v>1011.7674660019052</v>
      </c>
      <c r="BL84" s="132" t="s">
        <v>333</v>
      </c>
      <c r="BM84" s="237"/>
      <c r="BN84" s="237"/>
      <c r="BO84" s="243">
        <f>SUM(BM84:BN84)</f>
        <v>0</v>
      </c>
      <c r="CE84" s="132" t="s">
        <v>325</v>
      </c>
      <c r="CF84" s="322" cm="1">
        <f t="array" ref="CF84:DP98">TRANSPOSE(AS84:BG119) - (C125:AM139)</f>
        <v>1011.7674660019052</v>
      </c>
      <c r="CG84" s="322">
        <v>0</v>
      </c>
      <c r="CH84" s="322">
        <v>0</v>
      </c>
      <c r="CI84" s="322">
        <v>30.150427560669065</v>
      </c>
      <c r="CJ84" s="322">
        <v>0</v>
      </c>
      <c r="CK84" s="322">
        <v>2.0694989883749622</v>
      </c>
      <c r="CL84" s="322">
        <v>0</v>
      </c>
      <c r="CM84" s="322">
        <v>0</v>
      </c>
      <c r="CN84" s="322">
        <v>0</v>
      </c>
      <c r="CO84" s="322">
        <v>-1011.7674660019052</v>
      </c>
      <c r="CP84" s="322">
        <v>-32.219926549044033</v>
      </c>
      <c r="CQ84" s="322">
        <v>0</v>
      </c>
      <c r="CR84" s="322">
        <v>0</v>
      </c>
      <c r="CS84" s="322">
        <v>0</v>
      </c>
      <c r="CT84" s="322">
        <v>0</v>
      </c>
      <c r="CU84" s="322">
        <v>0</v>
      </c>
      <c r="CV84" s="322">
        <v>0</v>
      </c>
      <c r="CW84" s="322">
        <v>0</v>
      </c>
      <c r="CX84" s="322">
        <v>0</v>
      </c>
      <c r="CY84" s="322">
        <v>0</v>
      </c>
      <c r="CZ84" s="322">
        <v>0</v>
      </c>
      <c r="DA84" s="322">
        <v>0</v>
      </c>
      <c r="DB84" s="322">
        <v>0</v>
      </c>
      <c r="DC84" s="322">
        <v>0</v>
      </c>
      <c r="DD84" s="322">
        <v>0</v>
      </c>
      <c r="DE84" s="322">
        <v>0</v>
      </c>
      <c r="DF84" s="322">
        <v>0</v>
      </c>
      <c r="DG84" s="322">
        <v>0</v>
      </c>
      <c r="DH84" s="322">
        <v>0</v>
      </c>
      <c r="DI84" s="322">
        <v>0</v>
      </c>
      <c r="DJ84" s="322">
        <v>0</v>
      </c>
      <c r="DK84" s="322">
        <v>0</v>
      </c>
      <c r="DL84" s="322">
        <v>0</v>
      </c>
      <c r="DM84" s="322">
        <v>0</v>
      </c>
      <c r="DN84" s="322">
        <v>0</v>
      </c>
      <c r="DO84" s="322">
        <v>0</v>
      </c>
      <c r="DP84" t="e">
        <v>#N/A</v>
      </c>
      <c r="DR84" s="333">
        <f>SUM(CF84:DO84)</f>
        <v>-5.6843418860808015E-14</v>
      </c>
      <c r="FA84" s="132"/>
      <c r="FB84" s="132"/>
      <c r="FL84" s="132" t="s">
        <v>333</v>
      </c>
      <c r="FM84" s="234">
        <v>1011.7674660019052</v>
      </c>
      <c r="FN84" s="234"/>
      <c r="FO84" s="234"/>
      <c r="FP84" s="234"/>
      <c r="FQ84" s="234"/>
      <c r="FR84" s="234"/>
      <c r="FS84" s="234"/>
      <c r="FT84" s="234"/>
      <c r="FU84" s="234"/>
      <c r="FV84" s="234"/>
      <c r="FW84" s="234"/>
      <c r="FX84" s="234"/>
      <c r="FY84" s="234"/>
      <c r="FZ84" s="234"/>
      <c r="GA84" s="234"/>
      <c r="GB84" s="243">
        <v>1011.7674660019052</v>
      </c>
      <c r="GF84" s="132" t="s">
        <v>333</v>
      </c>
      <c r="GG84" s="237"/>
      <c r="GH84" s="237"/>
      <c r="GI84" s="237"/>
      <c r="GJ84" s="243">
        <v>0</v>
      </c>
    </row>
    <row r="85" spans="33:192" x14ac:dyDescent="0.2">
      <c r="AG85" s="132"/>
      <c r="AH85" s="132"/>
      <c r="AR85" s="132" t="s">
        <v>335</v>
      </c>
      <c r="AS85" s="234"/>
      <c r="AT85" s="234">
        <f>Ore_to_PI!U126</f>
        <v>208.55560337725498</v>
      </c>
      <c r="AU85" s="234"/>
      <c r="AV85" s="234"/>
      <c r="AW85" s="234"/>
      <c r="AX85" s="234"/>
      <c r="AY85" s="234"/>
      <c r="AZ85" s="234"/>
      <c r="BA85" s="234"/>
      <c r="BB85" s="234"/>
      <c r="BC85" s="234"/>
      <c r="BD85" s="234"/>
      <c r="BE85" s="234"/>
      <c r="BF85" s="234"/>
      <c r="BG85" s="234"/>
      <c r="BH85" s="243">
        <f t="shared" si="6"/>
        <v>208.55560337725498</v>
      </c>
      <c r="BL85" s="132" t="s">
        <v>335</v>
      </c>
      <c r="BM85" s="237"/>
      <c r="BN85" s="237"/>
      <c r="BO85" s="243">
        <f>SUM(BM85:BN85)</f>
        <v>0</v>
      </c>
      <c r="CE85" s="132" t="s">
        <v>326</v>
      </c>
      <c r="CF85" s="322">
        <v>0</v>
      </c>
      <c r="CG85" s="322">
        <v>208.55560337725498</v>
      </c>
      <c r="CH85" s="322">
        <v>0</v>
      </c>
      <c r="CI85" s="322">
        <v>9.0394269236644703E-2</v>
      </c>
      <c r="CJ85" s="322">
        <v>0</v>
      </c>
      <c r="CK85" s="322">
        <v>5.671161105764883E-3</v>
      </c>
      <c r="CL85" s="322">
        <v>5.1714158616864253E-4</v>
      </c>
      <c r="CM85" s="322">
        <v>0</v>
      </c>
      <c r="CN85" s="322">
        <v>0</v>
      </c>
      <c r="CO85" s="322">
        <v>0</v>
      </c>
      <c r="CP85" s="322">
        <v>0</v>
      </c>
      <c r="CQ85" s="322">
        <v>-208.55560337725498</v>
      </c>
      <c r="CR85" s="322">
        <v>-9.658257192857822E-2</v>
      </c>
      <c r="CS85" s="322">
        <v>0</v>
      </c>
      <c r="CT85" s="322">
        <v>0</v>
      </c>
      <c r="CU85" s="322">
        <v>0</v>
      </c>
      <c r="CV85" s="322">
        <v>0</v>
      </c>
      <c r="CW85" s="322">
        <v>0</v>
      </c>
      <c r="CX85" s="322">
        <v>0</v>
      </c>
      <c r="CY85" s="322">
        <v>0</v>
      </c>
      <c r="CZ85" s="322">
        <v>0</v>
      </c>
      <c r="DA85" s="322">
        <v>0</v>
      </c>
      <c r="DB85" s="322">
        <v>0</v>
      </c>
      <c r="DC85" s="322">
        <v>0</v>
      </c>
      <c r="DD85" s="322">
        <v>0</v>
      </c>
      <c r="DE85" s="322">
        <v>0</v>
      </c>
      <c r="DF85" s="322">
        <v>0</v>
      </c>
      <c r="DG85" s="322">
        <v>0</v>
      </c>
      <c r="DH85" s="322">
        <v>0</v>
      </c>
      <c r="DI85" s="322">
        <v>0</v>
      </c>
      <c r="DJ85" s="322">
        <v>0</v>
      </c>
      <c r="DK85" s="322">
        <v>0</v>
      </c>
      <c r="DL85" s="322">
        <v>0</v>
      </c>
      <c r="DM85" s="322">
        <v>0</v>
      </c>
      <c r="DN85" s="322">
        <v>0</v>
      </c>
      <c r="DO85" s="322">
        <v>0</v>
      </c>
      <c r="DP85" t="e">
        <v>#N/A</v>
      </c>
      <c r="DR85" s="333">
        <f t="shared" ref="DR85:DR98" si="7">SUM(CF85:DO85)</f>
        <v>-1.354472090042691E-14</v>
      </c>
      <c r="FA85" s="132"/>
      <c r="FB85" s="132"/>
      <c r="FL85" s="132" t="s">
        <v>335</v>
      </c>
      <c r="FM85" s="234"/>
      <c r="FN85" s="234">
        <v>208.55560337725498</v>
      </c>
      <c r="FO85" s="234"/>
      <c r="FP85" s="234"/>
      <c r="FQ85" s="234"/>
      <c r="FR85" s="234"/>
      <c r="FS85" s="234"/>
      <c r="FT85" s="234"/>
      <c r="FU85" s="234"/>
      <c r="FV85" s="234"/>
      <c r="FW85" s="234"/>
      <c r="FX85" s="234"/>
      <c r="FY85" s="234"/>
      <c r="FZ85" s="234"/>
      <c r="GA85" s="234"/>
      <c r="GB85" s="243">
        <v>208.55560337725498</v>
      </c>
      <c r="GF85" s="132" t="s">
        <v>335</v>
      </c>
      <c r="GG85" s="237"/>
      <c r="GH85" s="237"/>
      <c r="GI85" s="237"/>
      <c r="GJ85" s="243">
        <v>0</v>
      </c>
    </row>
    <row r="86" spans="33:192" x14ac:dyDescent="0.2">
      <c r="AG86" s="132"/>
      <c r="AH86" s="132"/>
      <c r="AR86" s="132" t="s">
        <v>336</v>
      </c>
      <c r="AS86" s="234"/>
      <c r="AT86" s="234"/>
      <c r="AU86" s="234">
        <f>Ore_to_PI!U206</f>
        <v>298.6148747230165</v>
      </c>
      <c r="AV86" s="234"/>
      <c r="AW86" s="234"/>
      <c r="AX86" s="234"/>
      <c r="AY86" s="234"/>
      <c r="AZ86" s="234"/>
      <c r="BA86" s="234"/>
      <c r="BB86" s="234"/>
      <c r="BC86" s="234"/>
      <c r="BD86" s="234"/>
      <c r="BE86" s="234"/>
      <c r="BF86" s="234"/>
      <c r="BG86" s="234"/>
      <c r="BH86" s="243">
        <f t="shared" si="6"/>
        <v>298.6148747230165</v>
      </c>
      <c r="BL86" s="132" t="s">
        <v>336</v>
      </c>
      <c r="BM86" s="237"/>
      <c r="BN86" s="237"/>
      <c r="BO86" s="243">
        <f>SUM(BM86:BN86)</f>
        <v>0</v>
      </c>
      <c r="CE86" s="132" t="s">
        <v>327</v>
      </c>
      <c r="CF86" s="322">
        <v>0</v>
      </c>
      <c r="CG86" s="322">
        <v>0</v>
      </c>
      <c r="CH86" s="322">
        <v>298.6148747230165</v>
      </c>
      <c r="CI86" s="322">
        <v>7.4647476716394348</v>
      </c>
      <c r="CJ86" s="322">
        <v>0</v>
      </c>
      <c r="CK86" s="322">
        <v>0.51237375403207552</v>
      </c>
      <c r="CL86" s="322">
        <v>0</v>
      </c>
      <c r="CM86" s="322">
        <v>0</v>
      </c>
      <c r="CN86" s="322">
        <v>0</v>
      </c>
      <c r="CO86" s="322">
        <v>0</v>
      </c>
      <c r="CP86" s="322">
        <v>0</v>
      </c>
      <c r="CQ86" s="322">
        <v>0</v>
      </c>
      <c r="CR86" s="322">
        <v>0</v>
      </c>
      <c r="CS86" s="322">
        <v>-298.6148747230165</v>
      </c>
      <c r="CT86" s="322">
        <v>-7.9771214256715108</v>
      </c>
      <c r="CU86" s="322">
        <v>0</v>
      </c>
      <c r="CV86" s="322">
        <v>0</v>
      </c>
      <c r="CW86" s="322">
        <v>0</v>
      </c>
      <c r="CX86" s="322">
        <v>0</v>
      </c>
      <c r="CY86" s="322">
        <v>0</v>
      </c>
      <c r="CZ86" s="322">
        <v>0</v>
      </c>
      <c r="DA86" s="322">
        <v>0</v>
      </c>
      <c r="DB86" s="322">
        <v>0</v>
      </c>
      <c r="DC86" s="322">
        <v>0</v>
      </c>
      <c r="DD86" s="322">
        <v>0</v>
      </c>
      <c r="DE86" s="322">
        <v>0</v>
      </c>
      <c r="DF86" s="322">
        <v>0</v>
      </c>
      <c r="DG86" s="322">
        <v>0</v>
      </c>
      <c r="DH86" s="322">
        <v>0</v>
      </c>
      <c r="DI86" s="322">
        <v>0</v>
      </c>
      <c r="DJ86" s="322">
        <v>0</v>
      </c>
      <c r="DK86" s="322">
        <v>0</v>
      </c>
      <c r="DL86" s="322">
        <v>0</v>
      </c>
      <c r="DM86" s="322">
        <v>0</v>
      </c>
      <c r="DN86" s="322">
        <v>0</v>
      </c>
      <c r="DO86" s="322">
        <v>0</v>
      </c>
      <c r="DP86" t="e">
        <v>#N/A</v>
      </c>
      <c r="DR86" s="333">
        <f t="shared" si="7"/>
        <v>-1.2434497875801753E-14</v>
      </c>
      <c r="FA86" s="132"/>
      <c r="FB86" s="132"/>
      <c r="FL86" s="132" t="s">
        <v>336</v>
      </c>
      <c r="FM86" s="234"/>
      <c r="FN86" s="234"/>
      <c r="FO86" s="234">
        <v>298.6148747230165</v>
      </c>
      <c r="FP86" s="234"/>
      <c r="FQ86" s="234"/>
      <c r="FR86" s="234"/>
      <c r="FS86" s="234"/>
      <c r="FT86" s="234"/>
      <c r="FU86" s="234"/>
      <c r="FV86" s="234"/>
      <c r="FW86" s="234"/>
      <c r="FX86" s="234"/>
      <c r="FY86" s="234"/>
      <c r="FZ86" s="234"/>
      <c r="GA86" s="234"/>
      <c r="GB86" s="243">
        <v>298.6148747230165</v>
      </c>
      <c r="GF86" s="132" t="s">
        <v>336</v>
      </c>
      <c r="GG86" s="237"/>
      <c r="GH86" s="237"/>
      <c r="GI86" s="237"/>
      <c r="GJ86" s="243">
        <v>0</v>
      </c>
    </row>
    <row r="87" spans="33:192" x14ac:dyDescent="0.2">
      <c r="AG87" s="132"/>
      <c r="AH87" s="132"/>
      <c r="AR87" s="132" t="s">
        <v>355</v>
      </c>
      <c r="AS87" s="234">
        <f>Ore_to_PI!U72</f>
        <v>30.150427560669065</v>
      </c>
      <c r="AT87" s="234">
        <f>Ore_to_PI!U163</f>
        <v>9.0394269236644703E-2</v>
      </c>
      <c r="AU87" s="234">
        <f>Ore_to_PI!U236</f>
        <v>7.4647476716394348</v>
      </c>
      <c r="AV87" s="234"/>
      <c r="AW87" s="234"/>
      <c r="AX87" s="234"/>
      <c r="AY87" s="234"/>
      <c r="AZ87" s="234"/>
      <c r="BA87" s="234"/>
      <c r="BB87" s="234">
        <f>Ore_to_PI!CA140</f>
        <v>644.2421909044931</v>
      </c>
      <c r="BC87" s="234">
        <f>Ore_to_PI!CA232</f>
        <v>3494.7460959815226</v>
      </c>
      <c r="BD87" s="234"/>
      <c r="BE87" s="234"/>
      <c r="BF87" s="234"/>
      <c r="BG87" s="236">
        <f>Ore_to_PI!EL140</f>
        <v>2852.0490535886452</v>
      </c>
      <c r="BH87" s="243">
        <f t="shared" si="6"/>
        <v>7028.7429099762066</v>
      </c>
      <c r="BL87" s="132" t="s">
        <v>355</v>
      </c>
      <c r="BM87" s="237"/>
      <c r="BN87" s="237"/>
      <c r="BO87" s="243">
        <f t="shared" ref="BO87:BO119" si="8">SUM(BM87:BN87)</f>
        <v>0</v>
      </c>
      <c r="CE87" s="132" t="s">
        <v>455</v>
      </c>
      <c r="CF87" s="322">
        <v>0</v>
      </c>
      <c r="CG87" s="322">
        <v>0</v>
      </c>
      <c r="CH87" s="322">
        <v>0</v>
      </c>
      <c r="CI87" s="322">
        <v>0</v>
      </c>
      <c r="CJ87" s="322">
        <v>0</v>
      </c>
      <c r="CK87" s="322">
        <v>0</v>
      </c>
      <c r="CL87" s="322">
        <v>0</v>
      </c>
      <c r="CM87" s="322">
        <v>0</v>
      </c>
      <c r="CN87" s="322">
        <v>0</v>
      </c>
      <c r="CO87" s="322">
        <v>1011.7674660019052</v>
      </c>
      <c r="CP87" s="322">
        <v>0</v>
      </c>
      <c r="CQ87" s="322">
        <v>0</v>
      </c>
      <c r="CR87" s="322">
        <v>0</v>
      </c>
      <c r="CS87" s="322">
        <v>0</v>
      </c>
      <c r="CT87" s="322">
        <v>0</v>
      </c>
      <c r="CU87" s="322">
        <v>-1011.7674660019052</v>
      </c>
      <c r="CV87" s="322">
        <v>0</v>
      </c>
      <c r="CW87" s="322">
        <v>0</v>
      </c>
      <c r="CX87" s="322">
        <v>0</v>
      </c>
      <c r="CY87" s="322">
        <v>0</v>
      </c>
      <c r="CZ87" s="322">
        <v>0</v>
      </c>
      <c r="DA87" s="322">
        <v>0</v>
      </c>
      <c r="DB87" s="322">
        <v>0</v>
      </c>
      <c r="DC87" s="322">
        <v>0</v>
      </c>
      <c r="DD87" s="322">
        <v>0</v>
      </c>
      <c r="DE87" s="322">
        <v>0</v>
      </c>
      <c r="DF87" s="322">
        <v>0</v>
      </c>
      <c r="DG87" s="322">
        <v>0</v>
      </c>
      <c r="DH87" s="322">
        <v>0</v>
      </c>
      <c r="DI87" s="322">
        <v>0</v>
      </c>
      <c r="DJ87" s="322">
        <v>0</v>
      </c>
      <c r="DK87" s="322">
        <v>0</v>
      </c>
      <c r="DL87" s="322">
        <v>0</v>
      </c>
      <c r="DM87" s="322">
        <v>0</v>
      </c>
      <c r="DN87" s="322">
        <v>0</v>
      </c>
      <c r="DO87" s="322">
        <v>0</v>
      </c>
      <c r="DP87" t="e">
        <v>#N/A</v>
      </c>
      <c r="DR87" s="333">
        <f t="shared" si="7"/>
        <v>0</v>
      </c>
      <c r="FA87" s="132"/>
      <c r="FB87" s="132"/>
      <c r="FL87" s="132" t="s">
        <v>355</v>
      </c>
      <c r="FM87" s="234">
        <v>30.150427560669065</v>
      </c>
      <c r="FN87" s="234">
        <v>9.0394269236644703E-2</v>
      </c>
      <c r="FO87" s="234">
        <v>7.4647476716394348</v>
      </c>
      <c r="FP87" s="234"/>
      <c r="FQ87" s="234"/>
      <c r="FR87" s="234"/>
      <c r="FS87" s="234"/>
      <c r="FT87" s="234"/>
      <c r="FU87" s="234"/>
      <c r="FV87" s="234">
        <v>644.2421909044931</v>
      </c>
      <c r="FW87" s="234">
        <v>3494.7460959815226</v>
      </c>
      <c r="FX87" s="234"/>
      <c r="FY87" s="234"/>
      <c r="FZ87" s="234"/>
      <c r="GA87" s="236">
        <v>2852.0490535886452</v>
      </c>
      <c r="GB87" s="243">
        <v>7028.7429099762066</v>
      </c>
      <c r="GF87" s="132" t="s">
        <v>355</v>
      </c>
      <c r="GG87" s="237"/>
      <c r="GH87" s="237"/>
      <c r="GI87" s="237"/>
      <c r="GJ87" s="243">
        <v>0</v>
      </c>
    </row>
    <row r="88" spans="33:192" x14ac:dyDescent="0.2">
      <c r="AG88" s="132"/>
      <c r="AH88" s="132"/>
      <c r="AR88" s="132" t="s">
        <v>377</v>
      </c>
      <c r="AS88" s="234"/>
      <c r="AT88" s="234"/>
      <c r="AU88" s="234"/>
      <c r="AV88" s="234"/>
      <c r="AW88" s="234"/>
      <c r="AX88" s="234"/>
      <c r="AY88" s="234"/>
      <c r="AZ88" s="234"/>
      <c r="BA88" s="234"/>
      <c r="BB88" s="234">
        <f>Ore_to_PI!CA152</f>
        <v>37.630021206323519</v>
      </c>
      <c r="BC88" s="234">
        <f>Ore_to_PI!CA244</f>
        <v>204.127223518021</v>
      </c>
      <c r="BD88" s="234"/>
      <c r="BE88" s="234"/>
      <c r="BF88" s="234"/>
      <c r="BG88" s="234">
        <f>Ore_to_PI!EL114</f>
        <v>44.927545117863247</v>
      </c>
      <c r="BH88" s="243">
        <f t="shared" si="6"/>
        <v>286.68478984220775</v>
      </c>
      <c r="BL88" s="132" t="s">
        <v>377</v>
      </c>
      <c r="BM88" s="237"/>
      <c r="BN88" s="237"/>
      <c r="BO88" s="243">
        <f t="shared" si="8"/>
        <v>0</v>
      </c>
      <c r="CE88" s="132" t="s">
        <v>435</v>
      </c>
      <c r="CF88" s="322">
        <v>0</v>
      </c>
      <c r="CG88" s="322">
        <v>0</v>
      </c>
      <c r="CH88" s="322">
        <v>0</v>
      </c>
      <c r="CI88" s="322">
        <v>0</v>
      </c>
      <c r="CJ88" s="322">
        <v>0</v>
      </c>
      <c r="CK88" s="322">
        <v>0</v>
      </c>
      <c r="CL88" s="322">
        <v>0</v>
      </c>
      <c r="CM88" s="322">
        <v>0</v>
      </c>
      <c r="CN88" s="322">
        <v>0</v>
      </c>
      <c r="CO88" s="322">
        <v>0</v>
      </c>
      <c r="CP88" s="322">
        <v>0</v>
      </c>
      <c r="CQ88" s="322">
        <v>208.55560337725498</v>
      </c>
      <c r="CR88" s="322">
        <v>0</v>
      </c>
      <c r="CS88" s="322">
        <v>0</v>
      </c>
      <c r="CT88" s="322">
        <v>0</v>
      </c>
      <c r="CU88" s="322">
        <v>0</v>
      </c>
      <c r="CV88" s="322">
        <v>-208.55560337725498</v>
      </c>
      <c r="CW88" s="322">
        <v>0</v>
      </c>
      <c r="CX88" s="322">
        <v>0</v>
      </c>
      <c r="CY88" s="322">
        <v>0</v>
      </c>
      <c r="CZ88" s="322">
        <v>0</v>
      </c>
      <c r="DA88" s="322">
        <v>0</v>
      </c>
      <c r="DB88" s="322">
        <v>0</v>
      </c>
      <c r="DC88" s="322">
        <v>0</v>
      </c>
      <c r="DD88" s="322">
        <v>0</v>
      </c>
      <c r="DE88" s="322">
        <v>0</v>
      </c>
      <c r="DF88" s="322">
        <v>0</v>
      </c>
      <c r="DG88" s="322">
        <v>0</v>
      </c>
      <c r="DH88" s="322">
        <v>0</v>
      </c>
      <c r="DI88" s="322">
        <v>0</v>
      </c>
      <c r="DJ88" s="322">
        <v>0</v>
      </c>
      <c r="DK88" s="322">
        <v>0</v>
      </c>
      <c r="DL88" s="322">
        <v>0</v>
      </c>
      <c r="DM88" s="322">
        <v>0</v>
      </c>
      <c r="DN88" s="322">
        <v>0</v>
      </c>
      <c r="DO88" s="322">
        <v>0</v>
      </c>
      <c r="DP88" t="e">
        <v>#N/A</v>
      </c>
      <c r="DR88" s="333">
        <f t="shared" si="7"/>
        <v>0</v>
      </c>
      <c r="FA88" s="132"/>
      <c r="FB88" s="132"/>
      <c r="FL88" s="132" t="s">
        <v>377</v>
      </c>
      <c r="FM88" s="234"/>
      <c r="FN88" s="234"/>
      <c r="FO88" s="234"/>
      <c r="FP88" s="234"/>
      <c r="FQ88" s="234"/>
      <c r="FR88" s="234"/>
      <c r="FS88" s="234"/>
      <c r="FT88" s="234"/>
      <c r="FU88" s="234"/>
      <c r="FV88" s="234">
        <v>37.630021206323519</v>
      </c>
      <c r="FW88" s="234">
        <v>204.127223518021</v>
      </c>
      <c r="FX88" s="234"/>
      <c r="FY88" s="234"/>
      <c r="FZ88" s="234"/>
      <c r="GA88" s="234">
        <v>44.927545117863247</v>
      </c>
      <c r="GB88" s="243">
        <v>286.68478984220775</v>
      </c>
      <c r="GF88" s="132" t="s">
        <v>377</v>
      </c>
      <c r="GG88" s="237"/>
      <c r="GH88" s="237"/>
      <c r="GI88" s="237"/>
      <c r="GJ88" s="243">
        <v>0</v>
      </c>
    </row>
    <row r="89" spans="33:192" x14ac:dyDescent="0.2">
      <c r="AG89" s="132"/>
      <c r="AH89" s="132"/>
      <c r="AR89" s="132" t="s">
        <v>466</v>
      </c>
      <c r="AS89" s="234">
        <f>Ore_to_PI!U59</f>
        <v>2.0694989883749622</v>
      </c>
      <c r="AT89" s="234">
        <f>Ore_to_PI!U140</f>
        <v>5.671161105764883E-3</v>
      </c>
      <c r="AU89" s="234">
        <f>Ore_to_PI!U222</f>
        <v>0.51237375403207552</v>
      </c>
      <c r="AV89" s="234"/>
      <c r="AW89" s="234"/>
      <c r="AX89" s="234"/>
      <c r="AY89" s="234"/>
      <c r="AZ89" s="234"/>
      <c r="BA89" s="234"/>
      <c r="BB89" s="234"/>
      <c r="BC89" s="234"/>
      <c r="BD89" s="234"/>
      <c r="BE89" s="234"/>
      <c r="BF89" s="234"/>
      <c r="BG89" s="234"/>
      <c r="BH89" s="243">
        <f t="shared" si="6"/>
        <v>2.5875439035128025</v>
      </c>
      <c r="BL89" s="132" t="s">
        <v>466</v>
      </c>
      <c r="BM89" s="237"/>
      <c r="BN89" s="237"/>
      <c r="BO89" s="243">
        <f t="shared" si="8"/>
        <v>0</v>
      </c>
      <c r="CE89" s="132" t="s">
        <v>434</v>
      </c>
      <c r="CF89" s="322">
        <v>0</v>
      </c>
      <c r="CG89" s="322">
        <v>0</v>
      </c>
      <c r="CH89" s="322">
        <v>0</v>
      </c>
      <c r="CI89" s="322">
        <v>0</v>
      </c>
      <c r="CJ89" s="322">
        <v>0</v>
      </c>
      <c r="CK89" s="322">
        <v>0</v>
      </c>
      <c r="CL89" s="322">
        <v>0</v>
      </c>
      <c r="CM89" s="322">
        <v>0</v>
      </c>
      <c r="CN89" s="322">
        <v>0</v>
      </c>
      <c r="CO89" s="322">
        <v>0</v>
      </c>
      <c r="CP89" s="322">
        <v>0</v>
      </c>
      <c r="CQ89" s="322">
        <v>0</v>
      </c>
      <c r="CR89" s="322">
        <v>0</v>
      </c>
      <c r="CS89" s="322">
        <v>298.6148747230165</v>
      </c>
      <c r="CT89" s="322">
        <v>0</v>
      </c>
      <c r="CU89" s="322">
        <v>0</v>
      </c>
      <c r="CV89" s="322">
        <v>0</v>
      </c>
      <c r="CW89" s="322">
        <v>-298.6148747230165</v>
      </c>
      <c r="CX89" s="322">
        <v>0</v>
      </c>
      <c r="CY89" s="322">
        <v>0</v>
      </c>
      <c r="CZ89" s="322">
        <v>0</v>
      </c>
      <c r="DA89" s="322">
        <v>0</v>
      </c>
      <c r="DB89" s="322">
        <v>0</v>
      </c>
      <c r="DC89" s="322">
        <v>0</v>
      </c>
      <c r="DD89" s="322">
        <v>0</v>
      </c>
      <c r="DE89" s="322">
        <v>0</v>
      </c>
      <c r="DF89" s="322">
        <v>0</v>
      </c>
      <c r="DG89" s="322">
        <v>0</v>
      </c>
      <c r="DH89" s="322">
        <v>0</v>
      </c>
      <c r="DI89" s="322">
        <v>0</v>
      </c>
      <c r="DJ89" s="322">
        <v>0</v>
      </c>
      <c r="DK89" s="322">
        <v>0</v>
      </c>
      <c r="DL89" s="322">
        <v>0</v>
      </c>
      <c r="DM89" s="322">
        <v>0</v>
      </c>
      <c r="DN89" s="322">
        <v>0</v>
      </c>
      <c r="DO89" s="322">
        <v>0</v>
      </c>
      <c r="DP89" t="e">
        <v>#N/A</v>
      </c>
      <c r="DR89" s="333">
        <f t="shared" si="7"/>
        <v>0</v>
      </c>
      <c r="FA89" s="132"/>
      <c r="FB89" s="132"/>
      <c r="FL89" s="132" t="s">
        <v>466</v>
      </c>
      <c r="FM89" s="234">
        <v>2.0694989883749622</v>
      </c>
      <c r="FN89" s="234">
        <v>5.671161105764883E-3</v>
      </c>
      <c r="FO89" s="234">
        <v>0.51237375403207552</v>
      </c>
      <c r="FP89" s="234"/>
      <c r="FQ89" s="234"/>
      <c r="FR89" s="234"/>
      <c r="FS89" s="234"/>
      <c r="FT89" s="234"/>
      <c r="FU89" s="234"/>
      <c r="FV89" s="234"/>
      <c r="FW89" s="234"/>
      <c r="FX89" s="234"/>
      <c r="FY89" s="234"/>
      <c r="FZ89" s="234"/>
      <c r="GA89" s="234"/>
      <c r="GB89" s="243">
        <v>2.5875439035128025</v>
      </c>
      <c r="GF89" s="132" t="s">
        <v>466</v>
      </c>
      <c r="GG89" s="237"/>
      <c r="GH89" s="237"/>
      <c r="GI89" s="237"/>
      <c r="GJ89" s="243">
        <v>0</v>
      </c>
    </row>
    <row r="90" spans="33:192" x14ac:dyDescent="0.2">
      <c r="AG90" s="132"/>
      <c r="AH90" s="132"/>
      <c r="AR90" s="132" t="s">
        <v>467</v>
      </c>
      <c r="AS90" s="234"/>
      <c r="AT90" s="234">
        <f>Ore_to_PI!U151</f>
        <v>5.1714158616864253E-4</v>
      </c>
      <c r="AU90" s="234"/>
      <c r="AV90" s="234"/>
      <c r="AW90" s="234"/>
      <c r="AX90" s="234"/>
      <c r="AY90" s="234"/>
      <c r="AZ90" s="234"/>
      <c r="BA90" s="234"/>
      <c r="BB90" s="234"/>
      <c r="BC90" s="234"/>
      <c r="BD90" s="234"/>
      <c r="BE90" s="234"/>
      <c r="BF90" s="234"/>
      <c r="BG90" s="234"/>
      <c r="BH90" s="243">
        <f t="shared" si="6"/>
        <v>5.1714158616864253E-4</v>
      </c>
      <c r="BL90" s="132" t="s">
        <v>467</v>
      </c>
      <c r="BM90" s="237"/>
      <c r="BN90" s="237"/>
      <c r="BO90" s="243">
        <f t="shared" si="8"/>
        <v>0</v>
      </c>
      <c r="CE90" s="132" t="s">
        <v>351</v>
      </c>
      <c r="CF90" s="322">
        <v>0</v>
      </c>
      <c r="CG90" s="322">
        <v>0</v>
      </c>
      <c r="CH90" s="322">
        <v>0</v>
      </c>
      <c r="CI90" s="322">
        <v>0</v>
      </c>
      <c r="CJ90" s="322">
        <v>0</v>
      </c>
      <c r="CK90" s="322">
        <v>0</v>
      </c>
      <c r="CL90" s="322">
        <v>0</v>
      </c>
      <c r="CM90" s="322">
        <v>0</v>
      </c>
      <c r="CN90" s="322">
        <v>0</v>
      </c>
      <c r="CO90" s="322">
        <v>0</v>
      </c>
      <c r="CP90" s="322">
        <v>0</v>
      </c>
      <c r="CQ90" s="322">
        <v>0</v>
      </c>
      <c r="CR90" s="322">
        <v>0</v>
      </c>
      <c r="CS90" s="322">
        <v>0</v>
      </c>
      <c r="CT90" s="322">
        <v>0</v>
      </c>
      <c r="CU90" s="322">
        <v>1011.7674660019052</v>
      </c>
      <c r="CV90" s="322">
        <v>0</v>
      </c>
      <c r="CW90" s="322">
        <v>0</v>
      </c>
      <c r="CX90" s="322">
        <v>-1000.0000000000001</v>
      </c>
      <c r="CY90" s="322">
        <v>-11.767466001905108</v>
      </c>
      <c r="CZ90" s="322">
        <v>0</v>
      </c>
      <c r="DA90" s="322">
        <v>0</v>
      </c>
      <c r="DB90" s="322">
        <v>0</v>
      </c>
      <c r="DC90" s="322">
        <v>0</v>
      </c>
      <c r="DD90" s="322">
        <v>0</v>
      </c>
      <c r="DE90" s="322">
        <v>0</v>
      </c>
      <c r="DF90" s="322">
        <v>0</v>
      </c>
      <c r="DG90" s="322">
        <v>0</v>
      </c>
      <c r="DH90" s="322">
        <v>0</v>
      </c>
      <c r="DI90" s="322">
        <v>0</v>
      </c>
      <c r="DJ90" s="322">
        <v>0</v>
      </c>
      <c r="DK90" s="322">
        <v>0</v>
      </c>
      <c r="DL90" s="322">
        <v>0</v>
      </c>
      <c r="DM90" s="322">
        <v>0</v>
      </c>
      <c r="DN90" s="322">
        <v>0</v>
      </c>
      <c r="DO90" s="322">
        <v>0</v>
      </c>
      <c r="DP90" t="e">
        <v>#N/A</v>
      </c>
      <c r="DR90" s="333">
        <f t="shared" si="7"/>
        <v>-4.4408920985006262E-14</v>
      </c>
      <c r="FA90" s="132"/>
      <c r="FB90" s="132"/>
      <c r="FL90" s="132" t="s">
        <v>467</v>
      </c>
      <c r="FM90" s="234"/>
      <c r="FN90" s="234">
        <v>5.1714158616864253E-4</v>
      </c>
      <c r="FO90" s="234"/>
      <c r="FP90" s="234"/>
      <c r="FQ90" s="234"/>
      <c r="FR90" s="234"/>
      <c r="FS90" s="234"/>
      <c r="FT90" s="234"/>
      <c r="FU90" s="234"/>
      <c r="FV90" s="234"/>
      <c r="FW90" s="234"/>
      <c r="FX90" s="234"/>
      <c r="FY90" s="234"/>
      <c r="FZ90" s="234"/>
      <c r="GA90" s="234"/>
      <c r="GB90" s="243">
        <v>5.1714158616864253E-4</v>
      </c>
      <c r="GF90" s="132" t="s">
        <v>467</v>
      </c>
      <c r="GG90" s="237"/>
      <c r="GH90" s="237"/>
      <c r="GI90" s="237"/>
      <c r="GJ90" s="243">
        <v>0</v>
      </c>
    </row>
    <row r="91" spans="33:192" x14ac:dyDescent="0.2">
      <c r="AG91" s="132"/>
      <c r="AH91" s="132"/>
      <c r="AR91" s="132" t="s">
        <v>411</v>
      </c>
      <c r="AS91" s="234"/>
      <c r="AT91" s="234"/>
      <c r="AU91" s="234"/>
      <c r="AV91" s="234"/>
      <c r="AW91" s="234"/>
      <c r="AX91" s="234"/>
      <c r="AY91" s="234"/>
      <c r="AZ91" s="234"/>
      <c r="BA91" s="234"/>
      <c r="BB91" s="234"/>
      <c r="BC91" s="234"/>
      <c r="BD91" s="234"/>
      <c r="BE91" s="234"/>
      <c r="BF91" s="234"/>
      <c r="BG91" s="234">
        <f>Ore_to_PI!EL101</f>
        <v>4.914718171980665</v>
      </c>
      <c r="BH91" s="243">
        <f t="shared" si="6"/>
        <v>4.914718171980665</v>
      </c>
      <c r="BL91" s="132" t="s">
        <v>411</v>
      </c>
      <c r="BM91" s="237"/>
      <c r="BN91" s="237"/>
      <c r="BO91" s="243">
        <f t="shared" si="8"/>
        <v>0</v>
      </c>
      <c r="CE91" s="132" t="s">
        <v>348</v>
      </c>
      <c r="CF91" s="322">
        <v>0</v>
      </c>
      <c r="CG91" s="322">
        <v>0</v>
      </c>
      <c r="CH91" s="322">
        <v>0</v>
      </c>
      <c r="CI91" s="322">
        <v>0</v>
      </c>
      <c r="CJ91" s="322">
        <v>0</v>
      </c>
      <c r="CK91" s="322">
        <v>0</v>
      </c>
      <c r="CL91" s="322">
        <v>0</v>
      </c>
      <c r="CM91" s="322">
        <v>0</v>
      </c>
      <c r="CN91" s="322">
        <v>0</v>
      </c>
      <c r="CO91" s="322">
        <v>0</v>
      </c>
      <c r="CP91" s="322">
        <v>0</v>
      </c>
      <c r="CQ91" s="322">
        <v>0</v>
      </c>
      <c r="CR91" s="322">
        <v>0</v>
      </c>
      <c r="CS91" s="322">
        <v>0</v>
      </c>
      <c r="CT91" s="322">
        <v>0</v>
      </c>
      <c r="CU91" s="322">
        <v>0</v>
      </c>
      <c r="CV91" s="322">
        <v>208.55560337725498</v>
      </c>
      <c r="CW91" s="322">
        <v>0</v>
      </c>
      <c r="CX91" s="322">
        <v>0</v>
      </c>
      <c r="CY91" s="322">
        <v>0</v>
      </c>
      <c r="CZ91" s="322">
        <v>-208.55560337725498</v>
      </c>
      <c r="DA91" s="322">
        <v>0</v>
      </c>
      <c r="DB91" s="322">
        <v>0</v>
      </c>
      <c r="DC91" s="322">
        <v>0</v>
      </c>
      <c r="DD91" s="322">
        <v>0</v>
      </c>
      <c r="DE91" s="322">
        <v>0</v>
      </c>
      <c r="DF91" s="322">
        <v>0</v>
      </c>
      <c r="DG91" s="322">
        <v>0</v>
      </c>
      <c r="DH91" s="322">
        <v>0</v>
      </c>
      <c r="DI91" s="322">
        <v>0</v>
      </c>
      <c r="DJ91" s="322">
        <v>0</v>
      </c>
      <c r="DK91" s="322">
        <v>0</v>
      </c>
      <c r="DL91" s="322">
        <v>0</v>
      </c>
      <c r="DM91" s="322">
        <v>0</v>
      </c>
      <c r="DN91" s="322">
        <v>0</v>
      </c>
      <c r="DO91" s="322">
        <v>0</v>
      </c>
      <c r="DP91" t="e">
        <v>#N/A</v>
      </c>
      <c r="DR91" s="333">
        <f t="shared" si="7"/>
        <v>0</v>
      </c>
      <c r="FA91" s="132"/>
      <c r="FB91" s="132"/>
      <c r="FL91" s="132" t="s">
        <v>411</v>
      </c>
      <c r="FM91" s="234"/>
      <c r="FN91" s="234"/>
      <c r="FO91" s="234"/>
      <c r="FP91" s="234"/>
      <c r="FQ91" s="234"/>
      <c r="FR91" s="234"/>
      <c r="FS91" s="234"/>
      <c r="FT91" s="234"/>
      <c r="FU91" s="234"/>
      <c r="FV91" s="234"/>
      <c r="FW91" s="234"/>
      <c r="FX91" s="234"/>
      <c r="FY91" s="234"/>
      <c r="FZ91" s="234"/>
      <c r="GA91" s="234">
        <v>4.914718171980665</v>
      </c>
      <c r="GB91" s="243">
        <v>4.914718171980665</v>
      </c>
      <c r="GF91" s="132" t="s">
        <v>411</v>
      </c>
      <c r="GG91" s="237"/>
      <c r="GH91" s="237"/>
      <c r="GI91" s="237"/>
      <c r="GJ91" s="243">
        <v>0</v>
      </c>
    </row>
    <row r="92" spans="33:192" ht="16" customHeight="1" x14ac:dyDescent="0.2">
      <c r="AG92" s="239"/>
      <c r="AH92" s="239"/>
      <c r="AR92" s="132" t="s">
        <v>459</v>
      </c>
      <c r="AS92" s="234"/>
      <c r="AT92" s="234"/>
      <c r="AU92" s="234">
        <v>0</v>
      </c>
      <c r="AV92" s="234">
        <v>0</v>
      </c>
      <c r="AW92" s="234">
        <v>0</v>
      </c>
      <c r="AX92" s="234">
        <v>0</v>
      </c>
      <c r="AY92" s="234">
        <v>0</v>
      </c>
      <c r="AZ92" s="234">
        <v>0</v>
      </c>
      <c r="BA92" s="234">
        <v>0</v>
      </c>
      <c r="BB92" s="234"/>
      <c r="BC92" s="234"/>
      <c r="BD92" s="234">
        <v>0</v>
      </c>
      <c r="BE92" s="234"/>
      <c r="BF92" s="234"/>
      <c r="BG92" s="234">
        <v>0</v>
      </c>
      <c r="BH92" s="243">
        <f t="shared" si="6"/>
        <v>0</v>
      </c>
      <c r="BL92" s="132" t="s">
        <v>459</v>
      </c>
      <c r="BM92" s="237"/>
      <c r="BN92" s="237"/>
      <c r="BO92" s="243">
        <f t="shared" si="8"/>
        <v>0</v>
      </c>
      <c r="CE92" s="132" t="s">
        <v>362</v>
      </c>
      <c r="CF92" s="322">
        <v>0</v>
      </c>
      <c r="CG92" s="322">
        <v>0</v>
      </c>
      <c r="CH92" s="322">
        <v>0</v>
      </c>
      <c r="CI92" s="322">
        <v>0</v>
      </c>
      <c r="CJ92" s="322">
        <v>0</v>
      </c>
      <c r="CK92" s="322">
        <v>0</v>
      </c>
      <c r="CL92" s="322">
        <v>0</v>
      </c>
      <c r="CM92" s="322">
        <v>0</v>
      </c>
      <c r="CN92" s="322">
        <v>0</v>
      </c>
      <c r="CO92" s="322">
        <v>0</v>
      </c>
      <c r="CP92" s="322">
        <v>0</v>
      </c>
      <c r="CQ92" s="322">
        <v>0</v>
      </c>
      <c r="CR92" s="322">
        <v>0</v>
      </c>
      <c r="CS92" s="322">
        <v>0</v>
      </c>
      <c r="CT92" s="322">
        <v>0</v>
      </c>
      <c r="CU92" s="322">
        <v>0</v>
      </c>
      <c r="CV92" s="322">
        <v>0</v>
      </c>
      <c r="CW92" s="322">
        <v>298.6148747230165</v>
      </c>
      <c r="CX92" s="322">
        <v>0</v>
      </c>
      <c r="CY92" s="322">
        <v>0</v>
      </c>
      <c r="CZ92" s="322">
        <v>0</v>
      </c>
      <c r="DA92" s="322">
        <v>-298.6148747230165</v>
      </c>
      <c r="DB92" s="322">
        <v>0</v>
      </c>
      <c r="DC92" s="322">
        <v>0</v>
      </c>
      <c r="DD92" s="322">
        <v>0</v>
      </c>
      <c r="DE92" s="322">
        <v>0</v>
      </c>
      <c r="DF92" s="322">
        <v>0</v>
      </c>
      <c r="DG92" s="322">
        <v>0</v>
      </c>
      <c r="DH92" s="322">
        <v>0</v>
      </c>
      <c r="DI92" s="322">
        <v>0</v>
      </c>
      <c r="DJ92" s="322">
        <v>0</v>
      </c>
      <c r="DK92" s="322">
        <v>0</v>
      </c>
      <c r="DL92" s="322">
        <v>0</v>
      </c>
      <c r="DM92" s="322">
        <v>0</v>
      </c>
      <c r="DN92" s="322">
        <v>0</v>
      </c>
      <c r="DO92" s="322">
        <v>0</v>
      </c>
      <c r="DP92" t="e">
        <v>#N/A</v>
      </c>
      <c r="DR92" s="333">
        <f t="shared" si="7"/>
        <v>0</v>
      </c>
      <c r="FA92" s="239"/>
      <c r="FB92" s="239"/>
      <c r="FL92" s="132" t="s">
        <v>459</v>
      </c>
      <c r="FM92" s="234"/>
      <c r="FN92" s="234"/>
      <c r="FO92" s="234">
        <v>0</v>
      </c>
      <c r="FP92" s="234">
        <v>0</v>
      </c>
      <c r="FQ92" s="234">
        <v>0</v>
      </c>
      <c r="FR92" s="234">
        <v>0</v>
      </c>
      <c r="FS92" s="234">
        <v>0</v>
      </c>
      <c r="FT92" s="234">
        <v>0</v>
      </c>
      <c r="FU92" s="234">
        <v>0</v>
      </c>
      <c r="FV92" s="234"/>
      <c r="FW92" s="234"/>
      <c r="FX92" s="234">
        <v>0</v>
      </c>
      <c r="FY92" s="234"/>
      <c r="FZ92" s="234"/>
      <c r="GA92" s="234">
        <v>0</v>
      </c>
      <c r="GB92" s="243">
        <v>0</v>
      </c>
      <c r="GF92" s="132" t="s">
        <v>459</v>
      </c>
      <c r="GG92" s="237"/>
      <c r="GH92" s="237"/>
      <c r="GI92" s="237"/>
      <c r="GJ92" s="243">
        <v>0</v>
      </c>
    </row>
    <row r="93" spans="33:192" ht="16" x14ac:dyDescent="0.2">
      <c r="AG93" s="229"/>
      <c r="AH93" s="229"/>
      <c r="AR93" s="229" t="s">
        <v>442</v>
      </c>
      <c r="AS93" s="234"/>
      <c r="AT93" s="234"/>
      <c r="AU93" s="234"/>
      <c r="AV93" s="234">
        <f>Ore_to_PI!AN42</f>
        <v>1011.7674660019052</v>
      </c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34"/>
      <c r="BH93" s="243">
        <f t="shared" si="6"/>
        <v>1011.7674660019052</v>
      </c>
      <c r="BL93" s="229" t="s">
        <v>442</v>
      </c>
      <c r="BM93" s="237"/>
      <c r="BN93" s="237"/>
      <c r="BO93" s="243">
        <f t="shared" si="8"/>
        <v>0</v>
      </c>
      <c r="CE93" s="132" t="s">
        <v>349</v>
      </c>
      <c r="CF93" s="322">
        <v>0</v>
      </c>
      <c r="CG93" s="322">
        <v>0</v>
      </c>
      <c r="CH93" s="322">
        <v>0</v>
      </c>
      <c r="CI93" s="322">
        <v>644.2421909044931</v>
      </c>
      <c r="CJ93" s="322">
        <v>37.630021206323519</v>
      </c>
      <c r="CK93" s="322">
        <v>0</v>
      </c>
      <c r="CL93" s="322">
        <v>0</v>
      </c>
      <c r="CM93" s="322">
        <v>0</v>
      </c>
      <c r="CN93" s="322">
        <v>0</v>
      </c>
      <c r="CO93" s="322">
        <v>0</v>
      </c>
      <c r="CP93" s="322">
        <v>0</v>
      </c>
      <c r="CQ93" s="322">
        <v>0</v>
      </c>
      <c r="CR93" s="322">
        <v>0</v>
      </c>
      <c r="CS93" s="322">
        <v>0</v>
      </c>
      <c r="CT93" s="322">
        <v>0</v>
      </c>
      <c r="CU93" s="322">
        <v>0</v>
      </c>
      <c r="CV93" s="322">
        <v>0</v>
      </c>
      <c r="CW93" s="322">
        <v>0</v>
      </c>
      <c r="CX93" s="322">
        <v>0</v>
      </c>
      <c r="CY93" s="322">
        <v>0</v>
      </c>
      <c r="CZ93" s="322">
        <v>208.55560337725498</v>
      </c>
      <c r="DA93" s="322">
        <v>0</v>
      </c>
      <c r="DB93" s="322">
        <v>-111.00813284002646</v>
      </c>
      <c r="DC93" s="322">
        <v>-4.9847525450981189</v>
      </c>
      <c r="DD93" s="322">
        <v>-774.43493010294708</v>
      </c>
      <c r="DE93" s="322">
        <v>0</v>
      </c>
      <c r="DF93" s="322">
        <v>0</v>
      </c>
      <c r="DG93" s="322">
        <v>0</v>
      </c>
      <c r="DH93" s="322">
        <v>0</v>
      </c>
      <c r="DI93" s="322">
        <v>0</v>
      </c>
      <c r="DJ93" s="322">
        <v>0</v>
      </c>
      <c r="DK93" s="322">
        <v>0</v>
      </c>
      <c r="DL93" s="322">
        <v>0</v>
      </c>
      <c r="DM93" s="322">
        <v>0</v>
      </c>
      <c r="DN93" s="322">
        <v>0</v>
      </c>
      <c r="DO93" s="322">
        <v>0</v>
      </c>
      <c r="DP93" t="e">
        <v>#N/A</v>
      </c>
      <c r="DR93" s="333">
        <f t="shared" si="7"/>
        <v>0</v>
      </c>
      <c r="FA93" s="229"/>
      <c r="FB93" s="229"/>
      <c r="FL93" s="229" t="s">
        <v>442</v>
      </c>
      <c r="FM93" s="234"/>
      <c r="FN93" s="234"/>
      <c r="FO93" s="234"/>
      <c r="FP93" s="234">
        <v>1011.7674660019052</v>
      </c>
      <c r="FQ93" s="234"/>
      <c r="FR93" s="234"/>
      <c r="FS93" s="234"/>
      <c r="FT93" s="234"/>
      <c r="FU93" s="234"/>
      <c r="FV93" s="234"/>
      <c r="FW93" s="234"/>
      <c r="FX93" s="234"/>
      <c r="FY93" s="234"/>
      <c r="FZ93" s="234"/>
      <c r="GA93" s="234"/>
      <c r="GB93" s="243">
        <v>1011.7674660019052</v>
      </c>
      <c r="GF93" s="229" t="s">
        <v>442</v>
      </c>
      <c r="GG93" s="237"/>
      <c r="GH93" s="237"/>
      <c r="GI93" s="237"/>
      <c r="GJ93" s="243">
        <v>0</v>
      </c>
    </row>
    <row r="94" spans="33:192" ht="16" customHeight="1" x14ac:dyDescent="0.2">
      <c r="AG94" s="230"/>
      <c r="AH94" s="230"/>
      <c r="AR94" s="132" t="s">
        <v>409</v>
      </c>
      <c r="AS94" s="234"/>
      <c r="AT94" s="234"/>
      <c r="AU94" s="234"/>
      <c r="AV94" s="234"/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34"/>
      <c r="BH94" s="243">
        <f t="shared" si="6"/>
        <v>0</v>
      </c>
      <c r="BL94" s="132" t="s">
        <v>409</v>
      </c>
      <c r="BM94" s="237"/>
      <c r="BN94" s="237">
        <f>Ore_to_PI!AN63</f>
        <v>32.219926549044033</v>
      </c>
      <c r="BO94" s="243">
        <f t="shared" si="8"/>
        <v>32.219926549044033</v>
      </c>
      <c r="CE94" s="132" t="s">
        <v>344</v>
      </c>
      <c r="CF94" s="322">
        <v>0</v>
      </c>
      <c r="CG94" s="322">
        <v>0</v>
      </c>
      <c r="CH94" s="322">
        <v>0</v>
      </c>
      <c r="CI94" s="322">
        <v>3494.7460959815226</v>
      </c>
      <c r="CJ94" s="322">
        <v>204.127223518021</v>
      </c>
      <c r="CK94" s="322">
        <v>0</v>
      </c>
      <c r="CL94" s="322">
        <v>0</v>
      </c>
      <c r="CM94" s="322">
        <v>0</v>
      </c>
      <c r="CN94" s="322">
        <v>0</v>
      </c>
      <c r="CO94" s="322">
        <v>0</v>
      </c>
      <c r="CP94" s="322">
        <v>0</v>
      </c>
      <c r="CQ94" s="322">
        <v>0</v>
      </c>
      <c r="CR94" s="322">
        <v>0</v>
      </c>
      <c r="CS94" s="322">
        <v>0</v>
      </c>
      <c r="CT94" s="322">
        <v>0</v>
      </c>
      <c r="CU94" s="322">
        <v>0</v>
      </c>
      <c r="CV94" s="322">
        <v>0</v>
      </c>
      <c r="CW94" s="322">
        <v>0</v>
      </c>
      <c r="CX94" s="322">
        <v>0</v>
      </c>
      <c r="CY94" s="322">
        <v>0</v>
      </c>
      <c r="CZ94" s="322">
        <v>0</v>
      </c>
      <c r="DA94" s="322">
        <v>298.6148747230165</v>
      </c>
      <c r="DB94" s="322">
        <v>0</v>
      </c>
      <c r="DC94" s="322">
        <v>0</v>
      </c>
      <c r="DD94" s="322">
        <v>0</v>
      </c>
      <c r="DE94" s="322">
        <v>-203.27980063725872</v>
      </c>
      <c r="DF94" s="322">
        <v>-46.0998047134687</v>
      </c>
      <c r="DG94" s="322">
        <v>-23.982067525572877</v>
      </c>
      <c r="DH94" s="322">
        <v>-25.253201846716312</v>
      </c>
      <c r="DI94" s="322">
        <v>-3698.8733194995434</v>
      </c>
      <c r="DJ94" s="322">
        <v>0</v>
      </c>
      <c r="DK94" s="322">
        <v>0</v>
      </c>
      <c r="DL94" s="322">
        <v>0</v>
      </c>
      <c r="DM94" s="322">
        <v>0</v>
      </c>
      <c r="DN94" s="322">
        <v>0</v>
      </c>
      <c r="DO94" s="322">
        <v>0</v>
      </c>
      <c r="DP94" t="e">
        <v>#N/A</v>
      </c>
      <c r="DR94" s="333">
        <f t="shared" si="7"/>
        <v>0</v>
      </c>
      <c r="FA94" s="230"/>
      <c r="FB94" s="230"/>
      <c r="FL94" s="132" t="s">
        <v>409</v>
      </c>
      <c r="FM94" s="234"/>
      <c r="FN94" s="234"/>
      <c r="FO94" s="234"/>
      <c r="FP94" s="234"/>
      <c r="FQ94" s="234"/>
      <c r="FR94" s="234"/>
      <c r="FS94" s="234"/>
      <c r="FT94" s="234"/>
      <c r="FU94" s="234"/>
      <c r="FV94" s="234"/>
      <c r="FW94" s="234"/>
      <c r="FX94" s="234"/>
      <c r="FY94" s="234"/>
      <c r="FZ94" s="234"/>
      <c r="GA94" s="234"/>
      <c r="GB94" s="243">
        <v>0</v>
      </c>
      <c r="GF94" s="132" t="s">
        <v>409</v>
      </c>
      <c r="GG94" s="237"/>
      <c r="GH94" s="237">
        <v>32.219926549044033</v>
      </c>
      <c r="GI94" s="237"/>
      <c r="GJ94" s="243">
        <v>32.219926549044033</v>
      </c>
    </row>
    <row r="95" spans="33:192" ht="16" x14ac:dyDescent="0.2">
      <c r="AG95" s="230"/>
      <c r="AH95" s="230"/>
      <c r="AR95" s="229" t="s">
        <v>412</v>
      </c>
      <c r="AS95" s="234"/>
      <c r="AT95" s="234"/>
      <c r="AU95" s="234"/>
      <c r="AV95" s="234"/>
      <c r="AW95" s="234">
        <f>Ore_to_PI!AO126</f>
        <v>208.55560337725498</v>
      </c>
      <c r="AX95" s="234"/>
      <c r="AY95" s="234"/>
      <c r="AZ95" s="234"/>
      <c r="BA95" s="234"/>
      <c r="BB95" s="234"/>
      <c r="BC95" s="234"/>
      <c r="BD95" s="234"/>
      <c r="BE95" s="234"/>
      <c r="BF95" s="234"/>
      <c r="BG95" s="234"/>
      <c r="BH95" s="243">
        <f t="shared" si="6"/>
        <v>208.55560337725498</v>
      </c>
      <c r="BL95" s="229" t="s">
        <v>412</v>
      </c>
      <c r="BM95" s="237"/>
      <c r="BN95" s="241"/>
      <c r="BO95" s="243">
        <f t="shared" si="8"/>
        <v>0</v>
      </c>
      <c r="CE95" s="132" t="s">
        <v>514</v>
      </c>
      <c r="CF95" s="322">
        <v>0</v>
      </c>
      <c r="CG95" s="322">
        <v>0</v>
      </c>
      <c r="CH95" s="322">
        <v>0</v>
      </c>
      <c r="CI95" s="322">
        <v>0</v>
      </c>
      <c r="CJ95" s="322">
        <v>0</v>
      </c>
      <c r="CK95" s="322">
        <v>0</v>
      </c>
      <c r="CL95" s="322">
        <v>0</v>
      </c>
      <c r="CM95" s="322">
        <v>0</v>
      </c>
      <c r="CN95" s="322">
        <v>0</v>
      </c>
      <c r="CO95" s="322">
        <v>0</v>
      </c>
      <c r="CP95" s="322">
        <v>0</v>
      </c>
      <c r="CQ95" s="322">
        <v>0</v>
      </c>
      <c r="CR95" s="322">
        <v>0</v>
      </c>
      <c r="CS95" s="322">
        <v>0</v>
      </c>
      <c r="CT95" s="322">
        <v>0</v>
      </c>
      <c r="CU95" s="322">
        <v>0</v>
      </c>
      <c r="CV95" s="322">
        <v>0</v>
      </c>
      <c r="CW95" s="322">
        <v>0</v>
      </c>
      <c r="CX95" s="322">
        <v>0</v>
      </c>
      <c r="CY95" s="322">
        <v>0</v>
      </c>
      <c r="CZ95" s="322">
        <v>0</v>
      </c>
      <c r="DA95" s="322">
        <v>0</v>
      </c>
      <c r="DB95" s="322">
        <v>0</v>
      </c>
      <c r="DC95" s="322">
        <v>0</v>
      </c>
      <c r="DD95" s="322">
        <v>0</v>
      </c>
      <c r="DE95" s="322">
        <v>0</v>
      </c>
      <c r="DF95" s="322">
        <v>46.0998047134687</v>
      </c>
      <c r="DG95" s="322">
        <v>0</v>
      </c>
      <c r="DH95" s="322">
        <v>0</v>
      </c>
      <c r="DI95" s="322">
        <v>0</v>
      </c>
      <c r="DJ95" s="322">
        <v>-46.099804713468714</v>
      </c>
      <c r="DK95" s="322">
        <v>0</v>
      </c>
      <c r="DL95" s="322">
        <v>0</v>
      </c>
      <c r="DM95" s="322">
        <v>0</v>
      </c>
      <c r="DN95" s="322">
        <v>0</v>
      </c>
      <c r="DO95" s="322">
        <v>0</v>
      </c>
      <c r="DP95" t="e">
        <v>#N/A</v>
      </c>
      <c r="DR95" s="333">
        <f t="shared" si="7"/>
        <v>-1.4210854715202004E-14</v>
      </c>
      <c r="FA95" s="230"/>
      <c r="FB95" s="230"/>
      <c r="FL95" s="229" t="s">
        <v>412</v>
      </c>
      <c r="FM95" s="234"/>
      <c r="FN95" s="234"/>
      <c r="FO95" s="234"/>
      <c r="FP95" s="234"/>
      <c r="FQ95" s="234">
        <v>208.55560337725498</v>
      </c>
      <c r="FR95" s="234"/>
      <c r="FS95" s="234"/>
      <c r="FT95" s="234"/>
      <c r="FU95" s="234"/>
      <c r="FV95" s="234"/>
      <c r="FW95" s="234"/>
      <c r="FX95" s="234"/>
      <c r="FY95" s="234"/>
      <c r="FZ95" s="234"/>
      <c r="GA95" s="234"/>
      <c r="GB95" s="243">
        <v>208.55560337725498</v>
      </c>
      <c r="GF95" s="229" t="s">
        <v>412</v>
      </c>
      <c r="GG95" s="237"/>
      <c r="GH95" s="241"/>
      <c r="GI95" s="241"/>
      <c r="GJ95" s="243">
        <v>0</v>
      </c>
    </row>
    <row r="96" spans="33:192" x14ac:dyDescent="0.2">
      <c r="AG96" s="230"/>
      <c r="AH96" s="230"/>
      <c r="AR96" s="132" t="s">
        <v>437</v>
      </c>
      <c r="AS96" s="234"/>
      <c r="AT96" s="234"/>
      <c r="AU96" s="234"/>
      <c r="AV96" s="234"/>
      <c r="AW96" s="234"/>
      <c r="AX96" s="234"/>
      <c r="AY96" s="234"/>
      <c r="AZ96" s="234"/>
      <c r="BA96" s="234"/>
      <c r="BB96" s="234"/>
      <c r="BC96" s="234"/>
      <c r="BD96" s="234"/>
      <c r="BE96" s="234"/>
      <c r="BF96" s="236"/>
      <c r="BG96" s="234"/>
      <c r="BH96" s="243">
        <f t="shared" si="6"/>
        <v>0</v>
      </c>
      <c r="BL96" s="132" t="s">
        <v>437</v>
      </c>
      <c r="BM96" s="237"/>
      <c r="BN96" s="237">
        <f>Ore_to_PI!AO142</f>
        <v>9.658257192857822E-2</v>
      </c>
      <c r="BO96" s="243">
        <f t="shared" si="8"/>
        <v>9.658257192857822E-2</v>
      </c>
      <c r="CE96" s="132" t="s">
        <v>516</v>
      </c>
      <c r="CF96" s="322">
        <v>0</v>
      </c>
      <c r="CG96" s="322">
        <v>0</v>
      </c>
      <c r="CH96" s="322">
        <v>0</v>
      </c>
      <c r="CI96" s="322">
        <v>0</v>
      </c>
      <c r="CJ96" s="322">
        <v>0</v>
      </c>
      <c r="CK96" s="322">
        <v>0</v>
      </c>
      <c r="CL96" s="322">
        <v>0</v>
      </c>
      <c r="CM96" s="322">
        <v>0</v>
      </c>
      <c r="CN96" s="322">
        <v>0</v>
      </c>
      <c r="CO96" s="322">
        <v>0</v>
      </c>
      <c r="CP96" s="322">
        <v>0</v>
      </c>
      <c r="CQ96" s="322">
        <v>0</v>
      </c>
      <c r="CR96" s="322">
        <v>0</v>
      </c>
      <c r="CS96" s="322">
        <v>0</v>
      </c>
      <c r="CT96" s="322">
        <v>0</v>
      </c>
      <c r="CU96" s="322">
        <v>0</v>
      </c>
      <c r="CV96" s="322">
        <v>0</v>
      </c>
      <c r="CW96" s="322">
        <v>0</v>
      </c>
      <c r="CX96" s="322">
        <v>0</v>
      </c>
      <c r="CY96" s="322">
        <v>0</v>
      </c>
      <c r="CZ96" s="322">
        <v>0</v>
      </c>
      <c r="DA96" s="322">
        <v>0</v>
      </c>
      <c r="DB96" s="322">
        <v>0</v>
      </c>
      <c r="DC96" s="322">
        <v>0</v>
      </c>
      <c r="DD96" s="322">
        <v>0</v>
      </c>
      <c r="DE96" s="322">
        <v>0</v>
      </c>
      <c r="DF96" s="322">
        <v>0</v>
      </c>
      <c r="DG96" s="322">
        <v>0</v>
      </c>
      <c r="DH96" s="322">
        <v>0</v>
      </c>
      <c r="DI96" s="322">
        <v>0</v>
      </c>
      <c r="DJ96" s="322">
        <v>46.099804713468714</v>
      </c>
      <c r="DK96" s="322">
        <v>-46.099804713468714</v>
      </c>
      <c r="DL96" s="322">
        <v>0</v>
      </c>
      <c r="DM96" s="322">
        <v>0</v>
      </c>
      <c r="DN96" s="322">
        <v>0</v>
      </c>
      <c r="DO96" s="322">
        <v>0</v>
      </c>
      <c r="DP96" t="e">
        <v>#N/A</v>
      </c>
      <c r="DR96" s="333">
        <f t="shared" si="7"/>
        <v>0</v>
      </c>
      <c r="FA96" s="230"/>
      <c r="FB96" s="230"/>
      <c r="FL96" s="132" t="s">
        <v>437</v>
      </c>
      <c r="FM96" s="234"/>
      <c r="FN96" s="234"/>
      <c r="FO96" s="234"/>
      <c r="FP96" s="234"/>
      <c r="FQ96" s="234"/>
      <c r="FR96" s="234"/>
      <c r="FS96" s="234"/>
      <c r="FT96" s="234"/>
      <c r="FU96" s="234"/>
      <c r="FV96" s="234"/>
      <c r="FW96" s="234"/>
      <c r="FX96" s="234"/>
      <c r="FY96" s="234"/>
      <c r="FZ96" s="236"/>
      <c r="GA96" s="234"/>
      <c r="GB96" s="243">
        <v>0</v>
      </c>
      <c r="GF96" s="132" t="s">
        <v>437</v>
      </c>
      <c r="GG96" s="237"/>
      <c r="GH96" s="237">
        <v>9.658257192857822E-2</v>
      </c>
      <c r="GI96" s="237"/>
      <c r="GJ96" s="243">
        <v>9.658257192857822E-2</v>
      </c>
    </row>
    <row r="97" spans="33:192" x14ac:dyDescent="0.2">
      <c r="AG97" s="230"/>
      <c r="AH97" s="230"/>
      <c r="AR97" s="230" t="s">
        <v>430</v>
      </c>
      <c r="AS97" s="234"/>
      <c r="AT97" s="234"/>
      <c r="AU97" s="234"/>
      <c r="AV97" s="234"/>
      <c r="AW97" s="234"/>
      <c r="AX97" s="234">
        <f>Ore_to_PI!AO206</f>
        <v>298.6148747230165</v>
      </c>
      <c r="AY97" s="234"/>
      <c r="AZ97" s="234"/>
      <c r="BA97" s="234"/>
      <c r="BB97" s="234"/>
      <c r="BC97" s="234"/>
      <c r="BD97" s="234"/>
      <c r="BE97" s="234"/>
      <c r="BF97" s="234"/>
      <c r="BG97" s="236"/>
      <c r="BH97" s="243">
        <f t="shared" si="6"/>
        <v>298.6148747230165</v>
      </c>
      <c r="BL97" s="230" t="s">
        <v>430</v>
      </c>
      <c r="BM97" s="237"/>
      <c r="BN97" s="237"/>
      <c r="BO97" s="243">
        <f t="shared" si="8"/>
        <v>0</v>
      </c>
      <c r="CE97" s="132" t="s">
        <v>76</v>
      </c>
      <c r="CF97" s="322">
        <v>0</v>
      </c>
      <c r="CG97" s="322">
        <v>0</v>
      </c>
      <c r="CH97" s="322">
        <v>0</v>
      </c>
      <c r="CI97" s="322">
        <v>0</v>
      </c>
      <c r="CJ97" s="322">
        <v>0</v>
      </c>
      <c r="CK97" s="322">
        <v>0</v>
      </c>
      <c r="CL97" s="322">
        <v>0</v>
      </c>
      <c r="CM97" s="322">
        <v>0</v>
      </c>
      <c r="CN97" s="322">
        <v>0</v>
      </c>
      <c r="CO97" s="322">
        <v>0</v>
      </c>
      <c r="CP97" s="322">
        <v>0</v>
      </c>
      <c r="CQ97" s="322">
        <v>0</v>
      </c>
      <c r="CR97" s="322">
        <v>0</v>
      </c>
      <c r="CS97" s="322">
        <v>0</v>
      </c>
      <c r="CT97" s="322">
        <v>0</v>
      </c>
      <c r="CU97" s="322">
        <v>0</v>
      </c>
      <c r="CV97" s="322">
        <v>0</v>
      </c>
      <c r="CW97" s="322">
        <v>0</v>
      </c>
      <c r="CX97" s="322">
        <v>1000.0000000000001</v>
      </c>
      <c r="CY97" s="322">
        <v>0</v>
      </c>
      <c r="CZ97" s="322">
        <v>0</v>
      </c>
      <c r="DA97" s="322">
        <v>0</v>
      </c>
      <c r="DB97" s="322">
        <v>111.00813284002646</v>
      </c>
      <c r="DC97" s="322">
        <v>0</v>
      </c>
      <c r="DD97" s="322">
        <v>0</v>
      </c>
      <c r="DE97" s="322">
        <v>203.27980063725872</v>
      </c>
      <c r="DF97" s="322">
        <v>0</v>
      </c>
      <c r="DG97" s="322">
        <v>0</v>
      </c>
      <c r="DH97" s="322">
        <v>0</v>
      </c>
      <c r="DI97" s="322">
        <v>0</v>
      </c>
      <c r="DJ97" s="322">
        <v>0</v>
      </c>
      <c r="DK97" s="322">
        <v>0</v>
      </c>
      <c r="DL97" s="322">
        <v>-1314.2879334772852</v>
      </c>
      <c r="DM97" s="322">
        <v>0</v>
      </c>
      <c r="DN97" s="322">
        <v>0</v>
      </c>
      <c r="DO97" s="322">
        <v>0</v>
      </c>
      <c r="DP97" t="e">
        <v>#N/A</v>
      </c>
      <c r="DR97" s="333">
        <f t="shared" si="7"/>
        <v>0</v>
      </c>
      <c r="FA97" s="230"/>
      <c r="FB97" s="230"/>
      <c r="FL97" s="230" t="s">
        <v>430</v>
      </c>
      <c r="FM97" s="234"/>
      <c r="FN97" s="234"/>
      <c r="FO97" s="234"/>
      <c r="FP97" s="234"/>
      <c r="FQ97" s="234"/>
      <c r="FR97" s="234">
        <v>298.6148747230165</v>
      </c>
      <c r="FS97" s="234"/>
      <c r="FT97" s="234"/>
      <c r="FU97" s="234"/>
      <c r="FV97" s="234"/>
      <c r="FW97" s="234"/>
      <c r="FX97" s="234"/>
      <c r="FY97" s="234"/>
      <c r="FZ97" s="234"/>
      <c r="GA97" s="236"/>
      <c r="GB97" s="243">
        <v>298.6148747230165</v>
      </c>
      <c r="GF97" s="230" t="s">
        <v>430</v>
      </c>
      <c r="GG97" s="237"/>
      <c r="GH97" s="237"/>
      <c r="GI97" s="237"/>
      <c r="GJ97" s="243">
        <v>0</v>
      </c>
    </row>
    <row r="98" spans="33:192" ht="16" customHeight="1" x14ac:dyDescent="0.2">
      <c r="AG98" s="230"/>
      <c r="AH98" s="230"/>
      <c r="AR98" s="132" t="s">
        <v>416</v>
      </c>
      <c r="AS98" s="234"/>
      <c r="AT98" s="234"/>
      <c r="AU98" s="234"/>
      <c r="AV98" s="234"/>
      <c r="AW98" s="234"/>
      <c r="AX98" s="234"/>
      <c r="AY98" s="234"/>
      <c r="AZ98" s="234"/>
      <c r="BA98" s="234"/>
      <c r="BB98" s="234"/>
      <c r="BC98" s="234"/>
      <c r="BD98" s="234"/>
      <c r="BE98" s="234"/>
      <c r="BF98" s="234"/>
      <c r="BG98" s="234"/>
      <c r="BH98" s="243">
        <f t="shared" si="6"/>
        <v>0</v>
      </c>
      <c r="BL98" s="132" t="s">
        <v>416</v>
      </c>
      <c r="BM98" s="237"/>
      <c r="BN98" s="237">
        <f>Ore_to_PI!AO227</f>
        <v>7.9771214256715108</v>
      </c>
      <c r="BO98" s="243">
        <f t="shared" si="8"/>
        <v>7.9771214256715108</v>
      </c>
      <c r="BP98" s="52"/>
      <c r="BQ98" s="52"/>
      <c r="BR98" s="52"/>
      <c r="BS98" s="52"/>
      <c r="BT98" s="52"/>
      <c r="CE98" s="132" t="s">
        <v>337</v>
      </c>
      <c r="CF98" s="322">
        <v>0</v>
      </c>
      <c r="CG98" s="322">
        <v>0</v>
      </c>
      <c r="CH98" s="322">
        <v>0</v>
      </c>
      <c r="CI98" s="322">
        <v>2852.0490535886452</v>
      </c>
      <c r="CJ98" s="322">
        <v>44.927545117863247</v>
      </c>
      <c r="CK98" s="322">
        <v>0</v>
      </c>
      <c r="CL98" s="322">
        <v>0</v>
      </c>
      <c r="CM98" s="322">
        <v>4.914718171980665</v>
      </c>
      <c r="CN98" s="322">
        <v>0</v>
      </c>
      <c r="CO98" s="322">
        <v>0</v>
      </c>
      <c r="CP98" s="322">
        <v>0</v>
      </c>
      <c r="CQ98" s="322">
        <v>0</v>
      </c>
      <c r="CR98" s="322">
        <v>0</v>
      </c>
      <c r="CS98" s="322">
        <v>0</v>
      </c>
      <c r="CT98" s="322">
        <v>0</v>
      </c>
      <c r="CU98" s="322">
        <v>0</v>
      </c>
      <c r="CV98" s="322">
        <v>0</v>
      </c>
      <c r="CW98" s="322">
        <v>0</v>
      </c>
      <c r="CX98" s="322">
        <v>0</v>
      </c>
      <c r="CY98" s="322">
        <v>0</v>
      </c>
      <c r="CZ98" s="322">
        <v>0</v>
      </c>
      <c r="DA98" s="322">
        <v>0</v>
      </c>
      <c r="DB98" s="322">
        <v>0</v>
      </c>
      <c r="DC98" s="322">
        <v>0</v>
      </c>
      <c r="DD98" s="322">
        <v>0</v>
      </c>
      <c r="DE98" s="322">
        <v>0</v>
      </c>
      <c r="DF98" s="322">
        <v>0</v>
      </c>
      <c r="DG98" s="322">
        <v>0</v>
      </c>
      <c r="DH98" s="322">
        <v>0</v>
      </c>
      <c r="DI98" s="322">
        <v>0</v>
      </c>
      <c r="DJ98" s="322">
        <v>0</v>
      </c>
      <c r="DK98" s="322">
        <v>32.269863299428096</v>
      </c>
      <c r="DL98" s="322">
        <v>1314.2879334772852</v>
      </c>
      <c r="DM98" s="322">
        <v>-616.23583583508366</v>
      </c>
      <c r="DN98" s="322">
        <v>-3402.2651449800928</v>
      </c>
      <c r="DO98" s="322">
        <v>-229.94813284002646</v>
      </c>
      <c r="DP98" t="e">
        <v>#N/A</v>
      </c>
      <c r="DR98" s="333">
        <f t="shared" si="7"/>
        <v>-7.9580786405131221E-13</v>
      </c>
      <c r="FA98" s="230"/>
      <c r="FB98" s="230"/>
      <c r="FL98" s="132" t="s">
        <v>416</v>
      </c>
      <c r="FM98" s="234"/>
      <c r="FN98" s="234"/>
      <c r="FO98" s="234"/>
      <c r="FP98" s="234"/>
      <c r="FQ98" s="234"/>
      <c r="FR98" s="234"/>
      <c r="FS98" s="234"/>
      <c r="FT98" s="234"/>
      <c r="FU98" s="234"/>
      <c r="FV98" s="234"/>
      <c r="FW98" s="234"/>
      <c r="FX98" s="234"/>
      <c r="FY98" s="234"/>
      <c r="FZ98" s="234"/>
      <c r="GA98" s="234"/>
      <c r="GB98" s="243">
        <v>0</v>
      </c>
      <c r="GF98" s="132" t="s">
        <v>416</v>
      </c>
      <c r="GG98" s="237"/>
      <c r="GH98" s="237">
        <v>7.9771214256715108</v>
      </c>
      <c r="GI98" s="237"/>
      <c r="GJ98" s="243">
        <v>7.9771214256715108</v>
      </c>
    </row>
    <row r="99" spans="33:192" ht="16" customHeight="1" x14ac:dyDescent="0.2">
      <c r="AG99" s="230"/>
      <c r="AH99" s="230"/>
      <c r="AR99" s="229" t="s">
        <v>441</v>
      </c>
      <c r="AS99" s="234"/>
      <c r="AT99" s="234"/>
      <c r="AU99" s="234"/>
      <c r="AV99" s="234"/>
      <c r="AW99" s="234"/>
      <c r="AX99" s="234"/>
      <c r="AY99" s="234">
        <f>Ore_to_PI!BG42</f>
        <v>1011.7674660019052</v>
      </c>
      <c r="AZ99" s="234"/>
      <c r="BA99" s="234"/>
      <c r="BB99" s="234"/>
      <c r="BC99" s="234"/>
      <c r="BD99" s="234"/>
      <c r="BE99" s="234"/>
      <c r="BF99" s="234"/>
      <c r="BG99" s="234"/>
      <c r="BH99" s="243">
        <f t="shared" si="6"/>
        <v>1011.7674660019052</v>
      </c>
      <c r="BL99" s="229" t="s">
        <v>441</v>
      </c>
      <c r="BM99" s="237"/>
      <c r="BN99" s="237"/>
      <c r="BO99" s="243">
        <f t="shared" si="8"/>
        <v>0</v>
      </c>
      <c r="CF99" s="382" t="s">
        <v>794</v>
      </c>
      <c r="CG99" s="382"/>
      <c r="CH99" s="382"/>
      <c r="CI99" s="382"/>
      <c r="CJ99" s="382"/>
      <c r="CK99" s="382"/>
      <c r="CL99" s="382"/>
      <c r="CM99" s="382"/>
      <c r="CN99" s="382"/>
      <c r="CO99" s="382"/>
      <c r="CP99" s="382"/>
      <c r="CQ99" s="382"/>
      <c r="CR99" s="382"/>
      <c r="CS99" s="382"/>
      <c r="CT99" s="382"/>
      <c r="CU99" s="382"/>
      <c r="CV99" s="382"/>
      <c r="CW99" s="382"/>
      <c r="CX99" s="382"/>
      <c r="CY99" s="382"/>
      <c r="CZ99" s="382"/>
      <c r="DA99" s="382"/>
      <c r="DB99" s="382"/>
      <c r="DC99" s="382"/>
      <c r="DD99" s="382"/>
      <c r="DE99" s="382"/>
      <c r="DF99" s="382"/>
      <c r="DG99" s="382"/>
      <c r="DH99" s="382"/>
      <c r="DI99" s="382"/>
      <c r="DJ99" s="382"/>
      <c r="DK99" s="382"/>
      <c r="DL99" s="382"/>
      <c r="DM99" s="382"/>
      <c r="DN99" s="382"/>
      <c r="DO99" s="382"/>
      <c r="DR99" s="249" t="s">
        <v>795</v>
      </c>
      <c r="FA99" s="230"/>
      <c r="FB99" s="230"/>
      <c r="FL99" s="229" t="s">
        <v>441</v>
      </c>
      <c r="FM99" s="234"/>
      <c r="FN99" s="234"/>
      <c r="FO99" s="234"/>
      <c r="FP99" s="234"/>
      <c r="FQ99" s="234"/>
      <c r="FR99" s="234"/>
      <c r="FS99" s="234">
        <v>1011.7674660019052</v>
      </c>
      <c r="FT99" s="234"/>
      <c r="FU99" s="234"/>
      <c r="FV99" s="234"/>
      <c r="FW99" s="234"/>
      <c r="FX99" s="234"/>
      <c r="FY99" s="234"/>
      <c r="FZ99" s="234"/>
      <c r="GA99" s="234"/>
      <c r="GB99" s="243">
        <v>1011.7674660019052</v>
      </c>
      <c r="GF99" s="229" t="s">
        <v>441</v>
      </c>
      <c r="GG99" s="237"/>
      <c r="GH99" s="237"/>
      <c r="GI99" s="237"/>
      <c r="GJ99" s="243">
        <v>0</v>
      </c>
    </row>
    <row r="100" spans="33:192" ht="16" customHeight="1" x14ac:dyDescent="0.2">
      <c r="AG100" s="230"/>
      <c r="AH100" s="230"/>
      <c r="AR100" s="229" t="s">
        <v>436</v>
      </c>
      <c r="AS100" s="234"/>
      <c r="AT100" s="234"/>
      <c r="AU100" s="234"/>
      <c r="AV100" s="234"/>
      <c r="AW100" s="234"/>
      <c r="AX100" s="234"/>
      <c r="AY100" s="234"/>
      <c r="AZ100" s="234">
        <f>Ore_to_PI!BH126</f>
        <v>208.55560337725498</v>
      </c>
      <c r="BA100" s="234"/>
      <c r="BB100" s="234"/>
      <c r="BC100" s="234"/>
      <c r="BD100" s="234"/>
      <c r="BE100" s="234"/>
      <c r="BF100" s="234"/>
      <c r="BG100" s="234"/>
      <c r="BH100" s="243">
        <f t="shared" si="6"/>
        <v>208.55560337725498</v>
      </c>
      <c r="BL100" s="229" t="s">
        <v>436</v>
      </c>
      <c r="BM100" s="237"/>
      <c r="BN100" s="237"/>
      <c r="BO100" s="243">
        <f t="shared" si="8"/>
        <v>0</v>
      </c>
      <c r="CF100" s="383" t="s">
        <v>796</v>
      </c>
      <c r="CG100" s="383"/>
      <c r="CH100" s="383"/>
      <c r="CI100" s="383"/>
      <c r="CJ100" s="383"/>
      <c r="CK100" s="383"/>
      <c r="CL100" s="383"/>
      <c r="CM100" s="383"/>
      <c r="CN100" s="383"/>
      <c r="CO100" s="383"/>
      <c r="CP100" s="383"/>
      <c r="CQ100" s="383"/>
      <c r="CR100" s="383"/>
      <c r="CS100" s="383"/>
      <c r="CT100" s="383"/>
      <c r="CU100" s="383"/>
      <c r="CV100" s="383"/>
      <c r="CW100" s="383"/>
      <c r="CX100" s="383"/>
      <c r="CY100" s="383"/>
      <c r="CZ100" s="383"/>
      <c r="DA100" s="383"/>
      <c r="DB100" s="383"/>
      <c r="DC100" s="383"/>
      <c r="DD100" s="383"/>
      <c r="DE100" s="383"/>
      <c r="DF100" s="383"/>
      <c r="DG100" s="383"/>
      <c r="DH100" s="383"/>
      <c r="DI100" s="383"/>
      <c r="DJ100" s="383"/>
      <c r="DK100" s="383"/>
      <c r="DL100" s="383"/>
      <c r="DM100" s="383"/>
      <c r="DN100" s="383"/>
      <c r="DO100" s="383"/>
      <c r="DR100" s="304" t="s">
        <v>793</v>
      </c>
      <c r="FA100" s="230"/>
      <c r="FB100" s="230"/>
      <c r="FL100" s="229" t="s">
        <v>436</v>
      </c>
      <c r="FM100" s="234"/>
      <c r="FN100" s="234"/>
      <c r="FO100" s="234"/>
      <c r="FP100" s="234"/>
      <c r="FQ100" s="234"/>
      <c r="FR100" s="234"/>
      <c r="FS100" s="234"/>
      <c r="FT100" s="234">
        <v>208.55560337725498</v>
      </c>
      <c r="FU100" s="234"/>
      <c r="FV100" s="234"/>
      <c r="FW100" s="234"/>
      <c r="FX100" s="234"/>
      <c r="FY100" s="234"/>
      <c r="FZ100" s="234"/>
      <c r="GA100" s="234"/>
      <c r="GB100" s="243">
        <v>208.55560337725498</v>
      </c>
      <c r="GF100" s="229" t="s">
        <v>436</v>
      </c>
      <c r="GG100" s="237"/>
      <c r="GH100" s="237"/>
      <c r="GI100" s="237"/>
      <c r="GJ100" s="243">
        <v>0</v>
      </c>
    </row>
    <row r="101" spans="33:192" ht="16" customHeight="1" x14ac:dyDescent="0.2">
      <c r="AG101" s="244"/>
      <c r="AH101" s="244"/>
      <c r="AR101" s="229" t="s">
        <v>433</v>
      </c>
      <c r="AS101" s="234"/>
      <c r="AT101" s="234"/>
      <c r="AU101" s="234"/>
      <c r="AV101" s="234"/>
      <c r="AW101" s="234"/>
      <c r="AX101" s="234"/>
      <c r="AY101" s="234"/>
      <c r="AZ101" s="234"/>
      <c r="BA101" s="234">
        <f>Ore_to_PI!BH206</f>
        <v>298.6148747230165</v>
      </c>
      <c r="BB101" s="234"/>
      <c r="BC101" s="234"/>
      <c r="BD101" s="234"/>
      <c r="BE101" s="234"/>
      <c r="BF101" s="234"/>
      <c r="BG101" s="234"/>
      <c r="BH101" s="243">
        <f t="shared" si="6"/>
        <v>298.6148747230165</v>
      </c>
      <c r="BL101" s="229" t="s">
        <v>433</v>
      </c>
      <c r="BM101" s="237"/>
      <c r="BN101" s="237"/>
      <c r="BO101" s="243">
        <f t="shared" si="8"/>
        <v>0</v>
      </c>
      <c r="FA101" s="244"/>
      <c r="FB101" s="244"/>
      <c r="FL101" s="229" t="s">
        <v>433</v>
      </c>
      <c r="FM101" s="234"/>
      <c r="FN101" s="234"/>
      <c r="FO101" s="234"/>
      <c r="FP101" s="234"/>
      <c r="FQ101" s="234"/>
      <c r="FR101" s="234"/>
      <c r="FS101" s="234"/>
      <c r="FT101" s="234"/>
      <c r="FU101" s="234">
        <v>298.6148747230165</v>
      </c>
      <c r="FV101" s="234"/>
      <c r="FW101" s="234"/>
      <c r="FX101" s="234"/>
      <c r="FY101" s="234"/>
      <c r="FZ101" s="234"/>
      <c r="GA101" s="234"/>
      <c r="GB101" s="243">
        <v>298.6148747230165</v>
      </c>
      <c r="GF101" s="229" t="s">
        <v>433</v>
      </c>
      <c r="GG101" s="237"/>
      <c r="GH101" s="237"/>
      <c r="GI101" s="237"/>
      <c r="GJ101" s="243">
        <v>0</v>
      </c>
    </row>
    <row r="102" spans="33:192" ht="16" x14ac:dyDescent="0.2">
      <c r="AG102" s="230"/>
      <c r="AH102" s="230"/>
      <c r="AR102" s="229" t="s">
        <v>439</v>
      </c>
      <c r="AS102" s="234"/>
      <c r="AT102" s="234"/>
      <c r="AU102" s="234"/>
      <c r="AV102" s="234"/>
      <c r="AW102" s="234"/>
      <c r="AX102" s="234"/>
      <c r="AY102" s="234"/>
      <c r="AZ102" s="234"/>
      <c r="BA102" s="234"/>
      <c r="BB102" s="234"/>
      <c r="BC102" s="234"/>
      <c r="BD102" s="234"/>
      <c r="BE102" s="234"/>
      <c r="BF102" s="234">
        <f>Ore_to_PI!BZ42</f>
        <v>1000.0000000000001</v>
      </c>
      <c r="BG102" s="234"/>
      <c r="BH102" s="243">
        <f t="shared" si="6"/>
        <v>1000.0000000000001</v>
      </c>
      <c r="BI102" s="52"/>
      <c r="BJ102" s="52"/>
      <c r="BL102" s="229" t="s">
        <v>439</v>
      </c>
      <c r="BM102" s="237"/>
      <c r="BN102" s="237"/>
      <c r="BO102" s="243">
        <f t="shared" si="8"/>
        <v>0</v>
      </c>
      <c r="FA102" s="230"/>
      <c r="FB102" s="230"/>
      <c r="FL102" s="229" t="s">
        <v>439</v>
      </c>
      <c r="FM102" s="234"/>
      <c r="FN102" s="234"/>
      <c r="FO102" s="234"/>
      <c r="FP102" s="234"/>
      <c r="FQ102" s="234"/>
      <c r="FR102" s="234"/>
      <c r="FS102" s="234"/>
      <c r="FT102" s="234"/>
      <c r="FU102" s="234"/>
      <c r="FV102" s="234"/>
      <c r="FW102" s="234"/>
      <c r="FX102" s="234"/>
      <c r="FY102" s="234"/>
      <c r="FZ102" s="234">
        <v>1000.0000000000001</v>
      </c>
      <c r="GA102" s="234"/>
      <c r="GB102" s="243">
        <v>1000.0000000000001</v>
      </c>
      <c r="GC102" s="52"/>
      <c r="GD102" s="52"/>
      <c r="GF102" s="229" t="s">
        <v>439</v>
      </c>
      <c r="GG102" s="237"/>
      <c r="GH102" s="237"/>
      <c r="GI102" s="237"/>
      <c r="GJ102" s="243">
        <v>0</v>
      </c>
    </row>
    <row r="103" spans="33:192" x14ac:dyDescent="0.2">
      <c r="AG103" s="230"/>
      <c r="AH103" s="230"/>
      <c r="AR103" s="230" t="s">
        <v>438</v>
      </c>
      <c r="AS103" s="234"/>
      <c r="AT103" s="234"/>
      <c r="AU103" s="234"/>
      <c r="AV103" s="234"/>
      <c r="AW103" s="234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6"/>
      <c r="BH103" s="243">
        <f t="shared" si="6"/>
        <v>0</v>
      </c>
      <c r="BL103" s="230" t="s">
        <v>438</v>
      </c>
      <c r="BM103" s="237"/>
      <c r="BN103" s="237">
        <f>Beneficiation_Iron_waste</f>
        <v>11.767466001905108</v>
      </c>
      <c r="BO103" s="243">
        <f t="shared" si="8"/>
        <v>11.767466001905108</v>
      </c>
      <c r="FA103" s="230"/>
      <c r="FB103" s="230"/>
      <c r="FL103" s="230" t="s">
        <v>438</v>
      </c>
      <c r="FM103" s="234"/>
      <c r="FN103" s="234"/>
      <c r="FO103" s="234"/>
      <c r="FP103" s="234"/>
      <c r="FQ103" s="234"/>
      <c r="FR103" s="234"/>
      <c r="FS103" s="234"/>
      <c r="FT103" s="234"/>
      <c r="FU103" s="234"/>
      <c r="FV103" s="234"/>
      <c r="FW103" s="234"/>
      <c r="FX103" s="234"/>
      <c r="FY103" s="234"/>
      <c r="FZ103" s="234"/>
      <c r="GA103" s="236"/>
      <c r="GB103" s="243">
        <v>0</v>
      </c>
      <c r="GF103" s="230" t="s">
        <v>438</v>
      </c>
      <c r="GG103" s="237"/>
      <c r="GH103" s="237">
        <v>11.767466001905108</v>
      </c>
      <c r="GI103" s="237"/>
      <c r="GJ103" s="243">
        <v>11.767466001905108</v>
      </c>
    </row>
    <row r="104" spans="33:192" x14ac:dyDescent="0.2">
      <c r="AG104" s="230"/>
      <c r="AH104" s="230"/>
      <c r="AR104" s="230" t="s">
        <v>424</v>
      </c>
      <c r="AS104" s="234"/>
      <c r="AT104" s="234"/>
      <c r="AU104" s="234"/>
      <c r="AV104" s="234"/>
      <c r="AW104" s="234"/>
      <c r="AX104" s="234"/>
      <c r="AY104" s="234"/>
      <c r="AZ104" s="234"/>
      <c r="BA104" s="234"/>
      <c r="BB104" s="234">
        <f>Ore_to_PI!CA126</f>
        <v>208.55560337725498</v>
      </c>
      <c r="BC104" s="234"/>
      <c r="BD104" s="234"/>
      <c r="BE104" s="234"/>
      <c r="BF104" s="234"/>
      <c r="BG104" s="234"/>
      <c r="BH104" s="243">
        <f t="shared" si="6"/>
        <v>208.55560337725498</v>
      </c>
      <c r="BL104" s="230" t="s">
        <v>424</v>
      </c>
      <c r="BM104" s="237"/>
      <c r="BN104" s="237"/>
      <c r="BO104" s="243">
        <f t="shared" si="8"/>
        <v>0</v>
      </c>
      <c r="FA104" s="230"/>
      <c r="FB104" s="230"/>
      <c r="FL104" s="230" t="s">
        <v>424</v>
      </c>
      <c r="FM104" s="234"/>
      <c r="FN104" s="234"/>
      <c r="FO104" s="234"/>
      <c r="FP104" s="234"/>
      <c r="FQ104" s="234"/>
      <c r="FR104" s="234"/>
      <c r="FS104" s="234"/>
      <c r="FT104" s="234"/>
      <c r="FU104" s="234"/>
      <c r="FV104" s="234">
        <v>208.55560337725498</v>
      </c>
      <c r="FW104" s="234"/>
      <c r="FX104" s="234"/>
      <c r="FY104" s="234"/>
      <c r="FZ104" s="234"/>
      <c r="GA104" s="234"/>
      <c r="GB104" s="243">
        <v>208.55560337725498</v>
      </c>
      <c r="GF104" s="230" t="s">
        <v>424</v>
      </c>
      <c r="GG104" s="237"/>
      <c r="GH104" s="237"/>
      <c r="GI104" s="237"/>
      <c r="GJ104" s="243">
        <v>0</v>
      </c>
    </row>
    <row r="105" spans="33:192" x14ac:dyDescent="0.2">
      <c r="AG105" s="230"/>
      <c r="AH105" s="230"/>
      <c r="AR105" s="230" t="s">
        <v>456</v>
      </c>
      <c r="AS105" s="234"/>
      <c r="AT105" s="234"/>
      <c r="AU105" s="234"/>
      <c r="AV105" s="234"/>
      <c r="AW105" s="234"/>
      <c r="AX105" s="234"/>
      <c r="AY105" s="234"/>
      <c r="AZ105" s="234"/>
      <c r="BA105" s="234"/>
      <c r="BB105" s="234"/>
      <c r="BC105" s="234">
        <f>Ore_to_PI!CA206</f>
        <v>298.6148747230165</v>
      </c>
      <c r="BD105" s="234"/>
      <c r="BE105" s="234"/>
      <c r="BF105" s="234"/>
      <c r="BG105" s="234"/>
      <c r="BH105" s="243">
        <f t="shared" si="6"/>
        <v>298.6148747230165</v>
      </c>
      <c r="BL105" s="230" t="s">
        <v>456</v>
      </c>
      <c r="BM105" s="237"/>
      <c r="BN105" s="237"/>
      <c r="BO105" s="243">
        <f t="shared" si="8"/>
        <v>0</v>
      </c>
      <c r="FA105" s="230"/>
      <c r="FB105" s="230"/>
      <c r="FL105" s="230" t="s">
        <v>456</v>
      </c>
      <c r="FM105" s="234"/>
      <c r="FN105" s="234"/>
      <c r="FO105" s="234"/>
      <c r="FP105" s="234"/>
      <c r="FQ105" s="234"/>
      <c r="FR105" s="234"/>
      <c r="FS105" s="234"/>
      <c r="FT105" s="234"/>
      <c r="FU105" s="234"/>
      <c r="FV105" s="234"/>
      <c r="FW105" s="234">
        <v>298.6148747230165</v>
      </c>
      <c r="FX105" s="234"/>
      <c r="FY105" s="234"/>
      <c r="FZ105" s="234"/>
      <c r="GA105" s="234"/>
      <c r="GB105" s="243">
        <v>298.6148747230165</v>
      </c>
      <c r="GF105" s="230" t="s">
        <v>456</v>
      </c>
      <c r="GG105" s="237"/>
      <c r="GH105" s="237"/>
      <c r="GI105" s="237"/>
      <c r="GJ105" s="243">
        <v>0</v>
      </c>
    </row>
    <row r="106" spans="33:192" x14ac:dyDescent="0.2">
      <c r="AG106" s="230"/>
      <c r="AH106" s="230"/>
      <c r="AR106" s="230" t="s">
        <v>425</v>
      </c>
      <c r="AS106" s="234"/>
      <c r="AT106" s="234"/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4">
        <f>Ore_to_PI!CV126</f>
        <v>111.00813284002646</v>
      </c>
      <c r="BG106" s="234"/>
      <c r="BH106" s="243">
        <f t="shared" si="6"/>
        <v>111.00813284002646</v>
      </c>
      <c r="BL106" s="230" t="s">
        <v>425</v>
      </c>
      <c r="BM106" s="237"/>
      <c r="BN106" s="237"/>
      <c r="BO106" s="243">
        <f t="shared" si="8"/>
        <v>0</v>
      </c>
      <c r="FA106" s="230"/>
      <c r="FB106" s="230"/>
      <c r="FL106" s="230" t="s">
        <v>425</v>
      </c>
      <c r="FM106" s="234"/>
      <c r="FN106" s="234"/>
      <c r="FO106" s="234"/>
      <c r="FP106" s="234"/>
      <c r="FQ106" s="234"/>
      <c r="FR106" s="234"/>
      <c r="FS106" s="234"/>
      <c r="FT106" s="234"/>
      <c r="FU106" s="234"/>
      <c r="FV106" s="234"/>
      <c r="FW106" s="234"/>
      <c r="FX106" s="234"/>
      <c r="FY106" s="234"/>
      <c r="FZ106" s="234">
        <v>111.00813284002646</v>
      </c>
      <c r="GA106" s="234"/>
      <c r="GB106" s="243">
        <v>111.00813284002646</v>
      </c>
      <c r="GF106" s="230" t="s">
        <v>425</v>
      </c>
      <c r="GG106" s="237"/>
      <c r="GH106" s="237"/>
      <c r="GI106" s="237"/>
      <c r="GJ106" s="243">
        <v>0</v>
      </c>
    </row>
    <row r="107" spans="33:192" x14ac:dyDescent="0.2">
      <c r="AG107" s="230"/>
      <c r="AH107" s="230"/>
      <c r="AR107" s="230" t="s">
        <v>427</v>
      </c>
      <c r="AS107" s="234"/>
      <c r="AT107" s="234"/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/>
      <c r="BE107" s="234"/>
      <c r="BF107" s="234"/>
      <c r="BG107" s="236"/>
      <c r="BH107" s="243">
        <f t="shared" si="6"/>
        <v>0</v>
      </c>
      <c r="BL107" s="230" t="s">
        <v>427</v>
      </c>
      <c r="BM107" s="237"/>
      <c r="BN107" s="237">
        <f>Kiln_SolidWaste</f>
        <v>4.9847525450981189</v>
      </c>
      <c r="BO107" s="243">
        <f t="shared" si="8"/>
        <v>4.9847525450981189</v>
      </c>
      <c r="FA107" s="230"/>
      <c r="FB107" s="230"/>
      <c r="FL107" s="230" t="s">
        <v>427</v>
      </c>
      <c r="FM107" s="234"/>
      <c r="FN107" s="234"/>
      <c r="FO107" s="234"/>
      <c r="FP107" s="234"/>
      <c r="FQ107" s="234"/>
      <c r="FR107" s="234"/>
      <c r="FS107" s="234"/>
      <c r="FT107" s="234"/>
      <c r="FU107" s="234"/>
      <c r="FV107" s="234"/>
      <c r="FW107" s="234"/>
      <c r="FX107" s="234"/>
      <c r="FY107" s="234"/>
      <c r="FZ107" s="234"/>
      <c r="GA107" s="236"/>
      <c r="GB107" s="243">
        <v>0</v>
      </c>
      <c r="GF107" s="230" t="s">
        <v>427</v>
      </c>
      <c r="GG107" s="237"/>
      <c r="GH107" s="237">
        <v>4.9847525450981189</v>
      </c>
      <c r="GI107" s="237"/>
      <c r="GJ107" s="243">
        <v>4.9847525450981189</v>
      </c>
    </row>
    <row r="108" spans="33:192" x14ac:dyDescent="0.2">
      <c r="AG108" s="230"/>
      <c r="AH108" s="230"/>
      <c r="AR108" s="230" t="s">
        <v>426</v>
      </c>
      <c r="AS108" s="234"/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/>
      <c r="BF108" s="234"/>
      <c r="BG108" s="234"/>
      <c r="BH108" s="243">
        <f t="shared" si="6"/>
        <v>0</v>
      </c>
      <c r="BL108" s="230" t="s">
        <v>426</v>
      </c>
      <c r="BM108" s="237"/>
      <c r="BN108" s="237">
        <f>Ore_to_PI!CV138</f>
        <v>774.43493010294708</v>
      </c>
      <c r="BO108" s="243">
        <f t="shared" si="8"/>
        <v>774.43493010294708</v>
      </c>
      <c r="FA108" s="230"/>
      <c r="FB108" s="230"/>
      <c r="FL108" s="230" t="s">
        <v>426</v>
      </c>
      <c r="FM108" s="234"/>
      <c r="FN108" s="234"/>
      <c r="FO108" s="234"/>
      <c r="FP108" s="234"/>
      <c r="FQ108" s="234"/>
      <c r="FR108" s="234"/>
      <c r="FS108" s="234"/>
      <c r="FT108" s="234"/>
      <c r="FU108" s="234"/>
      <c r="FV108" s="234"/>
      <c r="FW108" s="234"/>
      <c r="FX108" s="234"/>
      <c r="FY108" s="234"/>
      <c r="FZ108" s="234"/>
      <c r="GA108" s="234"/>
      <c r="GB108" s="243">
        <v>0</v>
      </c>
      <c r="GF108" s="230" t="s">
        <v>426</v>
      </c>
      <c r="GG108" s="237"/>
      <c r="GH108" s="237">
        <v>774.43493010294708</v>
      </c>
      <c r="GI108" s="237"/>
      <c r="GJ108" s="243">
        <v>774.43493010294708</v>
      </c>
    </row>
    <row r="109" spans="33:192" ht="16" customHeight="1" x14ac:dyDescent="0.2">
      <c r="AG109" s="230"/>
      <c r="AH109" s="230"/>
      <c r="AR109" s="230" t="s">
        <v>484</v>
      </c>
      <c r="AS109" s="234"/>
      <c r="AT109" s="234"/>
      <c r="AU109" s="234"/>
      <c r="AV109" s="234"/>
      <c r="AW109" s="234"/>
      <c r="AX109" s="234"/>
      <c r="AY109" s="234"/>
      <c r="AZ109" s="234"/>
      <c r="BA109" s="234"/>
      <c r="BB109" s="234"/>
      <c r="BC109" s="234"/>
      <c r="BD109" s="234"/>
      <c r="BE109" s="234"/>
      <c r="BF109" s="234">
        <f>Ore_to_PI!CV206</f>
        <v>203.27980063725872</v>
      </c>
      <c r="BG109" s="234"/>
      <c r="BH109" s="243">
        <f t="shared" si="6"/>
        <v>203.27980063725872</v>
      </c>
      <c r="BL109" s="230" t="s">
        <v>484</v>
      </c>
      <c r="BM109" s="237"/>
      <c r="BN109" s="237"/>
      <c r="BO109" s="243">
        <f t="shared" si="8"/>
        <v>0</v>
      </c>
      <c r="FA109" s="230"/>
      <c r="FB109" s="230"/>
      <c r="FL109" s="230" t="s">
        <v>484</v>
      </c>
      <c r="FM109" s="234"/>
      <c r="FN109" s="234"/>
      <c r="FO109" s="234"/>
      <c r="FP109" s="234"/>
      <c r="FQ109" s="234"/>
      <c r="FR109" s="234"/>
      <c r="FS109" s="234"/>
      <c r="FT109" s="234"/>
      <c r="FU109" s="234"/>
      <c r="FV109" s="234"/>
      <c r="FW109" s="234"/>
      <c r="FX109" s="234"/>
      <c r="FY109" s="234"/>
      <c r="FZ109" s="234">
        <v>203.27980063725872</v>
      </c>
      <c r="GA109" s="234"/>
      <c r="GB109" s="243">
        <v>203.27980063725872</v>
      </c>
      <c r="GF109" s="230" t="s">
        <v>484</v>
      </c>
      <c r="GG109" s="237"/>
      <c r="GH109" s="237"/>
      <c r="GI109" s="237"/>
      <c r="GJ109" s="243">
        <v>0</v>
      </c>
    </row>
    <row r="110" spans="33:192" ht="16" customHeight="1" x14ac:dyDescent="0.2">
      <c r="AG110" s="230"/>
      <c r="AH110" s="230"/>
      <c r="AR110" s="244" t="s">
        <v>422</v>
      </c>
      <c r="AS110" s="234"/>
      <c r="AT110" s="234"/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>
        <f>Ore_to_PI!CV234</f>
        <v>46.0998047134687</v>
      </c>
      <c r="BE110" s="234"/>
      <c r="BF110" s="234"/>
      <c r="BG110" s="234"/>
      <c r="BH110" s="243">
        <f t="shared" si="6"/>
        <v>46.0998047134687</v>
      </c>
      <c r="BL110" s="244" t="s">
        <v>422</v>
      </c>
      <c r="BM110" s="237"/>
      <c r="BN110" s="237"/>
      <c r="BO110" s="243">
        <f t="shared" si="8"/>
        <v>0</v>
      </c>
      <c r="FA110" s="230"/>
      <c r="FB110" s="230"/>
      <c r="FL110" s="244" t="s">
        <v>422</v>
      </c>
      <c r="FM110" s="234"/>
      <c r="FN110" s="234"/>
      <c r="FO110" s="234"/>
      <c r="FP110" s="234"/>
      <c r="FQ110" s="234"/>
      <c r="FR110" s="234"/>
      <c r="FS110" s="234"/>
      <c r="FT110" s="234"/>
      <c r="FU110" s="234"/>
      <c r="FV110" s="234"/>
      <c r="FW110" s="234"/>
      <c r="FX110" s="234">
        <v>46.0998047134687</v>
      </c>
      <c r="FY110" s="234"/>
      <c r="FZ110" s="234"/>
      <c r="GA110" s="234"/>
      <c r="GB110" s="243">
        <v>46.0998047134687</v>
      </c>
      <c r="GF110" s="244" t="s">
        <v>422</v>
      </c>
      <c r="GG110" s="237"/>
      <c r="GH110" s="237"/>
      <c r="GI110" s="237"/>
      <c r="GJ110" s="243">
        <v>0</v>
      </c>
    </row>
    <row r="111" spans="33:192" ht="16" x14ac:dyDescent="0.2">
      <c r="AG111" s="230"/>
      <c r="AH111" s="230"/>
      <c r="AR111" s="244" t="s">
        <v>552</v>
      </c>
      <c r="AS111" s="234"/>
      <c r="AT111" s="234"/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43">
        <f t="shared" si="6"/>
        <v>0</v>
      </c>
      <c r="BL111" s="244" t="s">
        <v>552</v>
      </c>
      <c r="BM111" s="237"/>
      <c r="BN111" s="237">
        <f>Ore_to_PI!CV267</f>
        <v>23.982067525572877</v>
      </c>
      <c r="BO111" s="243">
        <f t="shared" si="8"/>
        <v>23.982067525572877</v>
      </c>
      <c r="FA111" s="230"/>
      <c r="FB111" s="230"/>
      <c r="FL111" s="244" t="s">
        <v>552</v>
      </c>
      <c r="FM111" s="234"/>
      <c r="FN111" s="234"/>
      <c r="FO111" s="234"/>
      <c r="FP111" s="234"/>
      <c r="FQ111" s="234"/>
      <c r="FR111" s="234"/>
      <c r="FS111" s="234"/>
      <c r="FT111" s="234"/>
      <c r="FU111" s="234"/>
      <c r="FV111" s="234"/>
      <c r="FW111" s="234"/>
      <c r="FX111" s="234"/>
      <c r="FY111" s="234"/>
      <c r="FZ111" s="234"/>
      <c r="GA111" s="234"/>
      <c r="GB111" s="243">
        <v>0</v>
      </c>
      <c r="GF111" s="244" t="s">
        <v>552</v>
      </c>
      <c r="GG111" s="237"/>
      <c r="GH111" s="237">
        <v>23.982067525572877</v>
      </c>
      <c r="GI111" s="237"/>
      <c r="GJ111" s="243">
        <v>23.982067525572877</v>
      </c>
    </row>
    <row r="112" spans="33:192" x14ac:dyDescent="0.2">
      <c r="AG112" s="230"/>
      <c r="AH112" s="230"/>
      <c r="AR112" s="230" t="s">
        <v>421</v>
      </c>
      <c r="AS112" s="234"/>
      <c r="AT112" s="234"/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43">
        <f t="shared" si="6"/>
        <v>0</v>
      </c>
      <c r="BL112" s="230" t="s">
        <v>421</v>
      </c>
      <c r="BM112" s="237"/>
      <c r="BN112" s="237">
        <f>Beneficiation_CoalWaste</f>
        <v>25.253201846716312</v>
      </c>
      <c r="BO112" s="243">
        <f t="shared" si="8"/>
        <v>25.253201846716312</v>
      </c>
      <c r="FA112" s="230"/>
      <c r="FB112" s="230"/>
      <c r="FL112" s="230" t="s">
        <v>421</v>
      </c>
      <c r="FM112" s="234"/>
      <c r="FN112" s="234"/>
      <c r="FO112" s="234"/>
      <c r="FP112" s="234"/>
      <c r="FQ112" s="234"/>
      <c r="FR112" s="234"/>
      <c r="FS112" s="234"/>
      <c r="FT112" s="234"/>
      <c r="FU112" s="234"/>
      <c r="FV112" s="234"/>
      <c r="FW112" s="234"/>
      <c r="FX112" s="234"/>
      <c r="FY112" s="234"/>
      <c r="FZ112" s="234"/>
      <c r="GA112" s="234"/>
      <c r="GB112" s="243">
        <v>0</v>
      </c>
      <c r="GF112" s="230" t="s">
        <v>421</v>
      </c>
      <c r="GG112" s="237"/>
      <c r="GH112" s="237">
        <v>25.253201846716312</v>
      </c>
      <c r="GI112" s="237"/>
      <c r="GJ112" s="243">
        <v>25.253201846716312</v>
      </c>
    </row>
    <row r="113" spans="2:192" x14ac:dyDescent="0.2">
      <c r="AG113" s="230"/>
      <c r="AH113" s="230"/>
      <c r="AR113" s="132" t="s">
        <v>423</v>
      </c>
      <c r="AS113" s="234"/>
      <c r="AT113" s="234"/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43">
        <f t="shared" si="6"/>
        <v>0</v>
      </c>
      <c r="BL113" s="132" t="s">
        <v>423</v>
      </c>
      <c r="BM113" s="237"/>
      <c r="BN113" s="237">
        <f>Ore_to_PI!CV251</f>
        <v>3698.8733194995434</v>
      </c>
      <c r="BO113" s="243">
        <f t="shared" si="8"/>
        <v>3698.8733194995434</v>
      </c>
      <c r="FA113" s="230"/>
      <c r="FB113" s="230"/>
      <c r="FL113" s="132" t="s">
        <v>423</v>
      </c>
      <c r="FM113" s="234"/>
      <c r="FN113" s="234"/>
      <c r="FO113" s="234"/>
      <c r="FP113" s="234"/>
      <c r="FQ113" s="234"/>
      <c r="FR113" s="234"/>
      <c r="FS113" s="234"/>
      <c r="FT113" s="234"/>
      <c r="FU113" s="234"/>
      <c r="FV113" s="234"/>
      <c r="FW113" s="234"/>
      <c r="FX113" s="234"/>
      <c r="FY113" s="234"/>
      <c r="FZ113" s="234"/>
      <c r="GA113" s="234"/>
      <c r="GB113" s="243">
        <v>0</v>
      </c>
      <c r="GF113" s="132" t="s">
        <v>423</v>
      </c>
      <c r="GG113" s="237"/>
      <c r="GH113" s="237">
        <v>3698.8733194995434</v>
      </c>
      <c r="GI113" s="237"/>
      <c r="GJ113" s="243">
        <v>3698.8733194995434</v>
      </c>
    </row>
    <row r="114" spans="2:192" x14ac:dyDescent="0.2">
      <c r="AG114" s="230"/>
      <c r="AH114" s="230"/>
      <c r="AR114" s="230" t="s">
        <v>515</v>
      </c>
      <c r="AS114" s="234"/>
      <c r="AT114" s="234"/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>
        <f>Ore_to_PI!$DP$233</f>
        <v>46.099804713468714</v>
      </c>
      <c r="BF114" s="234"/>
      <c r="BG114" s="236"/>
      <c r="BH114" s="243">
        <f t="shared" si="6"/>
        <v>46.099804713468714</v>
      </c>
      <c r="BL114" s="230" t="s">
        <v>515</v>
      </c>
      <c r="BM114" s="237"/>
      <c r="BN114" s="237"/>
      <c r="BO114" s="243">
        <f t="shared" si="8"/>
        <v>0</v>
      </c>
      <c r="FA114" s="230"/>
      <c r="FB114" s="230"/>
      <c r="FL114" s="230" t="s">
        <v>515</v>
      </c>
      <c r="FM114" s="234"/>
      <c r="FN114" s="234"/>
      <c r="FO114" s="234"/>
      <c r="FP114" s="234"/>
      <c r="FQ114" s="234"/>
      <c r="FR114" s="234"/>
      <c r="FS114" s="234"/>
      <c r="FT114" s="234"/>
      <c r="FU114" s="234"/>
      <c r="FV114" s="234"/>
      <c r="FW114" s="234"/>
      <c r="FX114" s="234"/>
      <c r="FY114" s="234">
        <v>46.099804713468714</v>
      </c>
      <c r="FZ114" s="234"/>
      <c r="GA114" s="236"/>
      <c r="GB114" s="243">
        <v>46.099804713468714</v>
      </c>
      <c r="GF114" s="230" t="s">
        <v>515</v>
      </c>
      <c r="GG114" s="237"/>
      <c r="GH114" s="237"/>
      <c r="GI114" s="237"/>
      <c r="GJ114" s="243">
        <v>0</v>
      </c>
    </row>
    <row r="115" spans="2:192" x14ac:dyDescent="0.2">
      <c r="AG115" s="230"/>
      <c r="AH115" s="230"/>
      <c r="AR115" s="230" t="s">
        <v>517</v>
      </c>
      <c r="AS115" s="234"/>
      <c r="AT115" s="234"/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4"/>
      <c r="BG115" s="236">
        <f>Ore_to_PI!$EL$152</f>
        <v>32.269863299428096</v>
      </c>
      <c r="BH115" s="243">
        <f t="shared" si="6"/>
        <v>32.269863299428096</v>
      </c>
      <c r="BL115" s="230" t="s">
        <v>517</v>
      </c>
      <c r="BM115" s="237">
        <f>Ore_to_PI!$FF$233</f>
        <v>13.829941414040613</v>
      </c>
      <c r="BN115" s="237"/>
      <c r="BO115" s="243">
        <f t="shared" si="8"/>
        <v>13.829941414040613</v>
      </c>
      <c r="FA115" s="230"/>
      <c r="FB115" s="230"/>
      <c r="FL115" s="230" t="s">
        <v>517</v>
      </c>
      <c r="FM115" s="234"/>
      <c r="FN115" s="234"/>
      <c r="FO115" s="234"/>
      <c r="FP115" s="234"/>
      <c r="FQ115" s="234"/>
      <c r="FR115" s="234"/>
      <c r="FS115" s="234"/>
      <c r="FT115" s="234"/>
      <c r="FU115" s="234"/>
      <c r="FV115" s="234"/>
      <c r="FW115" s="234"/>
      <c r="FX115" s="234"/>
      <c r="FY115" s="234"/>
      <c r="FZ115" s="234"/>
      <c r="GA115" s="236">
        <v>32.269863299428096</v>
      </c>
      <c r="GB115" s="243">
        <v>32.269863299428096</v>
      </c>
      <c r="GF115" s="230" t="s">
        <v>517</v>
      </c>
      <c r="GG115" s="237">
        <v>13.829941414040613</v>
      </c>
      <c r="GH115" s="237"/>
      <c r="GI115" s="237"/>
      <c r="GJ115" s="243">
        <v>13.829941414040613</v>
      </c>
    </row>
    <row r="116" spans="2:192" x14ac:dyDescent="0.2">
      <c r="AG116" s="230"/>
      <c r="AH116" s="230"/>
      <c r="AR116" s="230" t="s">
        <v>445</v>
      </c>
      <c r="AS116" s="234"/>
      <c r="AT116" s="234"/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36">
        <f>Ore_to_PI!EL126</f>
        <v>1314.2879334772852</v>
      </c>
      <c r="BH116" s="243">
        <f t="shared" si="6"/>
        <v>1314.2879334772852</v>
      </c>
      <c r="BL116" s="230" t="s">
        <v>445</v>
      </c>
      <c r="BM116" s="237"/>
      <c r="BN116" s="237"/>
      <c r="BO116" s="243">
        <f t="shared" si="8"/>
        <v>0</v>
      </c>
      <c r="FA116" s="230"/>
      <c r="FB116" s="230"/>
      <c r="FL116" s="230" t="s">
        <v>445</v>
      </c>
      <c r="FM116" s="234"/>
      <c r="FN116" s="234"/>
      <c r="FO116" s="234"/>
      <c r="FP116" s="234"/>
      <c r="FQ116" s="234"/>
      <c r="FR116" s="234"/>
      <c r="FS116" s="234"/>
      <c r="FT116" s="234"/>
      <c r="FU116" s="234"/>
      <c r="FV116" s="234"/>
      <c r="FW116" s="234"/>
      <c r="FX116" s="234"/>
      <c r="FY116" s="234"/>
      <c r="FZ116" s="234"/>
      <c r="GA116" s="236">
        <v>1314.2879334772852</v>
      </c>
      <c r="GB116" s="243">
        <v>1314.2879334772852</v>
      </c>
      <c r="GF116" s="230" t="s">
        <v>445</v>
      </c>
      <c r="GG116" s="237"/>
      <c r="GH116" s="237"/>
      <c r="GI116" s="237"/>
      <c r="GJ116" s="243">
        <v>0</v>
      </c>
    </row>
    <row r="117" spans="2:192" x14ac:dyDescent="0.2">
      <c r="AG117" s="230"/>
      <c r="AH117" s="230"/>
      <c r="AR117" s="230" t="s">
        <v>446</v>
      </c>
      <c r="AS117" s="234"/>
      <c r="AT117" s="234"/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34"/>
      <c r="BH117" s="243">
        <f t="shared" si="6"/>
        <v>0</v>
      </c>
      <c r="BL117" s="230" t="s">
        <v>446</v>
      </c>
      <c r="BM117" s="237">
        <f>Ore_to_PI!FL126</f>
        <v>616.23583583508366</v>
      </c>
      <c r="BN117" s="237"/>
      <c r="BO117" s="243">
        <f t="shared" si="8"/>
        <v>616.23583583508366</v>
      </c>
      <c r="FA117" s="230"/>
      <c r="FB117" s="230"/>
      <c r="FL117" s="230" t="s">
        <v>446</v>
      </c>
      <c r="FM117" s="234"/>
      <c r="FN117" s="234"/>
      <c r="FO117" s="234"/>
      <c r="FP117" s="234"/>
      <c r="FQ117" s="234"/>
      <c r="FR117" s="234"/>
      <c r="FS117" s="234"/>
      <c r="FT117" s="234"/>
      <c r="FU117" s="234"/>
      <c r="FV117" s="234"/>
      <c r="FW117" s="234"/>
      <c r="FX117" s="234"/>
      <c r="FY117" s="234"/>
      <c r="FZ117" s="234"/>
      <c r="GA117" s="234"/>
      <c r="GB117" s="243">
        <v>0</v>
      </c>
      <c r="GF117" s="230" t="s">
        <v>446</v>
      </c>
      <c r="GG117" s="237">
        <v>616.23583583508366</v>
      </c>
      <c r="GH117" s="237"/>
      <c r="GI117" s="237"/>
      <c r="GJ117" s="243">
        <v>616.23583583508366</v>
      </c>
    </row>
    <row r="118" spans="2:192" x14ac:dyDescent="0.2">
      <c r="AG118" s="230"/>
      <c r="AH118" s="230"/>
      <c r="AR118" s="230" t="s">
        <v>447</v>
      </c>
      <c r="AS118" s="234"/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34"/>
      <c r="BH118" s="243">
        <f t="shared" si="6"/>
        <v>0</v>
      </c>
      <c r="BL118" s="230" t="s">
        <v>447</v>
      </c>
      <c r="BM118" s="237"/>
      <c r="BN118" s="237">
        <f>Ore_to_PI!FL141</f>
        <v>3402.2651449800928</v>
      </c>
      <c r="BO118" s="243">
        <f t="shared" si="8"/>
        <v>3402.2651449800928</v>
      </c>
      <c r="FA118" s="230"/>
      <c r="FB118" s="230"/>
      <c r="FL118" s="230" t="s">
        <v>447</v>
      </c>
      <c r="FM118" s="234"/>
      <c r="FN118" s="234"/>
      <c r="FO118" s="234"/>
      <c r="FP118" s="234"/>
      <c r="FQ118" s="234"/>
      <c r="FR118" s="234"/>
      <c r="FS118" s="234"/>
      <c r="FT118" s="234"/>
      <c r="FU118" s="234"/>
      <c r="FV118" s="234"/>
      <c r="FW118" s="234"/>
      <c r="FX118" s="234"/>
      <c r="FY118" s="234"/>
      <c r="FZ118" s="234"/>
      <c r="GA118" s="234"/>
      <c r="GB118" s="243">
        <v>0</v>
      </c>
      <c r="GF118" s="230" t="s">
        <v>447</v>
      </c>
      <c r="GG118" s="237"/>
      <c r="GH118" s="237">
        <v>3402.2651449800928</v>
      </c>
      <c r="GI118" s="237"/>
      <c r="GJ118" s="243">
        <v>3402.2651449800928</v>
      </c>
    </row>
    <row r="119" spans="2:192" x14ac:dyDescent="0.2">
      <c r="AG119" s="230"/>
      <c r="AH119" s="230"/>
      <c r="AR119" s="230" t="s">
        <v>457</v>
      </c>
      <c r="AS119" s="234"/>
      <c r="AT119" s="234"/>
      <c r="AU119" s="234"/>
      <c r="AV119" s="234"/>
      <c r="AW119" s="234"/>
      <c r="AX119" s="234"/>
      <c r="AY119" s="234"/>
      <c r="AZ119" s="234"/>
      <c r="BA119" s="234"/>
      <c r="BB119" s="234"/>
      <c r="BC119" s="234"/>
      <c r="BD119" s="234"/>
      <c r="BE119" s="234"/>
      <c r="BF119" s="234"/>
      <c r="BG119" s="234"/>
      <c r="BH119" s="243">
        <f t="shared" si="6"/>
        <v>0</v>
      </c>
      <c r="BL119" s="230" t="s">
        <v>457</v>
      </c>
      <c r="BM119" s="237"/>
      <c r="BN119" s="237">
        <f>BF_SolidWaste</f>
        <v>229.94813284002646</v>
      </c>
      <c r="BO119" s="243">
        <f t="shared" si="8"/>
        <v>229.94813284002646</v>
      </c>
      <c r="FA119" s="230"/>
      <c r="FB119" s="230"/>
      <c r="FL119" s="230" t="s">
        <v>457</v>
      </c>
      <c r="FM119" s="234"/>
      <c r="FN119" s="234"/>
      <c r="FO119" s="234"/>
      <c r="FP119" s="234"/>
      <c r="FQ119" s="234"/>
      <c r="FR119" s="234"/>
      <c r="FS119" s="234"/>
      <c r="FT119" s="234"/>
      <c r="FU119" s="234"/>
      <c r="FV119" s="234"/>
      <c r="FW119" s="234"/>
      <c r="FX119" s="234"/>
      <c r="FY119" s="234"/>
      <c r="FZ119" s="234"/>
      <c r="GA119" s="234"/>
      <c r="GB119" s="243">
        <v>0</v>
      </c>
      <c r="GF119" s="230" t="s">
        <v>457</v>
      </c>
      <c r="GG119" s="237"/>
      <c r="GH119" s="237">
        <v>229.94813284002646</v>
      </c>
      <c r="GI119" s="237"/>
      <c r="GJ119" s="243">
        <v>229.94813284002646</v>
      </c>
    </row>
    <row r="120" spans="2:192" x14ac:dyDescent="0.2">
      <c r="AG120" s="230"/>
      <c r="AH120" s="230"/>
      <c r="AR120" s="230"/>
      <c r="AS120" s="379" t="s">
        <v>328</v>
      </c>
      <c r="AT120" s="379"/>
      <c r="AU120" s="379"/>
      <c r="AV120" s="379"/>
      <c r="AW120" s="379"/>
      <c r="AX120" s="379"/>
      <c r="AY120" s="379"/>
      <c r="AZ120" s="379"/>
      <c r="BA120" s="379"/>
      <c r="BB120" s="379"/>
      <c r="BC120" s="379"/>
      <c r="BD120" s="379"/>
      <c r="BE120" s="379"/>
      <c r="BF120" s="379"/>
      <c r="BG120" s="379"/>
      <c r="BH120" s="52" t="s">
        <v>369</v>
      </c>
      <c r="BM120" s="379" t="s">
        <v>330</v>
      </c>
      <c r="BN120" s="379"/>
      <c r="BO120" s="52" t="s">
        <v>381</v>
      </c>
      <c r="FA120" s="230"/>
      <c r="FB120" s="230"/>
      <c r="FL120" s="230"/>
      <c r="FM120" s="379" t="s">
        <v>328</v>
      </c>
      <c r="FN120" s="379"/>
      <c r="FO120" s="379"/>
      <c r="FP120" s="379"/>
      <c r="FQ120" s="379"/>
      <c r="FR120" s="379"/>
      <c r="FS120" s="379"/>
      <c r="FT120" s="379"/>
      <c r="FU120" s="379"/>
      <c r="FV120" s="379"/>
      <c r="FW120" s="379"/>
      <c r="FX120" s="379"/>
      <c r="FY120" s="379"/>
      <c r="FZ120" s="379"/>
      <c r="GA120" s="379"/>
      <c r="GB120" s="52" t="s">
        <v>369</v>
      </c>
      <c r="GF120" s="230" t="s">
        <v>793</v>
      </c>
      <c r="GG120" s="333">
        <v>0</v>
      </c>
      <c r="GH120" s="333">
        <v>0</v>
      </c>
      <c r="GI120" s="333">
        <f>SUM(FG125:FG139)</f>
        <v>-9.3725027738855715E-13</v>
      </c>
      <c r="GJ120" s="321">
        <f>SUM(GG120:GI120)</f>
        <v>-9.3725027738855715E-13</v>
      </c>
    </row>
    <row r="121" spans="2:192" x14ac:dyDescent="0.2">
      <c r="AG121" s="230"/>
      <c r="AH121" s="230"/>
      <c r="AR121" s="230"/>
      <c r="AS121" s="243">
        <f t="shared" ref="AS121:BG121" si="9">SUM(AS84:AS119)</f>
        <v>1043.9873925509492</v>
      </c>
      <c r="AT121" s="243">
        <f t="shared" si="9"/>
        <v>208.65218594918355</v>
      </c>
      <c r="AU121" s="243">
        <f t="shared" si="9"/>
        <v>306.591996148688</v>
      </c>
      <c r="AV121" s="243">
        <f t="shared" si="9"/>
        <v>1011.7674660019052</v>
      </c>
      <c r="AW121" s="243">
        <f t="shared" si="9"/>
        <v>208.55560337725498</v>
      </c>
      <c r="AX121" s="243">
        <f t="shared" si="9"/>
        <v>298.6148747230165</v>
      </c>
      <c r="AY121" s="243">
        <f t="shared" si="9"/>
        <v>1011.7674660019052</v>
      </c>
      <c r="AZ121" s="243">
        <f t="shared" si="9"/>
        <v>208.55560337725498</v>
      </c>
      <c r="BA121" s="243">
        <f t="shared" si="9"/>
        <v>298.6148747230165</v>
      </c>
      <c r="BB121" s="243">
        <f t="shared" si="9"/>
        <v>890.42781548807159</v>
      </c>
      <c r="BC121" s="243">
        <f t="shared" si="9"/>
        <v>3997.4881942225597</v>
      </c>
      <c r="BD121" s="243">
        <f t="shared" si="9"/>
        <v>46.0998047134687</v>
      </c>
      <c r="BE121" s="243">
        <f t="shared" si="9"/>
        <v>46.099804713468714</v>
      </c>
      <c r="BF121" s="243">
        <f t="shared" si="9"/>
        <v>1314.2879334772852</v>
      </c>
      <c r="BG121" s="243">
        <f t="shared" si="9"/>
        <v>4248.4491136552024</v>
      </c>
      <c r="BH121" s="52"/>
      <c r="BM121" s="52"/>
      <c r="BN121" s="52"/>
      <c r="BO121" s="52"/>
      <c r="FA121" s="230"/>
      <c r="FB121" s="230"/>
      <c r="FL121" s="230"/>
      <c r="FM121" s="243">
        <v>1043.9873925509492</v>
      </c>
      <c r="FN121" s="243">
        <v>208.65218594918355</v>
      </c>
      <c r="FO121" s="243">
        <v>306.591996148688</v>
      </c>
      <c r="FP121" s="243">
        <v>1011.7674660019052</v>
      </c>
      <c r="FQ121" s="243">
        <v>208.55560337725498</v>
      </c>
      <c r="FR121" s="243">
        <v>298.6148747230165</v>
      </c>
      <c r="FS121" s="243">
        <v>1011.7674660019052</v>
      </c>
      <c r="FT121" s="243">
        <v>208.55560337725498</v>
      </c>
      <c r="FU121" s="243">
        <v>298.6148747230165</v>
      </c>
      <c r="FV121" s="243">
        <v>890.42781548807159</v>
      </c>
      <c r="FW121" s="243">
        <v>3997.4881942225597</v>
      </c>
      <c r="FX121" s="243">
        <v>46.0998047134687</v>
      </c>
      <c r="FY121" s="243">
        <v>46.099804713468714</v>
      </c>
      <c r="FZ121" s="243">
        <v>1314.2879334772852</v>
      </c>
      <c r="GA121" s="243">
        <v>4248.4491136552024</v>
      </c>
      <c r="GB121" s="52"/>
      <c r="GG121" s="379" t="s">
        <v>330</v>
      </c>
      <c r="GH121" s="379"/>
      <c r="GI121" s="52"/>
      <c r="GJ121" s="52" t="s">
        <v>381</v>
      </c>
    </row>
    <row r="122" spans="2:192" ht="13" customHeight="1" x14ac:dyDescent="0.2">
      <c r="AG122" s="230"/>
      <c r="AH122" s="230"/>
      <c r="AR122" s="230"/>
      <c r="AS122" s="379" t="s">
        <v>368</v>
      </c>
      <c r="AT122" s="379"/>
      <c r="AU122" s="379"/>
      <c r="AV122" s="379"/>
      <c r="AW122" s="379"/>
      <c r="AX122" s="379"/>
      <c r="AY122" s="379"/>
      <c r="AZ122" s="379"/>
      <c r="BA122" s="379"/>
      <c r="BB122" s="379"/>
      <c r="BC122" s="379"/>
      <c r="BD122" s="379"/>
      <c r="BE122" s="379"/>
      <c r="BF122" s="379"/>
      <c r="BG122" s="379"/>
      <c r="BH122" s="52"/>
      <c r="BM122" s="52"/>
      <c r="BN122" s="52"/>
      <c r="BO122" s="52"/>
      <c r="FA122" s="230"/>
      <c r="FB122" s="230"/>
      <c r="FL122" s="230"/>
      <c r="FM122" s="379" t="s">
        <v>368</v>
      </c>
      <c r="FN122" s="379"/>
      <c r="FO122" s="379"/>
      <c r="FP122" s="379"/>
      <c r="FQ122" s="379"/>
      <c r="FR122" s="379"/>
      <c r="FS122" s="379"/>
      <c r="FT122" s="379"/>
      <c r="FU122" s="379"/>
      <c r="FV122" s="379"/>
      <c r="FW122" s="379"/>
      <c r="FX122" s="379"/>
      <c r="FY122" s="379"/>
      <c r="FZ122" s="379"/>
      <c r="GA122" s="379"/>
      <c r="GB122" s="52"/>
      <c r="GG122" s="52"/>
      <c r="GH122" s="52"/>
      <c r="GI122" s="52"/>
      <c r="GJ122" s="52"/>
    </row>
    <row r="123" spans="2:192" ht="236" customHeight="1" x14ac:dyDescent="0.2">
      <c r="C123" s="380"/>
      <c r="D123" s="380"/>
      <c r="E123" s="136"/>
      <c r="F123" s="136"/>
      <c r="G123" s="136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  <c r="AA123" s="136"/>
      <c r="AB123" s="136"/>
      <c r="AC123" s="136"/>
      <c r="AD123" s="136"/>
      <c r="AE123" s="136"/>
      <c r="AF123" s="136"/>
      <c r="AG123" s="230"/>
      <c r="AH123" s="230"/>
      <c r="AI123" s="136"/>
      <c r="AJ123" s="136"/>
      <c r="AK123" s="136"/>
      <c r="AL123" s="136"/>
      <c r="AM123" s="136"/>
      <c r="AN123" s="136"/>
      <c r="AO123" s="136"/>
      <c r="AP123" s="136"/>
      <c r="AR123" s="230"/>
      <c r="BM123" s="52"/>
      <c r="BN123" s="52"/>
      <c r="BO123" s="52"/>
      <c r="DW123" s="380"/>
      <c r="DX123" s="380"/>
      <c r="DY123" s="136"/>
      <c r="DZ123" s="136"/>
      <c r="EA123" s="136"/>
      <c r="EB123" s="136"/>
      <c r="EC123" s="136"/>
      <c r="ED123" s="136"/>
      <c r="EE123" s="136"/>
      <c r="EF123" s="136"/>
      <c r="EG123" s="136"/>
      <c r="EH123" s="136"/>
      <c r="EI123" s="136"/>
      <c r="EJ123" s="136"/>
      <c r="EK123" s="136"/>
      <c r="EL123" s="136"/>
      <c r="EM123" s="136"/>
      <c r="EN123" s="136"/>
      <c r="EO123" s="136"/>
      <c r="EP123" s="136"/>
      <c r="EQ123" s="136"/>
      <c r="ER123" s="136"/>
      <c r="ES123" s="136"/>
      <c r="ET123" s="136"/>
      <c r="EU123" s="136"/>
      <c r="EV123" s="136"/>
      <c r="EW123" s="136"/>
      <c r="EX123" s="136"/>
      <c r="EY123" s="136"/>
      <c r="EZ123" s="136"/>
      <c r="FA123" s="230"/>
      <c r="FB123" s="230"/>
      <c r="FC123" s="136"/>
      <c r="FD123" s="136"/>
      <c r="FE123" s="136"/>
      <c r="FF123" s="136"/>
      <c r="FG123" s="136"/>
      <c r="FH123" s="136"/>
      <c r="FI123" s="136"/>
      <c r="FJ123" s="136"/>
      <c r="FL123" s="230"/>
      <c r="GG123" s="52"/>
      <c r="GH123" s="52"/>
      <c r="GI123" s="52"/>
      <c r="GJ123" s="52"/>
    </row>
    <row r="124" spans="2:192" ht="353" x14ac:dyDescent="0.2">
      <c r="B124" s="60"/>
      <c r="C124" s="231" t="s">
        <v>333</v>
      </c>
      <c r="D124" s="231" t="s">
        <v>335</v>
      </c>
      <c r="E124" s="231" t="s">
        <v>336</v>
      </c>
      <c r="F124" s="231" t="s">
        <v>355</v>
      </c>
      <c r="G124" s="231" t="s">
        <v>377</v>
      </c>
      <c r="H124" s="231" t="s">
        <v>407</v>
      </c>
      <c r="I124" s="231" t="s">
        <v>466</v>
      </c>
      <c r="J124" s="231" t="s">
        <v>467</v>
      </c>
      <c r="K124" s="231" t="s">
        <v>459</v>
      </c>
      <c r="L124" s="232" t="s">
        <v>442</v>
      </c>
      <c r="M124" s="231" t="s">
        <v>409</v>
      </c>
      <c r="N124" s="232" t="s">
        <v>412</v>
      </c>
      <c r="O124" s="231" t="s">
        <v>801</v>
      </c>
      <c r="P124" s="233" t="s">
        <v>430</v>
      </c>
      <c r="Q124" s="231" t="s">
        <v>416</v>
      </c>
      <c r="R124" s="232" t="s">
        <v>441</v>
      </c>
      <c r="S124" s="232" t="s">
        <v>436</v>
      </c>
      <c r="T124" s="232" t="s">
        <v>433</v>
      </c>
      <c r="U124" s="232" t="s">
        <v>439</v>
      </c>
      <c r="V124" s="233" t="s">
        <v>438</v>
      </c>
      <c r="W124" s="233" t="s">
        <v>424</v>
      </c>
      <c r="X124" s="233" t="s">
        <v>456</v>
      </c>
      <c r="Y124" s="233" t="s">
        <v>425</v>
      </c>
      <c r="Z124" s="233" t="s">
        <v>427</v>
      </c>
      <c r="AA124" s="233" t="s">
        <v>426</v>
      </c>
      <c r="AB124" s="233" t="s">
        <v>484</v>
      </c>
      <c r="AC124" s="235" t="s">
        <v>422</v>
      </c>
      <c r="AD124" s="235" t="s">
        <v>552</v>
      </c>
      <c r="AE124" s="233" t="s">
        <v>421</v>
      </c>
      <c r="AF124" s="231" t="s">
        <v>423</v>
      </c>
      <c r="AG124" s="233" t="s">
        <v>515</v>
      </c>
      <c r="AH124" s="233" t="s">
        <v>517</v>
      </c>
      <c r="AI124" s="233" t="s">
        <v>445</v>
      </c>
      <c r="AJ124" s="233" t="s">
        <v>446</v>
      </c>
      <c r="AK124" s="233" t="s">
        <v>447</v>
      </c>
      <c r="AL124" s="233" t="s">
        <v>457</v>
      </c>
      <c r="AM124" s="233" t="s">
        <v>793</v>
      </c>
      <c r="AR124" s="230"/>
      <c r="BM124" s="52"/>
      <c r="BN124" s="52"/>
      <c r="DV124" s="60"/>
      <c r="DW124" s="231" t="s">
        <v>333</v>
      </c>
      <c r="DX124" s="231" t="s">
        <v>335</v>
      </c>
      <c r="DY124" s="231" t="s">
        <v>336</v>
      </c>
      <c r="DZ124" s="231" t="s">
        <v>355</v>
      </c>
      <c r="EA124" s="231" t="s">
        <v>377</v>
      </c>
      <c r="EB124" s="231" t="s">
        <v>407</v>
      </c>
      <c r="EC124" s="231" t="s">
        <v>466</v>
      </c>
      <c r="ED124" s="231" t="s">
        <v>467</v>
      </c>
      <c r="EE124" s="231" t="s">
        <v>459</v>
      </c>
      <c r="EF124" s="232" t="s">
        <v>442</v>
      </c>
      <c r="EG124" s="231" t="s">
        <v>409</v>
      </c>
      <c r="EH124" s="232" t="s">
        <v>412</v>
      </c>
      <c r="EI124" s="231" t="s">
        <v>437</v>
      </c>
      <c r="EJ124" s="233" t="s">
        <v>430</v>
      </c>
      <c r="EK124" s="231" t="s">
        <v>416</v>
      </c>
      <c r="EL124" s="232" t="s">
        <v>441</v>
      </c>
      <c r="EM124" s="232" t="s">
        <v>436</v>
      </c>
      <c r="EN124" s="232" t="s">
        <v>433</v>
      </c>
      <c r="EO124" s="232" t="s">
        <v>439</v>
      </c>
      <c r="EP124" s="233" t="s">
        <v>438</v>
      </c>
      <c r="EQ124" s="233" t="s">
        <v>424</v>
      </c>
      <c r="ER124" s="233" t="s">
        <v>456</v>
      </c>
      <c r="ES124" s="233" t="s">
        <v>425</v>
      </c>
      <c r="ET124" s="233" t="s">
        <v>427</v>
      </c>
      <c r="EU124" s="233" t="s">
        <v>426</v>
      </c>
      <c r="EV124" s="233" t="s">
        <v>484</v>
      </c>
      <c r="EW124" s="235" t="s">
        <v>422</v>
      </c>
      <c r="EX124" s="235" t="s">
        <v>552</v>
      </c>
      <c r="EY124" s="233" t="s">
        <v>421</v>
      </c>
      <c r="EZ124" s="231" t="s">
        <v>423</v>
      </c>
      <c r="FA124" s="233" t="s">
        <v>515</v>
      </c>
      <c r="FB124" s="233" t="s">
        <v>517</v>
      </c>
      <c r="FC124" s="233" t="s">
        <v>445</v>
      </c>
      <c r="FD124" s="233" t="s">
        <v>446</v>
      </c>
      <c r="FE124" s="233" t="s">
        <v>447</v>
      </c>
      <c r="FF124" s="233" t="s">
        <v>457</v>
      </c>
      <c r="FG124" s="233" t="s">
        <v>793</v>
      </c>
      <c r="FL124" s="230"/>
      <c r="GG124" s="52"/>
      <c r="GH124" s="52"/>
      <c r="GI124" s="52"/>
    </row>
    <row r="125" spans="2:192" x14ac:dyDescent="0.2">
      <c r="B125" s="132" t="s">
        <v>325</v>
      </c>
      <c r="C125" s="234"/>
      <c r="D125" s="234"/>
      <c r="E125" s="234"/>
      <c r="F125" s="234"/>
      <c r="G125" s="234"/>
      <c r="H125" s="234"/>
      <c r="I125" s="234"/>
      <c r="J125" s="234"/>
      <c r="K125" s="234"/>
      <c r="L125" s="234">
        <f>Ore_to_PI!U42</f>
        <v>1011.7674660019052</v>
      </c>
      <c r="M125" s="234">
        <f>Ore_to_PI!$AN$63</f>
        <v>32.219926549044033</v>
      </c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34">
        <v>0</v>
      </c>
      <c r="AN125" s="243">
        <f>SUM(C125:AL125)</f>
        <v>1043.9873925509492</v>
      </c>
      <c r="BM125" s="52"/>
      <c r="BN125" s="52"/>
      <c r="DV125" s="132" t="s">
        <v>325</v>
      </c>
      <c r="DW125" s="234"/>
      <c r="DX125" s="234"/>
      <c r="DY125" s="234"/>
      <c r="DZ125" s="234"/>
      <c r="EA125" s="234"/>
      <c r="EB125" s="234"/>
      <c r="EC125" s="234"/>
      <c r="ED125" s="234"/>
      <c r="EE125" s="234"/>
      <c r="EF125" s="234">
        <v>1011.7674660019052</v>
      </c>
      <c r="EG125" s="234">
        <v>32.219926549044033</v>
      </c>
      <c r="EH125" s="234"/>
      <c r="EI125" s="234"/>
      <c r="EJ125" s="234"/>
      <c r="EK125" s="234"/>
      <c r="EL125" s="234"/>
      <c r="EM125" s="234"/>
      <c r="EN125" s="234"/>
      <c r="EO125" s="234"/>
      <c r="EP125" s="234"/>
      <c r="EQ125" s="234"/>
      <c r="ER125" s="234"/>
      <c r="ES125" s="234"/>
      <c r="ET125" s="234"/>
      <c r="EU125" s="234"/>
      <c r="EV125" s="234"/>
      <c r="EW125" s="234"/>
      <c r="EX125" s="234"/>
      <c r="EY125" s="234"/>
      <c r="EZ125" s="234"/>
      <c r="FA125" s="234"/>
      <c r="FB125" s="234"/>
      <c r="FC125" s="234"/>
      <c r="FD125" s="234"/>
      <c r="FE125" s="234"/>
      <c r="FF125" s="234"/>
      <c r="FG125" s="334">
        <f>DR84</f>
        <v>-5.6843418860808015E-14</v>
      </c>
      <c r="FH125" s="243">
        <f>SUM(DW125:FG125)</f>
        <v>1043.9873925509492</v>
      </c>
      <c r="GG125" s="52"/>
      <c r="GH125" s="52"/>
      <c r="GI125" s="52"/>
    </row>
    <row r="126" spans="2:192" x14ac:dyDescent="0.2">
      <c r="B126" s="132" t="s">
        <v>326</v>
      </c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>
        <f>Ore_to_PI!AO126</f>
        <v>208.55560337725498</v>
      </c>
      <c r="O126" s="234">
        <f>Ore_to_PI!$AO$142</f>
        <v>9.658257192857822E-2</v>
      </c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34">
        <v>0</v>
      </c>
      <c r="AN126" s="243">
        <f>SUM(C126:AL126)</f>
        <v>208.65218594918355</v>
      </c>
      <c r="DV126" s="132" t="s">
        <v>326</v>
      </c>
      <c r="DW126" s="234"/>
      <c r="DX126" s="234"/>
      <c r="DY126" s="234"/>
      <c r="DZ126" s="234"/>
      <c r="EA126" s="234"/>
      <c r="EB126" s="234"/>
      <c r="EC126" s="234"/>
      <c r="ED126" s="234"/>
      <c r="EE126" s="234"/>
      <c r="EF126" s="234"/>
      <c r="EG126" s="234"/>
      <c r="EH126" s="234">
        <v>208.55560337725498</v>
      </c>
      <c r="EI126" s="234">
        <v>9.658257192857822E-2</v>
      </c>
      <c r="EJ126" s="234"/>
      <c r="EK126" s="234"/>
      <c r="EL126" s="234"/>
      <c r="EM126" s="234"/>
      <c r="EN126" s="234"/>
      <c r="EO126" s="234"/>
      <c r="EP126" s="234"/>
      <c r="EQ126" s="234"/>
      <c r="ER126" s="234"/>
      <c r="ES126" s="234"/>
      <c r="ET126" s="234"/>
      <c r="EU126" s="234"/>
      <c r="EV126" s="234"/>
      <c r="EW126" s="234"/>
      <c r="EX126" s="234"/>
      <c r="EY126" s="234"/>
      <c r="EZ126" s="234"/>
      <c r="FA126" s="234"/>
      <c r="FB126" s="234"/>
      <c r="FC126" s="234"/>
      <c r="FD126" s="234"/>
      <c r="FE126" s="234"/>
      <c r="FF126" s="234"/>
      <c r="FG126" s="334">
        <f t="shared" ref="FG126:FG139" si="10">DR85</f>
        <v>-1.354472090042691E-14</v>
      </c>
      <c r="FH126" s="243">
        <f t="shared" ref="FH126:FH139" si="11">SUM(DW126:FG126)</f>
        <v>208.65218594918355</v>
      </c>
    </row>
    <row r="127" spans="2:192" x14ac:dyDescent="0.2">
      <c r="B127" s="132" t="s">
        <v>327</v>
      </c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>
        <f>Ore_to_PI!$AO$206</f>
        <v>298.6148747230165</v>
      </c>
      <c r="Q127" s="234">
        <f>Ore_to_PI!$AO$227</f>
        <v>7.9771214256715108</v>
      </c>
      <c r="R127" s="234"/>
      <c r="S127" s="234"/>
      <c r="T127" s="234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4"/>
      <c r="AI127" s="234"/>
      <c r="AJ127" s="234"/>
      <c r="AK127" s="234"/>
      <c r="AL127" s="234"/>
      <c r="AM127" s="234">
        <v>0</v>
      </c>
      <c r="AN127" s="243">
        <f t="shared" ref="AN127:AN139" si="12">SUM(C127:AL127)</f>
        <v>306.591996148688</v>
      </c>
      <c r="DV127" s="132" t="s">
        <v>327</v>
      </c>
      <c r="DW127" s="234"/>
      <c r="DX127" s="234"/>
      <c r="DY127" s="234"/>
      <c r="DZ127" s="234"/>
      <c r="EA127" s="234"/>
      <c r="EB127" s="234"/>
      <c r="EC127" s="234"/>
      <c r="ED127" s="234"/>
      <c r="EE127" s="234"/>
      <c r="EF127" s="234"/>
      <c r="EG127" s="234"/>
      <c r="EH127" s="234"/>
      <c r="EI127" s="234"/>
      <c r="EJ127" s="234">
        <v>298.6148747230165</v>
      </c>
      <c r="EK127" s="234">
        <v>7.9771214256715108</v>
      </c>
      <c r="EL127" s="234"/>
      <c r="EM127" s="234"/>
      <c r="EN127" s="234"/>
      <c r="EO127" s="234"/>
      <c r="EP127" s="234"/>
      <c r="EQ127" s="234"/>
      <c r="ER127" s="234"/>
      <c r="ES127" s="234"/>
      <c r="ET127" s="234"/>
      <c r="EU127" s="234"/>
      <c r="EV127" s="234"/>
      <c r="EW127" s="234"/>
      <c r="EX127" s="234"/>
      <c r="EY127" s="234"/>
      <c r="EZ127" s="234"/>
      <c r="FA127" s="234"/>
      <c r="FB127" s="234"/>
      <c r="FC127" s="234"/>
      <c r="FD127" s="234"/>
      <c r="FE127" s="234"/>
      <c r="FF127" s="234"/>
      <c r="FG127" s="334">
        <f t="shared" si="10"/>
        <v>-1.2434497875801753E-14</v>
      </c>
      <c r="FH127" s="243">
        <f t="shared" si="11"/>
        <v>306.591996148688</v>
      </c>
    </row>
    <row r="128" spans="2:192" x14ac:dyDescent="0.2">
      <c r="B128" s="132" t="s">
        <v>455</v>
      </c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>
        <f>Ore_to_PI!$BG$42</f>
        <v>1011.7674660019052</v>
      </c>
      <c r="S128" s="234"/>
      <c r="T128" s="234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234"/>
      <c r="AI128" s="234"/>
      <c r="AJ128" s="234"/>
      <c r="AK128" s="234"/>
      <c r="AL128" s="234"/>
      <c r="AM128" s="234">
        <v>0</v>
      </c>
      <c r="AN128" s="243">
        <f t="shared" si="12"/>
        <v>1011.7674660019052</v>
      </c>
      <c r="DV128" s="132" t="s">
        <v>455</v>
      </c>
      <c r="DW128" s="234"/>
      <c r="DX128" s="234"/>
      <c r="DY128" s="234"/>
      <c r="DZ128" s="234"/>
      <c r="EA128" s="234"/>
      <c r="EB128" s="234"/>
      <c r="EC128" s="234"/>
      <c r="ED128" s="234"/>
      <c r="EE128" s="234"/>
      <c r="EF128" s="234"/>
      <c r="EG128" s="234"/>
      <c r="EH128" s="234"/>
      <c r="EI128" s="234"/>
      <c r="EJ128" s="234"/>
      <c r="EK128" s="234"/>
      <c r="EL128" s="234">
        <v>1011.7674660019052</v>
      </c>
      <c r="EM128" s="234"/>
      <c r="EN128" s="234"/>
      <c r="EO128" s="234"/>
      <c r="EP128" s="234"/>
      <c r="EQ128" s="234"/>
      <c r="ER128" s="234"/>
      <c r="ES128" s="234"/>
      <c r="ET128" s="234"/>
      <c r="EU128" s="234"/>
      <c r="EV128" s="234"/>
      <c r="EW128" s="234"/>
      <c r="EX128" s="234"/>
      <c r="EY128" s="234"/>
      <c r="EZ128" s="234"/>
      <c r="FA128" s="234"/>
      <c r="FB128" s="234"/>
      <c r="FC128" s="234"/>
      <c r="FD128" s="234"/>
      <c r="FE128" s="234"/>
      <c r="FF128" s="234"/>
      <c r="FG128" s="334">
        <f t="shared" si="10"/>
        <v>0</v>
      </c>
      <c r="FH128" s="243">
        <f t="shared" si="11"/>
        <v>1011.7674660019052</v>
      </c>
    </row>
    <row r="129" spans="2:191" x14ac:dyDescent="0.2">
      <c r="B129" s="132" t="s">
        <v>435</v>
      </c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>
        <f>Ore_to_PI!$BH$126</f>
        <v>208.55560337725498</v>
      </c>
      <c r="T129" s="234"/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234"/>
      <c r="AI129" s="234"/>
      <c r="AJ129" s="234"/>
      <c r="AK129" s="234"/>
      <c r="AL129" s="234"/>
      <c r="AM129" s="234">
        <v>0</v>
      </c>
      <c r="AN129" s="243">
        <f t="shared" si="12"/>
        <v>208.55560337725498</v>
      </c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M129" s="52"/>
      <c r="BN129" s="52"/>
      <c r="DV129" s="132" t="s">
        <v>435</v>
      </c>
      <c r="DW129" s="234"/>
      <c r="DX129" s="234"/>
      <c r="DY129" s="234"/>
      <c r="DZ129" s="234"/>
      <c r="EA129" s="234"/>
      <c r="EB129" s="234"/>
      <c r="EC129" s="234"/>
      <c r="ED129" s="234"/>
      <c r="EE129" s="234"/>
      <c r="EF129" s="234"/>
      <c r="EG129" s="234"/>
      <c r="EH129" s="234"/>
      <c r="EI129" s="234"/>
      <c r="EJ129" s="234"/>
      <c r="EK129" s="234"/>
      <c r="EL129" s="234"/>
      <c r="EM129" s="234">
        <v>208.55560337725498</v>
      </c>
      <c r="EN129" s="234"/>
      <c r="EO129" s="234"/>
      <c r="EP129" s="234"/>
      <c r="EQ129" s="234"/>
      <c r="ER129" s="234"/>
      <c r="ES129" s="234"/>
      <c r="ET129" s="234"/>
      <c r="EU129" s="234"/>
      <c r="EV129" s="234"/>
      <c r="EW129" s="234"/>
      <c r="EX129" s="234"/>
      <c r="EY129" s="234"/>
      <c r="EZ129" s="234"/>
      <c r="FA129" s="234"/>
      <c r="FB129" s="234"/>
      <c r="FC129" s="234"/>
      <c r="FD129" s="234"/>
      <c r="FE129" s="234"/>
      <c r="FF129" s="234"/>
      <c r="FG129" s="334">
        <f t="shared" si="10"/>
        <v>0</v>
      </c>
      <c r="FH129" s="243">
        <f t="shared" si="11"/>
        <v>208.55560337725498</v>
      </c>
      <c r="FM129" s="52"/>
      <c r="FN129" s="52"/>
      <c r="FO129" s="52"/>
      <c r="FP129" s="52"/>
      <c r="FQ129" s="52"/>
      <c r="FR129" s="52"/>
      <c r="FS129" s="52"/>
      <c r="FT129" s="52"/>
      <c r="FU129" s="52"/>
      <c r="FV129" s="52"/>
      <c r="FW129" s="52"/>
      <c r="FX129" s="52"/>
      <c r="FY129" s="52"/>
      <c r="FZ129" s="52"/>
      <c r="GA129" s="52"/>
      <c r="GG129" s="52"/>
      <c r="GH129" s="52"/>
      <c r="GI129" s="52"/>
    </row>
    <row r="130" spans="2:191" x14ac:dyDescent="0.2">
      <c r="B130" s="132" t="s">
        <v>434</v>
      </c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>
        <f>Ore_to_PI!$BH$206</f>
        <v>298.6148747230165</v>
      </c>
      <c r="U130" s="234"/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234"/>
      <c r="AI130" s="234"/>
      <c r="AJ130" s="234"/>
      <c r="AK130" s="234"/>
      <c r="AL130" s="234"/>
      <c r="AM130" s="234">
        <v>0</v>
      </c>
      <c r="AN130" s="243">
        <f t="shared" si="12"/>
        <v>298.6148747230165</v>
      </c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M130" s="52"/>
      <c r="BN130" s="52"/>
      <c r="DV130" s="132" t="s">
        <v>434</v>
      </c>
      <c r="DW130" s="234"/>
      <c r="DX130" s="234"/>
      <c r="DY130" s="234"/>
      <c r="DZ130" s="234"/>
      <c r="EA130" s="234"/>
      <c r="EB130" s="234"/>
      <c r="EC130" s="234"/>
      <c r="ED130" s="234"/>
      <c r="EE130" s="234"/>
      <c r="EF130" s="234"/>
      <c r="EG130" s="234"/>
      <c r="EH130" s="234"/>
      <c r="EI130" s="234"/>
      <c r="EJ130" s="234"/>
      <c r="EK130" s="234"/>
      <c r="EL130" s="234"/>
      <c r="EM130" s="234"/>
      <c r="EN130" s="234">
        <v>298.6148747230165</v>
      </c>
      <c r="EO130" s="234"/>
      <c r="EP130" s="234"/>
      <c r="EQ130" s="234"/>
      <c r="ER130" s="234"/>
      <c r="ES130" s="234"/>
      <c r="ET130" s="234"/>
      <c r="EU130" s="234"/>
      <c r="EV130" s="234"/>
      <c r="EW130" s="234"/>
      <c r="EX130" s="234"/>
      <c r="EY130" s="234"/>
      <c r="EZ130" s="234"/>
      <c r="FA130" s="234"/>
      <c r="FB130" s="234"/>
      <c r="FC130" s="234"/>
      <c r="FD130" s="234"/>
      <c r="FE130" s="234"/>
      <c r="FF130" s="234"/>
      <c r="FG130" s="334">
        <f t="shared" si="10"/>
        <v>0</v>
      </c>
      <c r="FH130" s="243">
        <f t="shared" si="11"/>
        <v>298.6148747230165</v>
      </c>
      <c r="FM130" s="52"/>
      <c r="FN130" s="52"/>
      <c r="FO130" s="52"/>
      <c r="FP130" s="52"/>
      <c r="FQ130" s="52"/>
      <c r="FR130" s="52"/>
      <c r="FS130" s="52"/>
      <c r="FT130" s="52"/>
      <c r="FU130" s="52"/>
      <c r="FV130" s="52"/>
      <c r="FW130" s="52"/>
      <c r="FX130" s="52"/>
      <c r="FY130" s="52"/>
      <c r="FZ130" s="52"/>
      <c r="GA130" s="52"/>
      <c r="GG130" s="52"/>
      <c r="GH130" s="52"/>
      <c r="GI130" s="52"/>
    </row>
    <row r="131" spans="2:191" x14ac:dyDescent="0.2">
      <c r="B131" s="132" t="s">
        <v>351</v>
      </c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>
        <f>Ore_to_PI!$BZ$42</f>
        <v>1000.0000000000001</v>
      </c>
      <c r="V131" s="234">
        <f>Beneficiation_Iron_waste</f>
        <v>11.767466001905108</v>
      </c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234"/>
      <c r="AI131" s="234"/>
      <c r="AJ131" s="234"/>
      <c r="AK131" s="234"/>
      <c r="AL131" s="234"/>
      <c r="AM131" s="234">
        <v>0</v>
      </c>
      <c r="AN131" s="243">
        <f t="shared" si="12"/>
        <v>1011.7674660019052</v>
      </c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M131" s="52"/>
      <c r="BN131" s="52"/>
      <c r="DV131" s="132" t="s">
        <v>351</v>
      </c>
      <c r="DW131" s="234"/>
      <c r="DX131" s="234"/>
      <c r="DY131" s="234"/>
      <c r="DZ131" s="234"/>
      <c r="EA131" s="234"/>
      <c r="EB131" s="234"/>
      <c r="EC131" s="234"/>
      <c r="ED131" s="234"/>
      <c r="EE131" s="234"/>
      <c r="EF131" s="234"/>
      <c r="EG131" s="234"/>
      <c r="EH131" s="234"/>
      <c r="EI131" s="234"/>
      <c r="EJ131" s="234"/>
      <c r="EK131" s="234"/>
      <c r="EL131" s="234"/>
      <c r="EM131" s="234"/>
      <c r="EN131" s="234"/>
      <c r="EO131" s="234">
        <v>1000.0000000000001</v>
      </c>
      <c r="EP131" s="234">
        <v>11.767466001905108</v>
      </c>
      <c r="EQ131" s="234"/>
      <c r="ER131" s="234"/>
      <c r="ES131" s="234"/>
      <c r="ET131" s="234"/>
      <c r="EU131" s="234"/>
      <c r="EV131" s="234"/>
      <c r="EW131" s="234"/>
      <c r="EX131" s="234"/>
      <c r="EY131" s="234"/>
      <c r="EZ131" s="234"/>
      <c r="FA131" s="234"/>
      <c r="FB131" s="234"/>
      <c r="FC131" s="234"/>
      <c r="FD131" s="234"/>
      <c r="FE131" s="234"/>
      <c r="FF131" s="234"/>
      <c r="FG131" s="334">
        <f t="shared" si="10"/>
        <v>-4.4408920985006262E-14</v>
      </c>
      <c r="FH131" s="243">
        <f t="shared" si="11"/>
        <v>1011.7674660019052</v>
      </c>
      <c r="FM131" s="52"/>
      <c r="FN131" s="52"/>
      <c r="FO131" s="52"/>
      <c r="FP131" s="52"/>
      <c r="FQ131" s="52"/>
      <c r="FR131" s="52"/>
      <c r="FS131" s="52"/>
      <c r="FT131" s="52"/>
      <c r="FU131" s="52"/>
      <c r="FV131" s="52"/>
      <c r="FW131" s="52"/>
      <c r="FX131" s="52"/>
      <c r="FY131" s="52"/>
      <c r="FZ131" s="52"/>
      <c r="GA131" s="52"/>
      <c r="GG131" s="52"/>
      <c r="GH131" s="52"/>
      <c r="GI131" s="52"/>
    </row>
    <row r="132" spans="2:191" x14ac:dyDescent="0.2">
      <c r="B132" s="132" t="s">
        <v>348</v>
      </c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>
        <f>Ore_to_PI!$CA$126</f>
        <v>208.55560337725498</v>
      </c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>
        <v>0</v>
      </c>
      <c r="AN132" s="243">
        <f t="shared" si="12"/>
        <v>208.55560337725498</v>
      </c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M132" s="52"/>
      <c r="BN132" s="52"/>
      <c r="DV132" s="132" t="s">
        <v>348</v>
      </c>
      <c r="DW132" s="234"/>
      <c r="DX132" s="234"/>
      <c r="DY132" s="234"/>
      <c r="DZ132" s="234"/>
      <c r="EA132" s="234"/>
      <c r="EB132" s="234"/>
      <c r="EC132" s="234"/>
      <c r="ED132" s="234"/>
      <c r="EE132" s="234"/>
      <c r="EF132" s="234"/>
      <c r="EG132" s="234"/>
      <c r="EH132" s="234"/>
      <c r="EI132" s="234"/>
      <c r="EJ132" s="234"/>
      <c r="EK132" s="234"/>
      <c r="EL132" s="234"/>
      <c r="EM132" s="234"/>
      <c r="EN132" s="234"/>
      <c r="EO132" s="234"/>
      <c r="EP132" s="234"/>
      <c r="EQ132" s="234">
        <v>208.55560337725498</v>
      </c>
      <c r="ER132" s="234"/>
      <c r="ES132" s="234"/>
      <c r="ET132" s="234"/>
      <c r="EU132" s="234"/>
      <c r="EV132" s="234"/>
      <c r="EW132" s="234"/>
      <c r="EX132" s="234"/>
      <c r="EY132" s="234"/>
      <c r="EZ132" s="234"/>
      <c r="FA132" s="234"/>
      <c r="FB132" s="234"/>
      <c r="FC132" s="234"/>
      <c r="FD132" s="234"/>
      <c r="FE132" s="234"/>
      <c r="FF132" s="234"/>
      <c r="FG132" s="334">
        <f t="shared" si="10"/>
        <v>0</v>
      </c>
      <c r="FH132" s="243">
        <f t="shared" si="11"/>
        <v>208.55560337725498</v>
      </c>
      <c r="FM132" s="52"/>
      <c r="FN132" s="52"/>
      <c r="FO132" s="52"/>
      <c r="FP132" s="52"/>
      <c r="FQ132" s="52"/>
      <c r="FR132" s="52"/>
      <c r="FS132" s="52"/>
      <c r="FT132" s="52"/>
      <c r="FU132" s="52"/>
      <c r="FV132" s="52"/>
      <c r="FW132" s="52"/>
      <c r="FX132" s="52"/>
      <c r="FY132" s="52"/>
      <c r="FZ132" s="52"/>
      <c r="GA132" s="52"/>
      <c r="GG132" s="52"/>
      <c r="GH132" s="52"/>
      <c r="GI132" s="52"/>
    </row>
    <row r="133" spans="2:191" x14ac:dyDescent="0.2">
      <c r="B133" s="132" t="s">
        <v>362</v>
      </c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>
        <f>Ore_to_PI!$CA$206</f>
        <v>298.6148747230165</v>
      </c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>
        <v>0</v>
      </c>
      <c r="AN133" s="243">
        <f t="shared" si="12"/>
        <v>298.6148747230165</v>
      </c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M133" s="52"/>
      <c r="BN133" s="52"/>
      <c r="DV133" s="132" t="s">
        <v>362</v>
      </c>
      <c r="DW133" s="234"/>
      <c r="DX133" s="234"/>
      <c r="DY133" s="234"/>
      <c r="DZ133" s="234"/>
      <c r="EA133" s="234"/>
      <c r="EB133" s="234"/>
      <c r="EC133" s="234"/>
      <c r="ED133" s="234"/>
      <c r="EE133" s="234"/>
      <c r="EF133" s="234"/>
      <c r="EG133" s="234"/>
      <c r="EH133" s="234"/>
      <c r="EI133" s="234"/>
      <c r="EJ133" s="234"/>
      <c r="EK133" s="234"/>
      <c r="EL133" s="234"/>
      <c r="EM133" s="234"/>
      <c r="EN133" s="234"/>
      <c r="EO133" s="234"/>
      <c r="EP133" s="234"/>
      <c r="EQ133" s="234"/>
      <c r="ER133" s="234">
        <v>298.6148747230165</v>
      </c>
      <c r="ES133" s="234"/>
      <c r="ET133" s="234"/>
      <c r="EU133" s="234"/>
      <c r="EV133" s="234"/>
      <c r="EW133" s="234"/>
      <c r="EX133" s="234"/>
      <c r="EY133" s="234"/>
      <c r="EZ133" s="234"/>
      <c r="FA133" s="234"/>
      <c r="FB133" s="234"/>
      <c r="FC133" s="234"/>
      <c r="FD133" s="234"/>
      <c r="FE133" s="234"/>
      <c r="FF133" s="234"/>
      <c r="FG133" s="334">
        <f t="shared" si="10"/>
        <v>0</v>
      </c>
      <c r="FH133" s="243">
        <f t="shared" si="11"/>
        <v>298.6148747230165</v>
      </c>
      <c r="FM133" s="52"/>
      <c r="FN133" s="52"/>
      <c r="FO133" s="52"/>
      <c r="FP133" s="52"/>
      <c r="FQ133" s="52"/>
      <c r="FR133" s="52"/>
      <c r="FS133" s="52"/>
      <c r="FT133" s="52"/>
      <c r="FU133" s="52"/>
      <c r="FV133" s="52"/>
      <c r="FW133" s="52"/>
      <c r="FX133" s="52"/>
      <c r="FY133" s="52"/>
      <c r="FZ133" s="52"/>
      <c r="GA133" s="52"/>
      <c r="GG133" s="52"/>
      <c r="GH133" s="52"/>
      <c r="GI133" s="52"/>
    </row>
    <row r="134" spans="2:191" x14ac:dyDescent="0.2">
      <c r="B134" s="132" t="s">
        <v>349</v>
      </c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>
        <f>Ore_to_PI!$CV$126</f>
        <v>111.00813284002646</v>
      </c>
      <c r="Z134" s="234">
        <f>Kiln_SolidWaste</f>
        <v>4.9847525450981189</v>
      </c>
      <c r="AA134" s="234">
        <f>Ore_to_PI!$CV$138</f>
        <v>774.43493010294708</v>
      </c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>
        <v>0</v>
      </c>
      <c r="AN134" s="243">
        <f t="shared" si="12"/>
        <v>890.4278154880717</v>
      </c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M134" s="52"/>
      <c r="BN134" s="52"/>
      <c r="DV134" s="132" t="s">
        <v>349</v>
      </c>
      <c r="DW134" s="234"/>
      <c r="DX134" s="234"/>
      <c r="DY134" s="234"/>
      <c r="DZ134" s="234"/>
      <c r="EA134" s="234"/>
      <c r="EB134" s="234"/>
      <c r="EC134" s="234"/>
      <c r="ED134" s="234"/>
      <c r="EE134" s="234"/>
      <c r="EF134" s="234"/>
      <c r="EG134" s="234"/>
      <c r="EH134" s="234"/>
      <c r="EI134" s="234"/>
      <c r="EJ134" s="234"/>
      <c r="EK134" s="234"/>
      <c r="EL134" s="234"/>
      <c r="EM134" s="234"/>
      <c r="EN134" s="234"/>
      <c r="EO134" s="234"/>
      <c r="EP134" s="234"/>
      <c r="EQ134" s="234"/>
      <c r="ER134" s="234"/>
      <c r="ES134" s="234">
        <v>111.00813284002646</v>
      </c>
      <c r="ET134" s="234">
        <v>4.9847525450981189</v>
      </c>
      <c r="EU134" s="234">
        <v>774.43493010294708</v>
      </c>
      <c r="EV134" s="234"/>
      <c r="EW134" s="234"/>
      <c r="EX134" s="234"/>
      <c r="EY134" s="234"/>
      <c r="EZ134" s="234"/>
      <c r="FA134" s="234"/>
      <c r="FB134" s="234"/>
      <c r="FC134" s="234"/>
      <c r="FD134" s="234"/>
      <c r="FE134" s="234"/>
      <c r="FF134" s="234"/>
      <c r="FG134" s="334">
        <f t="shared" si="10"/>
        <v>0</v>
      </c>
      <c r="FH134" s="243">
        <f t="shared" si="11"/>
        <v>890.4278154880717</v>
      </c>
      <c r="FM134" s="52"/>
      <c r="FN134" s="52"/>
      <c r="FO134" s="52"/>
      <c r="FP134" s="52"/>
      <c r="FQ134" s="52"/>
      <c r="FR134" s="52"/>
      <c r="FS134" s="52"/>
      <c r="FT134" s="52"/>
      <c r="FU134" s="52"/>
      <c r="FV134" s="52"/>
      <c r="FW134" s="52"/>
      <c r="FX134" s="52"/>
      <c r="FY134" s="52"/>
      <c r="FZ134" s="52"/>
      <c r="GA134" s="52"/>
      <c r="GG134" s="52"/>
      <c r="GH134" s="52"/>
      <c r="GI134" s="52"/>
    </row>
    <row r="135" spans="2:191" x14ac:dyDescent="0.2">
      <c r="B135" s="132" t="s">
        <v>344</v>
      </c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/>
      <c r="AB135" s="234">
        <f>Ore_to_PI!$CV$206</f>
        <v>203.27980063725872</v>
      </c>
      <c r="AC135" s="234">
        <f>Ore_to_PI!$CV$234</f>
        <v>46.0998047134687</v>
      </c>
      <c r="AD135" s="234">
        <f>Ore_to_PI!CV267</f>
        <v>23.982067525572877</v>
      </c>
      <c r="AE135" s="234">
        <f>Beneficiation_CoalWaste</f>
        <v>25.253201846716312</v>
      </c>
      <c r="AF135" s="234">
        <f>Ore_to_PI!$CV$251</f>
        <v>3698.8733194995434</v>
      </c>
      <c r="AG135" s="234"/>
      <c r="AH135" s="234"/>
      <c r="AI135" s="234"/>
      <c r="AJ135" s="234"/>
      <c r="AK135" s="234"/>
      <c r="AL135" s="234"/>
      <c r="AM135" s="234">
        <v>0</v>
      </c>
      <c r="AN135" s="243">
        <f t="shared" si="12"/>
        <v>3997.4881942225602</v>
      </c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M135" s="52"/>
      <c r="BN135" s="52"/>
      <c r="DV135" s="132" t="s">
        <v>344</v>
      </c>
      <c r="DW135" s="234"/>
      <c r="DX135" s="234"/>
      <c r="DY135" s="234"/>
      <c r="DZ135" s="234"/>
      <c r="EA135" s="234"/>
      <c r="EB135" s="234"/>
      <c r="EC135" s="234"/>
      <c r="ED135" s="234"/>
      <c r="EE135" s="234"/>
      <c r="EF135" s="234"/>
      <c r="EG135" s="234"/>
      <c r="EH135" s="234"/>
      <c r="EI135" s="234"/>
      <c r="EJ135" s="234"/>
      <c r="EK135" s="234"/>
      <c r="EL135" s="234"/>
      <c r="EM135" s="234"/>
      <c r="EN135" s="234"/>
      <c r="EO135" s="234"/>
      <c r="EP135" s="234"/>
      <c r="EQ135" s="234"/>
      <c r="ER135" s="234"/>
      <c r="ES135" s="234"/>
      <c r="ET135" s="234"/>
      <c r="EU135" s="234"/>
      <c r="EV135" s="234">
        <v>203.27980063725872</v>
      </c>
      <c r="EW135" s="234">
        <v>46.0998047134687</v>
      </c>
      <c r="EX135" s="234">
        <v>23.982067525572877</v>
      </c>
      <c r="EY135" s="234">
        <v>25.253201846716312</v>
      </c>
      <c r="EZ135" s="234">
        <v>3698.8733194995434</v>
      </c>
      <c r="FA135" s="234"/>
      <c r="FB135" s="234"/>
      <c r="FC135" s="234"/>
      <c r="FD135" s="234"/>
      <c r="FE135" s="234"/>
      <c r="FF135" s="234"/>
      <c r="FG135" s="334">
        <f t="shared" si="10"/>
        <v>0</v>
      </c>
      <c r="FH135" s="243">
        <f t="shared" si="11"/>
        <v>3997.4881942225602</v>
      </c>
      <c r="FM135" s="52"/>
      <c r="FN135" s="52"/>
      <c r="FO135" s="52"/>
      <c r="FP135" s="52"/>
      <c r="FQ135" s="52"/>
      <c r="FR135" s="52"/>
      <c r="FS135" s="52"/>
      <c r="FT135" s="52"/>
      <c r="FU135" s="52"/>
      <c r="FV135" s="52"/>
      <c r="FW135" s="52"/>
      <c r="FX135" s="52"/>
      <c r="FY135" s="52"/>
      <c r="FZ135" s="52"/>
      <c r="GA135" s="52"/>
      <c r="GG135" s="52"/>
      <c r="GH135" s="52"/>
      <c r="GI135" s="52"/>
    </row>
    <row r="136" spans="2:191" x14ac:dyDescent="0.2">
      <c r="B136" s="132" t="s">
        <v>514</v>
      </c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>
        <f>Ore_to_PI!$DP$233</f>
        <v>46.099804713468714</v>
      </c>
      <c r="AH136" s="234"/>
      <c r="AI136" s="234"/>
      <c r="AJ136" s="234"/>
      <c r="AK136" s="234"/>
      <c r="AL136" s="234"/>
      <c r="AM136" s="234">
        <v>0</v>
      </c>
      <c r="AN136" s="243">
        <f t="shared" si="12"/>
        <v>46.099804713468714</v>
      </c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M136" s="52"/>
      <c r="BN136" s="52"/>
      <c r="DV136" s="132" t="s">
        <v>514</v>
      </c>
      <c r="DW136" s="234"/>
      <c r="DX136" s="234"/>
      <c r="DY136" s="234"/>
      <c r="DZ136" s="234"/>
      <c r="EA136" s="234"/>
      <c r="EB136" s="234"/>
      <c r="EC136" s="234"/>
      <c r="ED136" s="234"/>
      <c r="EE136" s="234"/>
      <c r="EF136" s="234"/>
      <c r="EG136" s="234"/>
      <c r="EH136" s="234"/>
      <c r="EI136" s="234"/>
      <c r="EJ136" s="234"/>
      <c r="EK136" s="234"/>
      <c r="EL136" s="234"/>
      <c r="EM136" s="234"/>
      <c r="EN136" s="234"/>
      <c r="EO136" s="234"/>
      <c r="EP136" s="234"/>
      <c r="EQ136" s="234"/>
      <c r="ER136" s="234"/>
      <c r="ES136" s="234"/>
      <c r="ET136" s="234"/>
      <c r="EU136" s="234"/>
      <c r="EV136" s="234"/>
      <c r="EW136" s="234"/>
      <c r="EX136" s="234"/>
      <c r="EY136" s="234"/>
      <c r="EZ136" s="234"/>
      <c r="FA136" s="234">
        <v>46.099804713468714</v>
      </c>
      <c r="FB136" s="234"/>
      <c r="FC136" s="234"/>
      <c r="FD136" s="234"/>
      <c r="FE136" s="234"/>
      <c r="FF136" s="234"/>
      <c r="FG136" s="334">
        <f t="shared" si="10"/>
        <v>-1.4210854715202004E-14</v>
      </c>
      <c r="FH136" s="243">
        <f t="shared" si="11"/>
        <v>46.0998047134687</v>
      </c>
      <c r="FM136" s="52"/>
      <c r="FN136" s="52"/>
      <c r="FO136" s="52"/>
      <c r="FP136" s="52"/>
      <c r="FQ136" s="52"/>
      <c r="FR136" s="52"/>
      <c r="FS136" s="52"/>
      <c r="FT136" s="52"/>
      <c r="FU136" s="52"/>
      <c r="FV136" s="52"/>
      <c r="FW136" s="52"/>
      <c r="FX136" s="52"/>
      <c r="FY136" s="52"/>
      <c r="FZ136" s="52"/>
      <c r="GA136" s="52"/>
      <c r="GG136" s="52"/>
      <c r="GH136" s="52"/>
      <c r="GI136" s="52"/>
    </row>
    <row r="137" spans="2:191" x14ac:dyDescent="0.2">
      <c r="B137" s="132" t="s">
        <v>516</v>
      </c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>
        <f>Ore_to_PI!$EK$233</f>
        <v>46.099804713468714</v>
      </c>
      <c r="AI137" s="234"/>
      <c r="AJ137" s="234"/>
      <c r="AK137" s="234"/>
      <c r="AL137" s="234"/>
      <c r="AM137" s="234">
        <v>0</v>
      </c>
      <c r="AN137" s="243">
        <f t="shared" si="12"/>
        <v>46.099804713468714</v>
      </c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M137" s="52"/>
      <c r="BN137" s="52"/>
      <c r="DV137" s="132" t="s">
        <v>516</v>
      </c>
      <c r="DW137" s="234"/>
      <c r="DX137" s="234"/>
      <c r="DY137" s="234"/>
      <c r="DZ137" s="234"/>
      <c r="EA137" s="234"/>
      <c r="EB137" s="234"/>
      <c r="EC137" s="234"/>
      <c r="ED137" s="234"/>
      <c r="EE137" s="234"/>
      <c r="EF137" s="234"/>
      <c r="EG137" s="234"/>
      <c r="EH137" s="234"/>
      <c r="EI137" s="234"/>
      <c r="EJ137" s="234"/>
      <c r="EK137" s="234"/>
      <c r="EL137" s="234"/>
      <c r="EM137" s="234"/>
      <c r="EN137" s="234"/>
      <c r="EO137" s="234"/>
      <c r="EP137" s="234"/>
      <c r="EQ137" s="234"/>
      <c r="ER137" s="234"/>
      <c r="ES137" s="234"/>
      <c r="ET137" s="234"/>
      <c r="EU137" s="234"/>
      <c r="EV137" s="234"/>
      <c r="EW137" s="234"/>
      <c r="EX137" s="234"/>
      <c r="EY137" s="234"/>
      <c r="EZ137" s="234"/>
      <c r="FA137" s="234"/>
      <c r="FB137" s="234">
        <v>46.099804713468714</v>
      </c>
      <c r="FC137" s="234"/>
      <c r="FD137" s="234"/>
      <c r="FE137" s="234"/>
      <c r="FF137" s="234"/>
      <c r="FG137" s="334">
        <f t="shared" si="10"/>
        <v>0</v>
      </c>
      <c r="FH137" s="243">
        <f t="shared" si="11"/>
        <v>46.099804713468714</v>
      </c>
      <c r="FM137" s="52"/>
      <c r="FN137" s="52"/>
      <c r="FO137" s="52"/>
      <c r="FP137" s="52"/>
      <c r="FQ137" s="52"/>
      <c r="FR137" s="52"/>
      <c r="FS137" s="52"/>
      <c r="FT137" s="52"/>
      <c r="FU137" s="52"/>
      <c r="FV137" s="52"/>
      <c r="FW137" s="52"/>
      <c r="FX137" s="52"/>
      <c r="FY137" s="52"/>
      <c r="FZ137" s="52"/>
      <c r="GA137" s="52"/>
      <c r="GG137" s="52"/>
      <c r="GH137" s="52"/>
      <c r="GI137" s="52"/>
    </row>
    <row r="138" spans="2:191" x14ac:dyDescent="0.2">
      <c r="B138" s="132" t="s">
        <v>76</v>
      </c>
      <c r="C138" s="234"/>
      <c r="D138" s="234"/>
      <c r="E138" s="234"/>
      <c r="F138" s="234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6"/>
      <c r="AG138" s="234"/>
      <c r="AH138" s="234"/>
      <c r="AI138" s="236">
        <f>Ore_to_PI!$EL$126</f>
        <v>1314.2879334772852</v>
      </c>
      <c r="AJ138" s="234"/>
      <c r="AK138" s="234"/>
      <c r="AL138" s="234"/>
      <c r="AM138" s="234">
        <v>0</v>
      </c>
      <c r="AN138" s="243">
        <f t="shared" si="12"/>
        <v>1314.2879334772852</v>
      </c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M138" s="52"/>
      <c r="BN138" s="52"/>
      <c r="DV138" s="132" t="s">
        <v>76</v>
      </c>
      <c r="DW138" s="234"/>
      <c r="DX138" s="234"/>
      <c r="DY138" s="234"/>
      <c r="DZ138" s="234"/>
      <c r="EA138" s="234"/>
      <c r="EB138" s="234"/>
      <c r="EC138" s="234"/>
      <c r="ED138" s="234"/>
      <c r="EE138" s="234"/>
      <c r="EF138" s="234"/>
      <c r="EG138" s="234"/>
      <c r="EH138" s="234"/>
      <c r="EI138" s="234"/>
      <c r="EJ138" s="234"/>
      <c r="EK138" s="234"/>
      <c r="EL138" s="234"/>
      <c r="EM138" s="234"/>
      <c r="EN138" s="234"/>
      <c r="EO138" s="234"/>
      <c r="EP138" s="234"/>
      <c r="EQ138" s="234"/>
      <c r="ER138" s="234"/>
      <c r="ES138" s="234"/>
      <c r="ET138" s="234"/>
      <c r="EU138" s="234"/>
      <c r="EV138" s="234"/>
      <c r="EW138" s="234"/>
      <c r="EX138" s="234"/>
      <c r="EY138" s="234"/>
      <c r="EZ138" s="236"/>
      <c r="FA138" s="234"/>
      <c r="FB138" s="234"/>
      <c r="FC138" s="236">
        <v>1314.2879334772852</v>
      </c>
      <c r="FD138" s="234"/>
      <c r="FE138" s="234"/>
      <c r="FF138" s="234"/>
      <c r="FG138" s="334">
        <f t="shared" si="10"/>
        <v>0</v>
      </c>
      <c r="FH138" s="243">
        <f t="shared" si="11"/>
        <v>1314.2879334772852</v>
      </c>
      <c r="FM138" s="52"/>
      <c r="FN138" s="52"/>
      <c r="FO138" s="52"/>
      <c r="FP138" s="52"/>
      <c r="FQ138" s="52"/>
      <c r="FR138" s="52"/>
      <c r="FS138" s="52"/>
      <c r="FT138" s="52"/>
      <c r="FU138" s="52"/>
      <c r="FV138" s="52"/>
      <c r="FW138" s="52"/>
      <c r="FX138" s="52"/>
      <c r="FY138" s="52"/>
      <c r="FZ138" s="52"/>
      <c r="GA138" s="52"/>
      <c r="GG138" s="52"/>
      <c r="GH138" s="52"/>
      <c r="GI138" s="52"/>
    </row>
    <row r="139" spans="2:191" x14ac:dyDescent="0.2">
      <c r="B139" s="132" t="s">
        <v>337</v>
      </c>
      <c r="C139" s="234"/>
      <c r="D139" s="234"/>
      <c r="E139" s="234"/>
      <c r="F139" s="236"/>
      <c r="G139" s="234"/>
      <c r="H139" s="234"/>
      <c r="I139" s="234"/>
      <c r="J139" s="234"/>
      <c r="K139" s="234"/>
      <c r="L139" s="234"/>
      <c r="M139" s="234"/>
      <c r="N139" s="234"/>
      <c r="O139" s="234"/>
      <c r="P139" s="234"/>
      <c r="Q139" s="234"/>
      <c r="R139" s="234"/>
      <c r="S139" s="234"/>
      <c r="T139" s="234"/>
      <c r="U139" s="234"/>
      <c r="V139" s="234"/>
      <c r="W139" s="234"/>
      <c r="X139" s="234"/>
      <c r="Y139" s="234"/>
      <c r="Z139" s="234"/>
      <c r="AA139" s="240"/>
      <c r="AB139" s="234"/>
      <c r="AC139" s="234"/>
      <c r="AD139" s="234"/>
      <c r="AE139" s="234"/>
      <c r="AF139" s="234"/>
      <c r="AG139" s="234"/>
      <c r="AH139" s="234"/>
      <c r="AI139" s="234"/>
      <c r="AJ139" s="234">
        <f>Ore_to_PI!$FL$126</f>
        <v>616.23583583508366</v>
      </c>
      <c r="AK139" s="234">
        <f>Ore_to_PI!$FL$141</f>
        <v>3402.2651449800928</v>
      </c>
      <c r="AL139" s="234">
        <f>BF_SolidWaste</f>
        <v>229.94813284002646</v>
      </c>
      <c r="AM139" s="234">
        <v>0</v>
      </c>
      <c r="AN139" s="243">
        <f t="shared" si="12"/>
        <v>4248.4491136552024</v>
      </c>
      <c r="DV139" s="132" t="s">
        <v>337</v>
      </c>
      <c r="DW139" s="234"/>
      <c r="DX139" s="234"/>
      <c r="DY139" s="234"/>
      <c r="DZ139" s="236"/>
      <c r="EA139" s="234"/>
      <c r="EB139" s="234"/>
      <c r="EC139" s="234"/>
      <c r="ED139" s="234"/>
      <c r="EE139" s="234"/>
      <c r="EF139" s="234"/>
      <c r="EG139" s="234"/>
      <c r="EH139" s="234"/>
      <c r="EI139" s="234"/>
      <c r="EJ139" s="234"/>
      <c r="EK139" s="234"/>
      <c r="EL139" s="234"/>
      <c r="EM139" s="234"/>
      <c r="EN139" s="234"/>
      <c r="EO139" s="234"/>
      <c r="EP139" s="234"/>
      <c r="EQ139" s="234"/>
      <c r="ER139" s="234"/>
      <c r="ES139" s="234"/>
      <c r="ET139" s="234"/>
      <c r="EU139" s="240"/>
      <c r="EV139" s="234"/>
      <c r="EW139" s="234"/>
      <c r="EX139" s="234"/>
      <c r="EY139" s="234"/>
      <c r="EZ139" s="234"/>
      <c r="FA139" s="234"/>
      <c r="FB139" s="234"/>
      <c r="FC139" s="234"/>
      <c r="FD139" s="234">
        <v>616.23583583508366</v>
      </c>
      <c r="FE139" s="234">
        <v>3402.2651449800928</v>
      </c>
      <c r="FF139" s="234">
        <v>229.94813284002646</v>
      </c>
      <c r="FG139" s="334">
        <f t="shared" si="10"/>
        <v>-7.9580786405131221E-13</v>
      </c>
      <c r="FH139" s="243">
        <f t="shared" si="11"/>
        <v>4248.4491136552015</v>
      </c>
    </row>
    <row r="140" spans="2:191" x14ac:dyDescent="0.2">
      <c r="B140" s="132"/>
      <c r="C140" s="379" t="s">
        <v>329</v>
      </c>
      <c r="D140" s="379"/>
      <c r="E140" s="379"/>
      <c r="F140" s="379"/>
      <c r="G140" s="379"/>
      <c r="H140" s="379"/>
      <c r="I140" s="379"/>
      <c r="J140" s="379"/>
      <c r="K140" s="379"/>
      <c r="L140" s="379"/>
      <c r="M140" s="379"/>
      <c r="N140" s="379"/>
      <c r="O140" s="379"/>
      <c r="P140" s="379"/>
      <c r="Q140" s="379"/>
      <c r="R140" s="379"/>
      <c r="S140" s="379"/>
      <c r="T140" s="379"/>
      <c r="U140" s="379"/>
      <c r="V140" s="379"/>
      <c r="W140" s="379"/>
      <c r="X140" s="379"/>
      <c r="Y140" s="379"/>
      <c r="Z140" s="379"/>
      <c r="AA140" s="379"/>
      <c r="AB140" s="379"/>
      <c r="AC140" s="379"/>
      <c r="AD140" s="379"/>
      <c r="AE140" s="379"/>
      <c r="AF140" s="379"/>
      <c r="AG140" s="379"/>
      <c r="AH140" s="379"/>
      <c r="AI140" s="379"/>
      <c r="AJ140" s="379"/>
      <c r="AK140" s="379"/>
      <c r="AL140" s="379"/>
      <c r="AM140" s="52"/>
      <c r="AN140" s="52" t="s">
        <v>365</v>
      </c>
      <c r="AO140" s="52"/>
      <c r="DV140" s="132"/>
      <c r="DW140" s="379" t="s">
        <v>329</v>
      </c>
      <c r="DX140" s="379"/>
      <c r="DY140" s="379"/>
      <c r="DZ140" s="379"/>
      <c r="EA140" s="379"/>
      <c r="EB140" s="379"/>
      <c r="EC140" s="379"/>
      <c r="ED140" s="379"/>
      <c r="EE140" s="379"/>
      <c r="EF140" s="379"/>
      <c r="EG140" s="379"/>
      <c r="EH140" s="379"/>
      <c r="EI140" s="379"/>
      <c r="EJ140" s="379"/>
      <c r="EK140" s="379"/>
      <c r="EL140" s="379"/>
      <c r="EM140" s="379"/>
      <c r="EN140" s="379"/>
      <c r="EO140" s="379"/>
      <c r="EP140" s="379"/>
      <c r="EQ140" s="379"/>
      <c r="ER140" s="379"/>
      <c r="ES140" s="379"/>
      <c r="ET140" s="379"/>
      <c r="EU140" s="379"/>
      <c r="EV140" s="379"/>
      <c r="EW140" s="379"/>
      <c r="EX140" s="379"/>
      <c r="EY140" s="379"/>
      <c r="EZ140" s="379"/>
      <c r="FA140" s="379"/>
      <c r="FB140" s="379"/>
      <c r="FC140" s="379"/>
      <c r="FD140" s="379"/>
      <c r="FE140" s="379"/>
      <c r="FF140" s="379"/>
      <c r="FG140" s="52"/>
      <c r="FH140" s="52" t="s">
        <v>365</v>
      </c>
      <c r="FI140" s="52"/>
    </row>
    <row r="141" spans="2:191" x14ac:dyDescent="0.2">
      <c r="B141" s="132"/>
      <c r="C141" s="243">
        <f t="shared" ref="C141:AL141" si="13">SUM(C125:C139)</f>
        <v>0</v>
      </c>
      <c r="D141" s="243">
        <f t="shared" si="13"/>
        <v>0</v>
      </c>
      <c r="E141" s="243">
        <f t="shared" si="13"/>
        <v>0</v>
      </c>
      <c r="F141" s="243">
        <f t="shared" si="13"/>
        <v>0</v>
      </c>
      <c r="G141" s="243">
        <f t="shared" si="13"/>
        <v>0</v>
      </c>
      <c r="H141" s="243">
        <f t="shared" si="13"/>
        <v>0</v>
      </c>
      <c r="I141" s="243">
        <f t="shared" si="13"/>
        <v>0</v>
      </c>
      <c r="J141" s="243">
        <f t="shared" si="13"/>
        <v>0</v>
      </c>
      <c r="K141" s="243">
        <f t="shared" si="13"/>
        <v>0</v>
      </c>
      <c r="L141" s="243">
        <f t="shared" si="13"/>
        <v>1011.7674660019052</v>
      </c>
      <c r="M141" s="243">
        <f t="shared" si="13"/>
        <v>32.219926549044033</v>
      </c>
      <c r="N141" s="243">
        <f t="shared" si="13"/>
        <v>208.55560337725498</v>
      </c>
      <c r="O141" s="243">
        <f t="shared" si="13"/>
        <v>9.658257192857822E-2</v>
      </c>
      <c r="P141" s="243">
        <f t="shared" si="13"/>
        <v>298.6148747230165</v>
      </c>
      <c r="Q141" s="243">
        <f t="shared" si="13"/>
        <v>7.9771214256715108</v>
      </c>
      <c r="R141" s="243">
        <f t="shared" si="13"/>
        <v>1011.7674660019052</v>
      </c>
      <c r="S141" s="243">
        <f t="shared" si="13"/>
        <v>208.55560337725498</v>
      </c>
      <c r="T141" s="243">
        <f t="shared" si="13"/>
        <v>298.6148747230165</v>
      </c>
      <c r="U141" s="243">
        <f t="shared" si="13"/>
        <v>1000.0000000000001</v>
      </c>
      <c r="V141" s="243">
        <f t="shared" si="13"/>
        <v>11.767466001905108</v>
      </c>
      <c r="W141" s="243">
        <f t="shared" si="13"/>
        <v>208.55560337725498</v>
      </c>
      <c r="X141" s="243">
        <f t="shared" si="13"/>
        <v>298.6148747230165</v>
      </c>
      <c r="Y141" s="243">
        <f t="shared" si="13"/>
        <v>111.00813284002646</v>
      </c>
      <c r="Z141" s="243">
        <f t="shared" si="13"/>
        <v>4.9847525450981189</v>
      </c>
      <c r="AA141" s="243">
        <f t="shared" si="13"/>
        <v>774.43493010294708</v>
      </c>
      <c r="AB141" s="243">
        <f t="shared" si="13"/>
        <v>203.27980063725872</v>
      </c>
      <c r="AC141" s="243">
        <f t="shared" si="13"/>
        <v>46.0998047134687</v>
      </c>
      <c r="AD141" s="243">
        <f t="shared" si="13"/>
        <v>23.982067525572877</v>
      </c>
      <c r="AE141" s="243">
        <f t="shared" si="13"/>
        <v>25.253201846716312</v>
      </c>
      <c r="AF141" s="243">
        <f t="shared" si="13"/>
        <v>3698.8733194995434</v>
      </c>
      <c r="AG141" s="243">
        <f t="shared" si="13"/>
        <v>46.099804713468714</v>
      </c>
      <c r="AH141" s="243">
        <f t="shared" si="13"/>
        <v>46.099804713468714</v>
      </c>
      <c r="AI141" s="243">
        <f t="shared" si="13"/>
        <v>1314.2879334772852</v>
      </c>
      <c r="AJ141" s="243">
        <f t="shared" si="13"/>
        <v>616.23583583508366</v>
      </c>
      <c r="AK141" s="243">
        <f t="shared" si="13"/>
        <v>3402.2651449800928</v>
      </c>
      <c r="AL141" s="243">
        <f t="shared" si="13"/>
        <v>229.94813284002646</v>
      </c>
      <c r="AM141" s="243">
        <v>0</v>
      </c>
      <c r="DV141" s="132"/>
      <c r="DW141" s="243">
        <v>0</v>
      </c>
      <c r="DX141" s="243">
        <v>0</v>
      </c>
      <c r="DY141" s="243">
        <v>0</v>
      </c>
      <c r="DZ141" s="243">
        <v>0</v>
      </c>
      <c r="EA141" s="243">
        <v>0</v>
      </c>
      <c r="EB141" s="243">
        <v>0</v>
      </c>
      <c r="EC141" s="243">
        <v>0</v>
      </c>
      <c r="ED141" s="243">
        <v>0</v>
      </c>
      <c r="EE141" s="243">
        <v>0</v>
      </c>
      <c r="EF141" s="243">
        <v>1011.7674660019052</v>
      </c>
      <c r="EG141" s="243">
        <v>32.219926549044033</v>
      </c>
      <c r="EH141" s="243">
        <v>208.55560337725498</v>
      </c>
      <c r="EI141" s="243">
        <v>9.658257192857822E-2</v>
      </c>
      <c r="EJ141" s="243">
        <v>298.6148747230165</v>
      </c>
      <c r="EK141" s="243">
        <v>7.9771214256715108</v>
      </c>
      <c r="EL141" s="243">
        <v>1011.7674660019052</v>
      </c>
      <c r="EM141" s="243">
        <v>208.55560337725498</v>
      </c>
      <c r="EN141" s="243">
        <v>298.6148747230165</v>
      </c>
      <c r="EO141" s="243">
        <v>1000.0000000000001</v>
      </c>
      <c r="EP141" s="243">
        <v>11.767466001905108</v>
      </c>
      <c r="EQ141" s="243">
        <v>208.55560337725498</v>
      </c>
      <c r="ER141" s="243">
        <v>298.6148747230165</v>
      </c>
      <c r="ES141" s="243">
        <v>111.00813284002646</v>
      </c>
      <c r="ET141" s="243">
        <v>4.9847525450981189</v>
      </c>
      <c r="EU141" s="243">
        <v>774.43493010294708</v>
      </c>
      <c r="EV141" s="243">
        <v>203.27980063725872</v>
      </c>
      <c r="EW141" s="243">
        <v>46.0998047134687</v>
      </c>
      <c r="EX141" s="243">
        <v>23.982067525572877</v>
      </c>
      <c r="EY141" s="243">
        <v>25.253201846716312</v>
      </c>
      <c r="EZ141" s="243">
        <v>3698.8733194995434</v>
      </c>
      <c r="FA141" s="243">
        <v>46.099804713468714</v>
      </c>
      <c r="FB141" s="243">
        <v>46.099804713468714</v>
      </c>
      <c r="FC141" s="243">
        <v>1314.2879334772852</v>
      </c>
      <c r="FD141" s="243">
        <v>616.23583583508366</v>
      </c>
      <c r="FE141" s="243">
        <v>3402.2651449800928</v>
      </c>
      <c r="FF141" s="243">
        <v>229.94813284002646</v>
      </c>
      <c r="FG141" s="243">
        <v>229.94813284002646</v>
      </c>
    </row>
    <row r="142" spans="2:191" x14ac:dyDescent="0.2">
      <c r="B142" s="132"/>
      <c r="C142" s="379" t="s">
        <v>366</v>
      </c>
      <c r="D142" s="379"/>
      <c r="E142" s="379"/>
      <c r="F142" s="379"/>
      <c r="G142" s="379"/>
      <c r="H142" s="379"/>
      <c r="I142" s="379"/>
      <c r="J142" s="379"/>
      <c r="K142" s="379"/>
      <c r="L142" s="379"/>
      <c r="M142" s="379"/>
      <c r="N142" s="379"/>
      <c r="O142" s="379"/>
      <c r="P142" s="379"/>
      <c r="Q142" s="379"/>
      <c r="R142" s="379"/>
      <c r="S142" s="379"/>
      <c r="T142" s="379"/>
      <c r="U142" s="379"/>
      <c r="V142" s="379"/>
      <c r="W142" s="379"/>
      <c r="X142" s="379"/>
      <c r="Y142" s="379"/>
      <c r="Z142" s="379"/>
      <c r="AA142" s="379"/>
      <c r="AB142" s="379"/>
      <c r="AC142" s="379"/>
      <c r="AD142" s="379"/>
      <c r="AE142" s="379"/>
      <c r="AF142" s="379"/>
      <c r="AG142" s="379"/>
      <c r="AH142" s="379"/>
      <c r="AI142" s="379"/>
      <c r="AJ142" s="379"/>
      <c r="AK142" s="379"/>
      <c r="AL142" s="379"/>
      <c r="AM142" s="52"/>
      <c r="DV142" s="132"/>
      <c r="DW142" s="379" t="s">
        <v>366</v>
      </c>
      <c r="DX142" s="379"/>
      <c r="DY142" s="379"/>
      <c r="DZ142" s="379"/>
      <c r="EA142" s="379"/>
      <c r="EB142" s="379"/>
      <c r="EC142" s="379"/>
      <c r="ED142" s="379"/>
      <c r="EE142" s="379"/>
      <c r="EF142" s="379"/>
      <c r="EG142" s="379"/>
      <c r="EH142" s="379"/>
      <c r="EI142" s="379"/>
      <c r="EJ142" s="379"/>
      <c r="EK142" s="379"/>
      <c r="EL142" s="379"/>
      <c r="EM142" s="379"/>
      <c r="EN142" s="379"/>
      <c r="EO142" s="379"/>
      <c r="EP142" s="379"/>
      <c r="EQ142" s="379"/>
      <c r="ER142" s="379"/>
      <c r="ES142" s="379"/>
      <c r="ET142" s="379"/>
      <c r="EU142" s="379"/>
      <c r="EV142" s="379"/>
      <c r="EW142" s="379"/>
      <c r="EX142" s="379"/>
      <c r="EY142" s="379"/>
      <c r="EZ142" s="379"/>
      <c r="FA142" s="379"/>
      <c r="FB142" s="379"/>
      <c r="FC142" s="379"/>
      <c r="FD142" s="379"/>
      <c r="FE142" s="379"/>
      <c r="FF142" s="379"/>
      <c r="FG142" s="52"/>
    </row>
    <row r="143" spans="2:191" x14ac:dyDescent="0.2">
      <c r="B143" s="132"/>
      <c r="DV143" s="132"/>
    </row>
    <row r="144" spans="2:191" x14ac:dyDescent="0.2">
      <c r="B144" s="132"/>
      <c r="DV144" s="132"/>
    </row>
    <row r="145" spans="2:165" x14ac:dyDescent="0.2">
      <c r="B145" s="132"/>
      <c r="DV145" s="132"/>
    </row>
    <row r="146" spans="2:165" x14ac:dyDescent="0.2">
      <c r="B146" s="132"/>
      <c r="DV146" s="132"/>
    </row>
    <row r="147" spans="2:165" x14ac:dyDescent="0.2">
      <c r="B147" s="132"/>
      <c r="DV147" s="132"/>
    </row>
    <row r="148" spans="2:165" x14ac:dyDescent="0.2">
      <c r="B148" s="132"/>
      <c r="DV148" s="132"/>
    </row>
    <row r="149" spans="2:165" x14ac:dyDescent="0.2">
      <c r="B149" s="132"/>
      <c r="DV149" s="132"/>
    </row>
    <row r="150" spans="2:165" x14ac:dyDescent="0.2">
      <c r="B150" s="132"/>
      <c r="DV150" s="132"/>
    </row>
    <row r="151" spans="2:165" x14ac:dyDescent="0.2">
      <c r="B151" s="132"/>
      <c r="DV151" s="132"/>
    </row>
    <row r="152" spans="2:165" ht="236" customHeight="1" x14ac:dyDescent="0.2">
      <c r="B152" s="132"/>
      <c r="DV152" s="132"/>
    </row>
    <row r="153" spans="2:165" ht="237" x14ac:dyDescent="0.2">
      <c r="B153" s="132"/>
      <c r="C153" s="231" t="s">
        <v>333</v>
      </c>
      <c r="D153" s="231" t="s">
        <v>335</v>
      </c>
      <c r="E153" s="231" t="s">
        <v>336</v>
      </c>
      <c r="F153" s="231" t="s">
        <v>355</v>
      </c>
      <c r="G153" s="231" t="s">
        <v>377</v>
      </c>
      <c r="H153" s="231" t="s">
        <v>407</v>
      </c>
      <c r="I153" s="231" t="s">
        <v>466</v>
      </c>
      <c r="J153" s="231" t="s">
        <v>467</v>
      </c>
      <c r="K153" s="231" t="s">
        <v>459</v>
      </c>
      <c r="L153" s="232" t="s">
        <v>442</v>
      </c>
      <c r="M153" s="231" t="s">
        <v>409</v>
      </c>
      <c r="N153" s="232" t="s">
        <v>412</v>
      </c>
      <c r="O153" s="231" t="s">
        <v>437</v>
      </c>
      <c r="P153" s="233" t="s">
        <v>430</v>
      </c>
      <c r="Q153" s="231" t="s">
        <v>416</v>
      </c>
      <c r="R153" s="232" t="s">
        <v>441</v>
      </c>
      <c r="S153" s="232" t="s">
        <v>436</v>
      </c>
      <c r="T153" s="232" t="s">
        <v>433</v>
      </c>
      <c r="U153" s="232" t="s">
        <v>439</v>
      </c>
      <c r="V153" s="233" t="s">
        <v>438</v>
      </c>
      <c r="W153" s="233" t="s">
        <v>424</v>
      </c>
      <c r="X153" s="233" t="s">
        <v>456</v>
      </c>
      <c r="Y153" s="233" t="s">
        <v>425</v>
      </c>
      <c r="Z153" s="233" t="s">
        <v>427</v>
      </c>
      <c r="AA153" s="233" t="s">
        <v>426</v>
      </c>
      <c r="AB153" s="233" t="s">
        <v>484</v>
      </c>
      <c r="AC153" s="235" t="s">
        <v>422</v>
      </c>
      <c r="AD153" s="235" t="s">
        <v>552</v>
      </c>
      <c r="AE153" s="233" t="s">
        <v>421</v>
      </c>
      <c r="AF153" s="231" t="s">
        <v>423</v>
      </c>
      <c r="AG153" s="233" t="s">
        <v>515</v>
      </c>
      <c r="AH153" s="233" t="s">
        <v>517</v>
      </c>
      <c r="AI153" s="233" t="s">
        <v>445</v>
      </c>
      <c r="AJ153" s="233" t="s">
        <v>446</v>
      </c>
      <c r="AK153" s="233" t="s">
        <v>447</v>
      </c>
      <c r="AL153" s="233" t="s">
        <v>457</v>
      </c>
      <c r="AM153" s="233" t="s">
        <v>793</v>
      </c>
      <c r="AN153" s="233"/>
      <c r="AO153" s="233"/>
      <c r="DV153" s="132"/>
      <c r="DW153" s="231" t="s">
        <v>333</v>
      </c>
      <c r="DX153" s="231" t="s">
        <v>335</v>
      </c>
      <c r="DY153" s="231" t="s">
        <v>336</v>
      </c>
      <c r="DZ153" s="231" t="s">
        <v>355</v>
      </c>
      <c r="EA153" s="231" t="s">
        <v>377</v>
      </c>
      <c r="EB153" s="231" t="s">
        <v>407</v>
      </c>
      <c r="EC153" s="231" t="s">
        <v>466</v>
      </c>
      <c r="ED153" s="231" t="s">
        <v>467</v>
      </c>
      <c r="EE153" s="231" t="s">
        <v>459</v>
      </c>
      <c r="EF153" s="232" t="s">
        <v>442</v>
      </c>
      <c r="EG153" s="231" t="s">
        <v>409</v>
      </c>
      <c r="EH153" s="232" t="s">
        <v>412</v>
      </c>
      <c r="EI153" s="231" t="s">
        <v>437</v>
      </c>
      <c r="EJ153" s="233" t="s">
        <v>430</v>
      </c>
      <c r="EK153" s="231" t="s">
        <v>416</v>
      </c>
      <c r="EL153" s="232" t="s">
        <v>441</v>
      </c>
      <c r="EM153" s="232" t="s">
        <v>436</v>
      </c>
      <c r="EN153" s="232" t="s">
        <v>433</v>
      </c>
      <c r="EO153" s="232" t="s">
        <v>439</v>
      </c>
      <c r="EP153" s="233" t="s">
        <v>438</v>
      </c>
      <c r="EQ153" s="233" t="s">
        <v>424</v>
      </c>
      <c r="ER153" s="233" t="s">
        <v>456</v>
      </c>
      <c r="ES153" s="233" t="s">
        <v>425</v>
      </c>
      <c r="ET153" s="233" t="s">
        <v>427</v>
      </c>
      <c r="EU153" s="233" t="s">
        <v>426</v>
      </c>
      <c r="EV153" s="233" t="s">
        <v>484</v>
      </c>
      <c r="EW153" s="235" t="s">
        <v>422</v>
      </c>
      <c r="EX153" s="235" t="s">
        <v>552</v>
      </c>
      <c r="EY153" s="233" t="s">
        <v>421</v>
      </c>
      <c r="EZ153" s="231" t="s">
        <v>423</v>
      </c>
      <c r="FA153" s="233" t="s">
        <v>515</v>
      </c>
      <c r="FB153" s="233" t="s">
        <v>517</v>
      </c>
      <c r="FC153" s="233" t="s">
        <v>445</v>
      </c>
      <c r="FD153" s="233" t="s">
        <v>446</v>
      </c>
      <c r="FE153" s="233" t="s">
        <v>447</v>
      </c>
      <c r="FF153" s="233" t="s">
        <v>457</v>
      </c>
      <c r="FG153" s="233" t="s">
        <v>799</v>
      </c>
      <c r="FH153" s="233"/>
      <c r="FI153" s="233"/>
    </row>
    <row r="154" spans="2:165" ht="16" customHeight="1" x14ac:dyDescent="0.2">
      <c r="B154" s="132" t="s">
        <v>332</v>
      </c>
      <c r="C154" s="237">
        <f>Ore_to_PI!U42</f>
        <v>1011.7674660019052</v>
      </c>
      <c r="D154" s="237"/>
      <c r="E154" s="237"/>
      <c r="F154" s="237"/>
      <c r="G154" s="237"/>
      <c r="H154" s="237"/>
      <c r="I154" s="237"/>
      <c r="J154" s="237"/>
      <c r="K154" s="237"/>
      <c r="L154" s="237"/>
      <c r="M154" s="237"/>
      <c r="N154" s="237"/>
      <c r="O154" s="237"/>
      <c r="P154" s="237"/>
      <c r="Q154" s="237"/>
      <c r="R154" s="237"/>
      <c r="S154" s="237"/>
      <c r="T154" s="237"/>
      <c r="U154" s="237"/>
      <c r="V154" s="237"/>
      <c r="W154" s="237"/>
      <c r="X154" s="237"/>
      <c r="Y154" s="237"/>
      <c r="Z154" s="237"/>
      <c r="AA154" s="237"/>
      <c r="AB154" s="237"/>
      <c r="AC154" s="237"/>
      <c r="AD154" s="237"/>
      <c r="AE154" s="237"/>
      <c r="AF154" s="237"/>
      <c r="AG154" s="237"/>
      <c r="AH154" s="237"/>
      <c r="AI154" s="237"/>
      <c r="AJ154" s="237"/>
      <c r="AK154" s="237"/>
      <c r="AL154" s="237"/>
      <c r="AM154" s="237">
        <v>0</v>
      </c>
      <c r="DV154" s="132" t="s">
        <v>332</v>
      </c>
      <c r="DW154" s="237">
        <v>1011.7674660019052</v>
      </c>
      <c r="DX154" s="237"/>
      <c r="DY154" s="237"/>
      <c r="DZ154" s="237"/>
      <c r="EA154" s="237"/>
      <c r="EB154" s="237"/>
      <c r="EC154" s="237"/>
      <c r="ED154" s="237"/>
      <c r="EE154" s="237"/>
      <c r="EF154" s="237"/>
      <c r="EG154" s="237"/>
      <c r="EH154" s="237"/>
      <c r="EI154" s="237"/>
      <c r="EJ154" s="237"/>
      <c r="EK154" s="237"/>
      <c r="EL154" s="237"/>
      <c r="EM154" s="237"/>
      <c r="EN154" s="237"/>
      <c r="EO154" s="237"/>
      <c r="EP154" s="237"/>
      <c r="EQ154" s="237"/>
      <c r="ER154" s="237"/>
      <c r="ES154" s="237"/>
      <c r="ET154" s="237"/>
      <c r="EU154" s="237"/>
      <c r="EV154" s="237"/>
      <c r="EW154" s="237"/>
      <c r="EX154" s="237"/>
      <c r="EY154" s="237"/>
      <c r="EZ154" s="237"/>
      <c r="FA154" s="237"/>
      <c r="FB154" s="237"/>
      <c r="FC154" s="237"/>
      <c r="FD154" s="237"/>
      <c r="FE154" s="237"/>
      <c r="FF154" s="237"/>
      <c r="FG154" s="334">
        <v>0</v>
      </c>
    </row>
    <row r="155" spans="2:165" ht="16" x14ac:dyDescent="0.2">
      <c r="B155" s="229" t="s">
        <v>334</v>
      </c>
      <c r="C155" s="237"/>
      <c r="D155" s="237">
        <f>Ore_to_PI!U126</f>
        <v>208.55560337725498</v>
      </c>
      <c r="E155" s="237"/>
      <c r="F155" s="237"/>
      <c r="G155" s="237"/>
      <c r="H155" s="237"/>
      <c r="I155" s="237"/>
      <c r="J155" s="237"/>
      <c r="K155" s="237"/>
      <c r="L155" s="237"/>
      <c r="M155" s="237"/>
      <c r="N155" s="237"/>
      <c r="O155" s="237"/>
      <c r="P155" s="237"/>
      <c r="Q155" s="237"/>
      <c r="R155" s="237"/>
      <c r="S155" s="237"/>
      <c r="T155" s="237"/>
      <c r="U155" s="237"/>
      <c r="V155" s="237"/>
      <c r="W155" s="237"/>
      <c r="X155" s="237"/>
      <c r="Y155" s="237"/>
      <c r="Z155" s="237"/>
      <c r="AA155" s="237"/>
      <c r="AB155" s="237"/>
      <c r="AC155" s="237"/>
      <c r="AD155" s="237"/>
      <c r="AE155" s="237"/>
      <c r="AF155" s="237"/>
      <c r="AG155" s="237"/>
      <c r="AH155" s="237"/>
      <c r="AI155" s="237"/>
      <c r="AJ155" s="237"/>
      <c r="AK155" s="237"/>
      <c r="AL155" s="237"/>
      <c r="AM155" s="237">
        <v>0</v>
      </c>
      <c r="DV155" s="229" t="s">
        <v>413</v>
      </c>
      <c r="DW155" s="237"/>
      <c r="DX155" s="237">
        <v>208.55560337725498</v>
      </c>
      <c r="DY155" s="237"/>
      <c r="DZ155" s="237"/>
      <c r="EA155" s="237"/>
      <c r="EB155" s="237"/>
      <c r="EC155" s="237"/>
      <c r="ED155" s="237"/>
      <c r="EE155" s="237"/>
      <c r="EF155" s="237"/>
      <c r="EG155" s="237"/>
      <c r="EH155" s="237"/>
      <c r="EI155" s="237"/>
      <c r="EJ155" s="237"/>
      <c r="EK155" s="237"/>
      <c r="EL155" s="237"/>
      <c r="EM155" s="237"/>
      <c r="EN155" s="237"/>
      <c r="EO155" s="237"/>
      <c r="EP155" s="237"/>
      <c r="EQ155" s="237"/>
      <c r="ER155" s="237"/>
      <c r="ES155" s="237"/>
      <c r="ET155" s="237"/>
      <c r="EU155" s="237"/>
      <c r="EV155" s="237"/>
      <c r="EW155" s="237"/>
      <c r="EX155" s="237"/>
      <c r="EY155" s="237"/>
      <c r="EZ155" s="237"/>
      <c r="FA155" s="237"/>
      <c r="FB155" s="237"/>
      <c r="FC155" s="237"/>
      <c r="FD155" s="237"/>
      <c r="FE155" s="237"/>
      <c r="FF155" s="237"/>
      <c r="FG155" s="334">
        <v>0</v>
      </c>
    </row>
    <row r="156" spans="2:165" x14ac:dyDescent="0.2">
      <c r="B156" s="230" t="s">
        <v>356</v>
      </c>
      <c r="C156" s="237"/>
      <c r="D156" s="237"/>
      <c r="E156" s="237">
        <f>Ore_to_PI!U206</f>
        <v>298.6148747230165</v>
      </c>
      <c r="F156" s="237"/>
      <c r="G156" s="237"/>
      <c r="H156" s="237"/>
      <c r="I156" s="237"/>
      <c r="J156" s="237"/>
      <c r="K156" s="237"/>
      <c r="L156" s="237"/>
      <c r="M156" s="237"/>
      <c r="N156" s="237"/>
      <c r="O156" s="237"/>
      <c r="P156" s="237"/>
      <c r="Q156" s="237"/>
      <c r="R156" s="237"/>
      <c r="S156" s="237"/>
      <c r="T156" s="237"/>
      <c r="U156" s="237"/>
      <c r="V156" s="237"/>
      <c r="W156" s="237"/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37"/>
      <c r="AI156" s="237"/>
      <c r="AJ156" s="237"/>
      <c r="AK156" s="237"/>
      <c r="AL156" s="237"/>
      <c r="AM156" s="237">
        <v>0</v>
      </c>
      <c r="DV156" s="230" t="s">
        <v>356</v>
      </c>
      <c r="DW156" s="237"/>
      <c r="DX156" s="237"/>
      <c r="DY156" s="237">
        <v>298.6148747230165</v>
      </c>
      <c r="DZ156" s="237"/>
      <c r="EA156" s="237"/>
      <c r="EB156" s="237"/>
      <c r="EC156" s="237"/>
      <c r="ED156" s="237"/>
      <c r="EE156" s="237"/>
      <c r="EF156" s="237"/>
      <c r="EG156" s="237"/>
      <c r="EH156" s="237"/>
      <c r="EI156" s="237"/>
      <c r="EJ156" s="237"/>
      <c r="EK156" s="237"/>
      <c r="EL156" s="237"/>
      <c r="EM156" s="237"/>
      <c r="EN156" s="237"/>
      <c r="EO156" s="237"/>
      <c r="EP156" s="237"/>
      <c r="EQ156" s="237"/>
      <c r="ER156" s="237"/>
      <c r="ES156" s="237"/>
      <c r="ET156" s="237"/>
      <c r="EU156" s="237"/>
      <c r="EV156" s="237"/>
      <c r="EW156" s="237"/>
      <c r="EX156" s="237"/>
      <c r="EY156" s="237"/>
      <c r="EZ156" s="237"/>
      <c r="FA156" s="237"/>
      <c r="FB156" s="237"/>
      <c r="FC156" s="237"/>
      <c r="FD156" s="237"/>
      <c r="FE156" s="237"/>
      <c r="FF156" s="237"/>
      <c r="FG156" s="334">
        <v>0</v>
      </c>
    </row>
    <row r="157" spans="2:165" x14ac:dyDescent="0.2">
      <c r="B157" s="132" t="s">
        <v>380</v>
      </c>
      <c r="C157" s="237"/>
      <c r="D157" s="237"/>
      <c r="E157" s="237"/>
      <c r="F157" s="242">
        <f>Ore_to_PI!EL140+Ore_to_PI!CA140+Ore_to_PI!U163+Ore_to_PI!U72+Ore_to_PI!CA232+Ore_to_PI!U236</f>
        <v>7028.7429099762057</v>
      </c>
      <c r="G157" s="237"/>
      <c r="H157" s="237"/>
      <c r="I157" s="237"/>
      <c r="J157" s="237"/>
      <c r="K157" s="237"/>
      <c r="L157" s="237"/>
      <c r="M157" s="237"/>
      <c r="N157" s="237"/>
      <c r="O157" s="237"/>
      <c r="P157" s="237"/>
      <c r="Q157" s="237"/>
      <c r="R157" s="237"/>
      <c r="S157" s="237"/>
      <c r="T157" s="237"/>
      <c r="U157" s="237"/>
      <c r="V157" s="237"/>
      <c r="W157" s="237"/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37"/>
      <c r="AI157" s="237"/>
      <c r="AJ157" s="237"/>
      <c r="AK157" s="237"/>
      <c r="AL157" s="237"/>
      <c r="AM157" s="237">
        <v>0</v>
      </c>
      <c r="DV157" s="132" t="s">
        <v>380</v>
      </c>
      <c r="DW157" s="237"/>
      <c r="DX157" s="237"/>
      <c r="DY157" s="237"/>
      <c r="DZ157" s="242">
        <v>7028.7429099762057</v>
      </c>
      <c r="EA157" s="237"/>
      <c r="EB157" s="237"/>
      <c r="EC157" s="237"/>
      <c r="ED157" s="237"/>
      <c r="EE157" s="237"/>
      <c r="EF157" s="237"/>
      <c r="EG157" s="237"/>
      <c r="EH157" s="237"/>
      <c r="EI157" s="237"/>
      <c r="EJ157" s="237"/>
      <c r="EK157" s="237"/>
      <c r="EL157" s="237"/>
      <c r="EM157" s="237"/>
      <c r="EN157" s="237"/>
      <c r="EO157" s="237"/>
      <c r="EP157" s="237"/>
      <c r="EQ157" s="237"/>
      <c r="ER157" s="237"/>
      <c r="ES157" s="237"/>
      <c r="ET157" s="237"/>
      <c r="EU157" s="237"/>
      <c r="EV157" s="237"/>
      <c r="EW157" s="237"/>
      <c r="EX157" s="237"/>
      <c r="EY157" s="237"/>
      <c r="EZ157" s="237"/>
      <c r="FA157" s="237"/>
      <c r="FB157" s="237"/>
      <c r="FC157" s="237"/>
      <c r="FD157" s="237"/>
      <c r="FE157" s="237"/>
      <c r="FF157" s="237"/>
      <c r="FG157" s="334">
        <v>0</v>
      </c>
    </row>
    <row r="158" spans="2:165" x14ac:dyDescent="0.2">
      <c r="B158" s="132" t="s">
        <v>376</v>
      </c>
      <c r="C158" s="237"/>
      <c r="D158" s="237"/>
      <c r="E158" s="237"/>
      <c r="F158" s="237"/>
      <c r="G158" s="237">
        <f>Ore_to_PI!EL114+Ore_to_PI!CA152+Ore_to_PI!CA244</f>
        <v>286.68478984220775</v>
      </c>
      <c r="H158" s="237"/>
      <c r="I158" s="237"/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  <c r="AM158" s="237">
        <v>0</v>
      </c>
      <c r="DV158" s="132" t="s">
        <v>376</v>
      </c>
      <c r="DW158" s="237"/>
      <c r="DX158" s="237"/>
      <c r="DY158" s="237"/>
      <c r="DZ158" s="237"/>
      <c r="EA158" s="237">
        <v>286.68478984220775</v>
      </c>
      <c r="EB158" s="237"/>
      <c r="EC158" s="237"/>
      <c r="ED158" s="237"/>
      <c r="EE158" s="237"/>
      <c r="EF158" s="237"/>
      <c r="EG158" s="237"/>
      <c r="EH158" s="237"/>
      <c r="EI158" s="237"/>
      <c r="EJ158" s="237"/>
      <c r="EK158" s="237"/>
      <c r="EL158" s="237"/>
      <c r="EM158" s="237"/>
      <c r="EN158" s="237"/>
      <c r="EO158" s="237"/>
      <c r="EP158" s="237"/>
      <c r="EQ158" s="237"/>
      <c r="ER158" s="237"/>
      <c r="ES158" s="237"/>
      <c r="ET158" s="237"/>
      <c r="EU158" s="237"/>
      <c r="EV158" s="237"/>
      <c r="EW158" s="237"/>
      <c r="EX158" s="237"/>
      <c r="EY158" s="237"/>
      <c r="EZ158" s="237"/>
      <c r="FA158" s="237"/>
      <c r="FB158" s="237"/>
      <c r="FC158" s="237"/>
      <c r="FD158" s="237"/>
      <c r="FE158" s="237"/>
      <c r="FF158" s="237"/>
      <c r="FG158" s="334">
        <v>0</v>
      </c>
    </row>
    <row r="159" spans="2:165" x14ac:dyDescent="0.2">
      <c r="B159" s="132" t="s">
        <v>469</v>
      </c>
      <c r="C159" s="237"/>
      <c r="D159" s="237"/>
      <c r="E159" s="237"/>
      <c r="F159" s="237"/>
      <c r="G159" s="237"/>
      <c r="H159" s="237">
        <f>Ore_to_PI!U222+Ore_to_PI!U140+Ore_to_PI!U59</f>
        <v>2.5875439035128025</v>
      </c>
      <c r="I159" s="237"/>
      <c r="J159" s="237"/>
      <c r="K159" s="237"/>
      <c r="L159" s="237"/>
      <c r="M159" s="237"/>
      <c r="N159" s="237"/>
      <c r="O159" s="237"/>
      <c r="P159" s="237"/>
      <c r="Q159" s="237"/>
      <c r="R159" s="237"/>
      <c r="S159" s="237"/>
      <c r="T159" s="237"/>
      <c r="U159" s="237"/>
      <c r="V159" s="237"/>
      <c r="W159" s="237"/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37"/>
      <c r="AI159" s="237"/>
      <c r="AJ159" s="237"/>
      <c r="AK159" s="237"/>
      <c r="AL159" s="237"/>
      <c r="AM159" s="237">
        <v>0</v>
      </c>
      <c r="DV159" s="132" t="s">
        <v>469</v>
      </c>
      <c r="DW159" s="237"/>
      <c r="DX159" s="237"/>
      <c r="DY159" s="237"/>
      <c r="DZ159" s="237"/>
      <c r="EA159" s="237"/>
      <c r="EB159" s="237">
        <v>2.5875439035128025</v>
      </c>
      <c r="EC159" s="237"/>
      <c r="ED159" s="237"/>
      <c r="EE159" s="237"/>
      <c r="EF159" s="237"/>
      <c r="EG159" s="237"/>
      <c r="EH159" s="237"/>
      <c r="EI159" s="237"/>
      <c r="EJ159" s="237"/>
      <c r="EK159" s="237"/>
      <c r="EL159" s="237"/>
      <c r="EM159" s="237"/>
      <c r="EN159" s="237"/>
      <c r="EO159" s="237"/>
      <c r="EP159" s="237"/>
      <c r="EQ159" s="237"/>
      <c r="ER159" s="237"/>
      <c r="ES159" s="237"/>
      <c r="ET159" s="237"/>
      <c r="EU159" s="237"/>
      <c r="EV159" s="237"/>
      <c r="EW159" s="237"/>
      <c r="EX159" s="237"/>
      <c r="EY159" s="237"/>
      <c r="EZ159" s="237"/>
      <c r="FA159" s="237"/>
      <c r="FB159" s="237"/>
      <c r="FC159" s="237"/>
      <c r="FD159" s="237"/>
      <c r="FE159" s="237"/>
      <c r="FF159" s="237"/>
      <c r="FG159" s="334">
        <v>0</v>
      </c>
    </row>
    <row r="160" spans="2:165" x14ac:dyDescent="0.2">
      <c r="B160" s="132" t="s">
        <v>468</v>
      </c>
      <c r="C160" s="237"/>
      <c r="D160" s="237"/>
      <c r="E160" s="237"/>
      <c r="F160" s="237"/>
      <c r="G160" s="237"/>
      <c r="H160" s="237"/>
      <c r="I160" s="237">
        <f>Ore_to_PI!U151</f>
        <v>5.1714158616864253E-4</v>
      </c>
      <c r="J160" s="237"/>
      <c r="K160" s="237"/>
      <c r="L160" s="237"/>
      <c r="M160" s="237"/>
      <c r="N160" s="237"/>
      <c r="O160" s="237"/>
      <c r="P160" s="237"/>
      <c r="Q160" s="237"/>
      <c r="R160" s="237"/>
      <c r="S160" s="237"/>
      <c r="T160" s="237"/>
      <c r="U160" s="237"/>
      <c r="V160" s="237"/>
      <c r="W160" s="237"/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37"/>
      <c r="AI160" s="237"/>
      <c r="AJ160" s="237"/>
      <c r="AK160" s="237"/>
      <c r="AL160" s="237"/>
      <c r="AM160" s="237">
        <v>0</v>
      </c>
      <c r="DV160" s="132" t="s">
        <v>468</v>
      </c>
      <c r="DW160" s="237"/>
      <c r="DX160" s="237"/>
      <c r="DY160" s="237"/>
      <c r="DZ160" s="237"/>
      <c r="EA160" s="237"/>
      <c r="EB160" s="237"/>
      <c r="EC160" s="237">
        <v>5.1714158616864253E-4</v>
      </c>
      <c r="ED160" s="237"/>
      <c r="EE160" s="237"/>
      <c r="EF160" s="237"/>
      <c r="EG160" s="237"/>
      <c r="EH160" s="237"/>
      <c r="EI160" s="237"/>
      <c r="EJ160" s="237"/>
      <c r="EK160" s="237"/>
      <c r="EL160" s="237"/>
      <c r="EM160" s="237"/>
      <c r="EN160" s="237"/>
      <c r="EO160" s="237"/>
      <c r="EP160" s="237"/>
      <c r="EQ160" s="237"/>
      <c r="ER160" s="237"/>
      <c r="ES160" s="237"/>
      <c r="ET160" s="237"/>
      <c r="EU160" s="237"/>
      <c r="EV160" s="237"/>
      <c r="EW160" s="237"/>
      <c r="EX160" s="237"/>
      <c r="EY160" s="237"/>
      <c r="EZ160" s="237"/>
      <c r="FA160" s="237"/>
      <c r="FB160" s="237"/>
      <c r="FC160" s="237"/>
      <c r="FD160" s="237"/>
      <c r="FE160" s="237"/>
      <c r="FF160" s="237"/>
      <c r="FG160" s="334">
        <v>0</v>
      </c>
    </row>
    <row r="161" spans="2:169" x14ac:dyDescent="0.2">
      <c r="B161" s="132" t="s">
        <v>410</v>
      </c>
      <c r="C161" s="237"/>
      <c r="D161" s="237"/>
      <c r="E161" s="237"/>
      <c r="F161" s="237"/>
      <c r="G161" s="237"/>
      <c r="H161" s="237"/>
      <c r="I161" s="237"/>
      <c r="J161" s="237">
        <f>Ore_to_PI!$EL$101</f>
        <v>4.914718171980665</v>
      </c>
      <c r="K161" s="237"/>
      <c r="L161" s="237"/>
      <c r="M161" s="237"/>
      <c r="N161" s="237"/>
      <c r="O161" s="237"/>
      <c r="P161" s="237"/>
      <c r="Q161" s="237"/>
      <c r="R161" s="237"/>
      <c r="S161" s="237"/>
      <c r="T161" s="237"/>
      <c r="U161" s="237"/>
      <c r="V161" s="237"/>
      <c r="W161" s="237"/>
      <c r="X161" s="237"/>
      <c r="Y161" s="237"/>
      <c r="Z161" s="237"/>
      <c r="AA161" s="237"/>
      <c r="AB161" s="237"/>
      <c r="AC161" s="237"/>
      <c r="AD161" s="237"/>
      <c r="AE161" s="237"/>
      <c r="AF161" s="237"/>
      <c r="AG161" s="237"/>
      <c r="AH161" s="237"/>
      <c r="AI161" s="237"/>
      <c r="AJ161" s="237"/>
      <c r="AK161" s="237"/>
      <c r="AL161" s="237"/>
      <c r="AM161" s="237">
        <v>0</v>
      </c>
      <c r="AS161" s="235"/>
      <c r="DV161" s="132" t="s">
        <v>410</v>
      </c>
      <c r="DW161" s="237"/>
      <c r="DX161" s="237"/>
      <c r="DY161" s="237"/>
      <c r="DZ161" s="237"/>
      <c r="EA161" s="237"/>
      <c r="EB161" s="237"/>
      <c r="EC161" s="237"/>
      <c r="ED161" s="237">
        <v>4.914718171980665</v>
      </c>
      <c r="EE161" s="237"/>
      <c r="EF161" s="237"/>
      <c r="EG161" s="237"/>
      <c r="EH161" s="237"/>
      <c r="EI161" s="237"/>
      <c r="EJ161" s="237"/>
      <c r="EK161" s="237"/>
      <c r="EL161" s="237"/>
      <c r="EM161" s="237"/>
      <c r="EN161" s="237"/>
      <c r="EO161" s="237"/>
      <c r="EP161" s="237"/>
      <c r="EQ161" s="237"/>
      <c r="ER161" s="237"/>
      <c r="ES161" s="237"/>
      <c r="ET161" s="237"/>
      <c r="EU161" s="237"/>
      <c r="EV161" s="237"/>
      <c r="EW161" s="237"/>
      <c r="EX161" s="237"/>
      <c r="EY161" s="237"/>
      <c r="EZ161" s="237"/>
      <c r="FA161" s="237"/>
      <c r="FB161" s="237"/>
      <c r="FC161" s="237"/>
      <c r="FD161" s="237"/>
      <c r="FE161" s="237"/>
      <c r="FF161" s="237"/>
      <c r="FG161" s="334">
        <v>0</v>
      </c>
      <c r="FM161" s="235"/>
    </row>
    <row r="162" spans="2:169" x14ac:dyDescent="0.2">
      <c r="B162" s="132" t="s">
        <v>458</v>
      </c>
      <c r="C162" s="237"/>
      <c r="D162" s="237"/>
      <c r="E162" s="237"/>
      <c r="F162" s="237"/>
      <c r="G162" s="237"/>
      <c r="H162" s="237"/>
      <c r="I162" s="237"/>
      <c r="J162" s="237"/>
      <c r="K162" s="237">
        <v>0</v>
      </c>
      <c r="L162" s="237"/>
      <c r="M162" s="237"/>
      <c r="N162" s="237"/>
      <c r="O162" s="237"/>
      <c r="P162" s="237"/>
      <c r="Q162" s="237"/>
      <c r="R162" s="237"/>
      <c r="S162" s="237"/>
      <c r="T162" s="237"/>
      <c r="U162" s="237"/>
      <c r="V162" s="237"/>
      <c r="W162" s="237"/>
      <c r="X162" s="237"/>
      <c r="Y162" s="237"/>
      <c r="Z162" s="237"/>
      <c r="AA162" s="237"/>
      <c r="AB162" s="237"/>
      <c r="AC162" s="237"/>
      <c r="AD162" s="237"/>
      <c r="AE162" s="237"/>
      <c r="AF162" s="237"/>
      <c r="AG162" s="237"/>
      <c r="AH162" s="237"/>
      <c r="AI162" s="237"/>
      <c r="AJ162" s="237"/>
      <c r="AK162" s="237"/>
      <c r="AL162" s="237"/>
      <c r="AM162" s="237">
        <v>0</v>
      </c>
      <c r="DV162" s="132" t="s">
        <v>458</v>
      </c>
      <c r="DW162" s="237"/>
      <c r="DX162" s="237"/>
      <c r="DY162" s="237"/>
      <c r="DZ162" s="237"/>
      <c r="EA162" s="237"/>
      <c r="EB162" s="237"/>
      <c r="EC162" s="237"/>
      <c r="ED162" s="237"/>
      <c r="EE162" s="237">
        <v>0</v>
      </c>
      <c r="EF162" s="237"/>
      <c r="EG162" s="237"/>
      <c r="EH162" s="237"/>
      <c r="EI162" s="237"/>
      <c r="EJ162" s="237"/>
      <c r="EK162" s="237"/>
      <c r="EL162" s="237"/>
      <c r="EM162" s="237"/>
      <c r="EN162" s="237"/>
      <c r="EO162" s="237"/>
      <c r="EP162" s="237"/>
      <c r="EQ162" s="237"/>
      <c r="ER162" s="237"/>
      <c r="ES162" s="237"/>
      <c r="ET162" s="237"/>
      <c r="EU162" s="237"/>
      <c r="EV162" s="237"/>
      <c r="EW162" s="237"/>
      <c r="EX162" s="237"/>
      <c r="EY162" s="237"/>
      <c r="EZ162" s="237"/>
      <c r="FA162" s="237"/>
      <c r="FB162" s="237"/>
      <c r="FC162" s="237"/>
      <c r="FD162" s="237"/>
      <c r="FE162" s="237"/>
      <c r="FF162" s="237"/>
      <c r="FG162" s="334">
        <v>0</v>
      </c>
    </row>
    <row r="163" spans="2:169" x14ac:dyDescent="0.2">
      <c r="C163" s="379" t="s">
        <v>56</v>
      </c>
      <c r="D163" s="379"/>
      <c r="E163" s="379"/>
      <c r="F163" s="379"/>
      <c r="G163" s="379"/>
      <c r="H163" s="379"/>
      <c r="I163" s="379"/>
      <c r="J163" s="379"/>
      <c r="K163" s="379"/>
      <c r="L163" s="379"/>
      <c r="M163" s="379"/>
      <c r="N163" s="379"/>
      <c r="O163" s="379"/>
      <c r="P163" s="379"/>
      <c r="Q163" s="379"/>
      <c r="R163" s="379"/>
      <c r="S163" s="379"/>
      <c r="T163" s="379"/>
      <c r="U163" s="379"/>
      <c r="V163" s="379"/>
      <c r="W163" s="379"/>
      <c r="X163" s="379"/>
      <c r="Y163" s="379"/>
      <c r="Z163" s="379"/>
      <c r="AA163" s="379"/>
      <c r="AB163" s="379"/>
      <c r="AC163" s="379"/>
      <c r="AD163" s="379"/>
      <c r="AE163" s="379"/>
      <c r="AF163" s="379"/>
      <c r="AG163" s="379"/>
      <c r="AH163" s="379"/>
      <c r="AI163" s="379"/>
      <c r="AJ163" s="379"/>
      <c r="AK163" s="379"/>
      <c r="AL163" s="379"/>
      <c r="AM163" s="52"/>
      <c r="AN163" s="52"/>
      <c r="AO163" s="52"/>
      <c r="DW163" s="379" t="s">
        <v>56</v>
      </c>
      <c r="DX163" s="379"/>
      <c r="DY163" s="379"/>
      <c r="DZ163" s="379"/>
      <c r="EA163" s="379"/>
      <c r="EB163" s="379"/>
      <c r="EC163" s="379"/>
      <c r="ED163" s="379"/>
      <c r="EE163" s="379"/>
      <c r="EF163" s="379"/>
      <c r="EG163" s="379"/>
      <c r="EH163" s="379"/>
      <c r="EI163" s="379"/>
      <c r="EJ163" s="379"/>
      <c r="EK163" s="379"/>
      <c r="EL163" s="379"/>
      <c r="EM163" s="379"/>
      <c r="EN163" s="379"/>
      <c r="EO163" s="379"/>
      <c r="EP163" s="379"/>
      <c r="EQ163" s="379"/>
      <c r="ER163" s="379"/>
      <c r="ES163" s="379"/>
      <c r="ET163" s="379"/>
      <c r="EU163" s="379"/>
      <c r="EV163" s="379"/>
      <c r="EW163" s="379"/>
      <c r="EX163" s="379"/>
      <c r="EY163" s="379"/>
      <c r="EZ163" s="379"/>
      <c r="FA163" s="379"/>
      <c r="FB163" s="379"/>
      <c r="FC163" s="379"/>
      <c r="FD163" s="379"/>
      <c r="FE163" s="379"/>
      <c r="FF163" s="379"/>
      <c r="FG163" s="52"/>
      <c r="FH163" s="52"/>
      <c r="FI163" s="52"/>
    </row>
    <row r="164" spans="2:169" x14ac:dyDescent="0.2">
      <c r="C164" s="243">
        <f>SUM(C154:C162)</f>
        <v>1011.7674660019052</v>
      </c>
      <c r="D164" s="243">
        <f t="shared" ref="D164:AL164" si="14">SUM(D154:D162)</f>
        <v>208.55560337725498</v>
      </c>
      <c r="E164" s="243">
        <f t="shared" si="14"/>
        <v>298.6148747230165</v>
      </c>
      <c r="F164" s="243">
        <f t="shared" si="14"/>
        <v>7028.7429099762057</v>
      </c>
      <c r="G164" s="243">
        <f t="shared" si="14"/>
        <v>286.68478984220775</v>
      </c>
      <c r="H164" s="243">
        <f t="shared" si="14"/>
        <v>2.5875439035128025</v>
      </c>
      <c r="I164" s="243">
        <f t="shared" si="14"/>
        <v>5.1714158616864253E-4</v>
      </c>
      <c r="J164" s="243">
        <f t="shared" si="14"/>
        <v>4.914718171980665</v>
      </c>
      <c r="K164" s="243">
        <f t="shared" si="14"/>
        <v>0</v>
      </c>
      <c r="L164" s="243">
        <f t="shared" si="14"/>
        <v>0</v>
      </c>
      <c r="M164" s="243">
        <f t="shared" si="14"/>
        <v>0</v>
      </c>
      <c r="N164" s="243">
        <f t="shared" si="14"/>
        <v>0</v>
      </c>
      <c r="O164" s="243">
        <f t="shared" si="14"/>
        <v>0</v>
      </c>
      <c r="P164" s="243">
        <f t="shared" si="14"/>
        <v>0</v>
      </c>
      <c r="Q164" s="243">
        <f t="shared" si="14"/>
        <v>0</v>
      </c>
      <c r="R164" s="243">
        <f t="shared" si="14"/>
        <v>0</v>
      </c>
      <c r="S164" s="243">
        <f t="shared" si="14"/>
        <v>0</v>
      </c>
      <c r="T164" s="243">
        <f t="shared" si="14"/>
        <v>0</v>
      </c>
      <c r="U164" s="243">
        <f t="shared" si="14"/>
        <v>0</v>
      </c>
      <c r="V164" s="243">
        <f t="shared" si="14"/>
        <v>0</v>
      </c>
      <c r="W164" s="243">
        <f t="shared" si="14"/>
        <v>0</v>
      </c>
      <c r="X164" s="243">
        <f t="shared" si="14"/>
        <v>0</v>
      </c>
      <c r="Y164" s="243">
        <f t="shared" si="14"/>
        <v>0</v>
      </c>
      <c r="Z164" s="243">
        <f t="shared" si="14"/>
        <v>0</v>
      </c>
      <c r="AA164" s="243">
        <f t="shared" si="14"/>
        <v>0</v>
      </c>
      <c r="AB164" s="243">
        <f t="shared" si="14"/>
        <v>0</v>
      </c>
      <c r="AC164" s="243">
        <f t="shared" si="14"/>
        <v>0</v>
      </c>
      <c r="AD164" s="243">
        <f t="shared" si="14"/>
        <v>0</v>
      </c>
      <c r="AE164" s="243">
        <f t="shared" si="14"/>
        <v>0</v>
      </c>
      <c r="AF164" s="243">
        <f t="shared" si="14"/>
        <v>0</v>
      </c>
      <c r="AG164" s="243">
        <f t="shared" si="14"/>
        <v>0</v>
      </c>
      <c r="AH164" s="243">
        <f t="shared" si="14"/>
        <v>0</v>
      </c>
      <c r="AI164" s="243">
        <f t="shared" si="14"/>
        <v>0</v>
      </c>
      <c r="AJ164" s="243">
        <f t="shared" si="14"/>
        <v>0</v>
      </c>
      <c r="AK164" s="243">
        <f t="shared" si="14"/>
        <v>0</v>
      </c>
      <c r="AL164" s="243">
        <f t="shared" si="14"/>
        <v>0</v>
      </c>
      <c r="AM164" s="243"/>
      <c r="DW164" s="243">
        <v>1011.7674660019052</v>
      </c>
      <c r="DX164" s="243">
        <v>208.55560337725498</v>
      </c>
      <c r="DY164" s="243">
        <v>298.6148747230165</v>
      </c>
      <c r="DZ164" s="243">
        <v>7028.7429099762057</v>
      </c>
      <c r="EA164" s="243">
        <v>286.68478984220775</v>
      </c>
      <c r="EB164" s="243">
        <v>2.5875439035128025</v>
      </c>
      <c r="EC164" s="243">
        <v>5.1714158616864253E-4</v>
      </c>
      <c r="ED164" s="243">
        <v>4.914718171980665</v>
      </c>
      <c r="EE164" s="243">
        <v>0</v>
      </c>
      <c r="EF164" s="243">
        <v>0</v>
      </c>
      <c r="EG164" s="243">
        <v>0</v>
      </c>
      <c r="EH164" s="243">
        <v>0</v>
      </c>
      <c r="EI164" s="243">
        <v>0</v>
      </c>
      <c r="EJ164" s="243">
        <v>0</v>
      </c>
      <c r="EK164" s="243">
        <v>0</v>
      </c>
      <c r="EL164" s="243">
        <v>0</v>
      </c>
      <c r="EM164" s="243">
        <v>0</v>
      </c>
      <c r="EN164" s="243">
        <v>0</v>
      </c>
      <c r="EO164" s="243">
        <v>0</v>
      </c>
      <c r="EP164" s="243">
        <v>0</v>
      </c>
      <c r="EQ164" s="243">
        <v>0</v>
      </c>
      <c r="ER164" s="243">
        <v>0</v>
      </c>
      <c r="ES164" s="243">
        <v>0</v>
      </c>
      <c r="ET164" s="243">
        <v>0</v>
      </c>
      <c r="EU164" s="243">
        <v>0</v>
      </c>
      <c r="EV164" s="243">
        <v>0</v>
      </c>
      <c r="EW164" s="243">
        <v>0</v>
      </c>
      <c r="EX164" s="243">
        <v>0</v>
      </c>
      <c r="EY164" s="243">
        <v>0</v>
      </c>
      <c r="EZ164" s="243">
        <v>0</v>
      </c>
      <c r="FA164" s="243">
        <v>0</v>
      </c>
      <c r="FB164" s="243">
        <v>0</v>
      </c>
      <c r="FC164" s="243">
        <v>0</v>
      </c>
      <c r="FD164" s="243">
        <v>0</v>
      </c>
      <c r="FE164" s="243">
        <v>0</v>
      </c>
      <c r="FF164" s="243">
        <v>0</v>
      </c>
      <c r="FG164" s="243">
        <v>0</v>
      </c>
    </row>
    <row r="165" spans="2:169" x14ac:dyDescent="0.2">
      <c r="C165" s="379" t="s">
        <v>367</v>
      </c>
      <c r="D165" s="379"/>
      <c r="E165" s="379"/>
      <c r="F165" s="379"/>
      <c r="G165" s="379"/>
      <c r="H165" s="379"/>
      <c r="I165" s="379"/>
      <c r="J165" s="379"/>
      <c r="K165" s="379"/>
      <c r="L165" s="379"/>
      <c r="M165" s="379"/>
      <c r="N165" s="379"/>
      <c r="O165" s="379"/>
      <c r="P165" s="379"/>
      <c r="Q165" s="379"/>
      <c r="R165" s="379"/>
      <c r="S165" s="379"/>
      <c r="T165" s="379"/>
      <c r="U165" s="379"/>
      <c r="V165" s="379"/>
      <c r="W165" s="379"/>
      <c r="X165" s="379"/>
      <c r="Y165" s="379"/>
      <c r="Z165" s="379"/>
      <c r="AA165" s="379"/>
      <c r="AB165" s="379"/>
      <c r="AC165" s="379"/>
      <c r="AD165" s="379"/>
      <c r="AE165" s="379"/>
      <c r="AF165" s="379"/>
      <c r="AG165" s="379"/>
      <c r="AH165" s="379"/>
      <c r="AI165" s="379"/>
      <c r="AJ165" s="379"/>
      <c r="AK165" s="379"/>
      <c r="AL165" s="379"/>
      <c r="AM165" s="52"/>
      <c r="AN165" s="52"/>
      <c r="AO165" s="52"/>
      <c r="DW165" s="379" t="s">
        <v>367</v>
      </c>
      <c r="DX165" s="379"/>
      <c r="DY165" s="379"/>
      <c r="DZ165" s="379"/>
      <c r="EA165" s="379"/>
      <c r="EB165" s="379"/>
      <c r="EC165" s="379"/>
      <c r="ED165" s="379"/>
      <c r="EE165" s="379"/>
      <c r="EF165" s="379"/>
      <c r="EG165" s="379"/>
      <c r="EH165" s="379"/>
      <c r="EI165" s="379"/>
      <c r="EJ165" s="379"/>
      <c r="EK165" s="379"/>
      <c r="EL165" s="379"/>
      <c r="EM165" s="379"/>
      <c r="EN165" s="379"/>
      <c r="EO165" s="379"/>
      <c r="EP165" s="379"/>
      <c r="EQ165" s="379"/>
      <c r="ER165" s="379"/>
      <c r="ES165" s="379"/>
      <c r="ET165" s="379"/>
      <c r="EU165" s="379"/>
      <c r="EV165" s="379"/>
      <c r="EW165" s="379"/>
      <c r="EX165" s="379"/>
      <c r="EY165" s="379"/>
      <c r="EZ165" s="379"/>
      <c r="FA165" s="379"/>
      <c r="FB165" s="379"/>
      <c r="FC165" s="379"/>
      <c r="FD165" s="379"/>
      <c r="FE165" s="379"/>
      <c r="FF165" s="379"/>
      <c r="FG165" s="52"/>
      <c r="FH165" s="52"/>
      <c r="FI165" s="52"/>
    </row>
    <row r="169" spans="2:169" x14ac:dyDescent="0.2">
      <c r="C169" s="379" t="s">
        <v>364</v>
      </c>
      <c r="D169" s="379"/>
      <c r="E169" s="379"/>
      <c r="F169" s="379"/>
      <c r="G169" s="379"/>
      <c r="H169" s="379"/>
      <c r="I169" s="379"/>
      <c r="J169" s="379"/>
      <c r="K169" s="379"/>
      <c r="L169" s="238"/>
      <c r="M169" s="238"/>
      <c r="N169" s="238"/>
      <c r="O169" s="238"/>
      <c r="P169" s="238"/>
      <c r="Q169" s="238"/>
      <c r="R169" s="238"/>
      <c r="S169" s="238"/>
      <c r="T169" s="238"/>
      <c r="U169" s="52"/>
      <c r="V169" s="52"/>
    </row>
    <row r="172" spans="2:169" ht="237" x14ac:dyDescent="0.2">
      <c r="B172" s="132" t="s">
        <v>333</v>
      </c>
      <c r="C172" s="243">
        <f t="array" ref="C172:C207">TRANSPOSE(C164:AL164)</f>
        <v>1011.7674660019052</v>
      </c>
      <c r="E172" s="243">
        <f t="array" ref="E172:E207">TRANSPOSE(C141:AL141)</f>
        <v>0</v>
      </c>
      <c r="G172" s="243">
        <f t="shared" ref="G172:G207" si="15">BH84</f>
        <v>1011.7674660019052</v>
      </c>
      <c r="I172" s="243">
        <f t="array" ref="I172:I207">BO84:BO119</f>
        <v>0</v>
      </c>
      <c r="K172" s="247">
        <f>C172+E172-G172-I172</f>
        <v>0</v>
      </c>
      <c r="DV172" s="245"/>
      <c r="DW172" s="231" t="s">
        <v>333</v>
      </c>
      <c r="DX172" s="231" t="s">
        <v>335</v>
      </c>
      <c r="DY172" s="231" t="s">
        <v>336</v>
      </c>
      <c r="DZ172" s="231" t="s">
        <v>355</v>
      </c>
      <c r="EA172" s="231" t="s">
        <v>377</v>
      </c>
      <c r="EB172" s="231" t="s">
        <v>407</v>
      </c>
      <c r="EC172" s="231" t="s">
        <v>466</v>
      </c>
      <c r="ED172" s="231" t="s">
        <v>467</v>
      </c>
      <c r="EE172" s="231" t="s">
        <v>459</v>
      </c>
      <c r="EF172" s="232" t="s">
        <v>442</v>
      </c>
      <c r="EG172" s="231" t="s">
        <v>409</v>
      </c>
      <c r="EH172" s="232" t="s">
        <v>412</v>
      </c>
      <c r="EI172" s="231" t="s">
        <v>437</v>
      </c>
      <c r="EJ172" s="233" t="s">
        <v>430</v>
      </c>
      <c r="EK172" s="231" t="s">
        <v>416</v>
      </c>
      <c r="EL172" s="232" t="s">
        <v>441</v>
      </c>
      <c r="EM172" s="232" t="s">
        <v>436</v>
      </c>
      <c r="EN172" s="232" t="s">
        <v>433</v>
      </c>
      <c r="EO172" s="232" t="s">
        <v>439</v>
      </c>
      <c r="EP172" s="233" t="s">
        <v>438</v>
      </c>
      <c r="EQ172" s="233" t="s">
        <v>424</v>
      </c>
      <c r="ER172" s="233" t="s">
        <v>456</v>
      </c>
      <c r="ES172" s="233" t="s">
        <v>425</v>
      </c>
      <c r="ET172" s="233" t="s">
        <v>427</v>
      </c>
      <c r="EU172" s="233" t="s">
        <v>426</v>
      </c>
      <c r="EV172" s="233" t="s">
        <v>484</v>
      </c>
      <c r="EW172" s="235" t="s">
        <v>422</v>
      </c>
      <c r="EX172" s="235" t="s">
        <v>552</v>
      </c>
      <c r="EY172" s="233" t="s">
        <v>421</v>
      </c>
      <c r="EZ172" s="231" t="s">
        <v>423</v>
      </c>
      <c r="FA172" s="233" t="s">
        <v>515</v>
      </c>
      <c r="FB172" s="233" t="s">
        <v>517</v>
      </c>
      <c r="FC172" s="233" t="s">
        <v>445</v>
      </c>
      <c r="FD172" s="233" t="s">
        <v>446</v>
      </c>
      <c r="FE172" s="233" t="s">
        <v>447</v>
      </c>
      <c r="FF172" s="233" t="s">
        <v>457</v>
      </c>
      <c r="FG172" s="233" t="s">
        <v>793</v>
      </c>
    </row>
    <row r="173" spans="2:169" x14ac:dyDescent="0.2">
      <c r="B173" s="132" t="s">
        <v>335</v>
      </c>
      <c r="C173" s="243">
        <v>208.55560337725498</v>
      </c>
      <c r="E173" s="243">
        <v>0</v>
      </c>
      <c r="G173" s="243">
        <f t="shared" si="15"/>
        <v>208.55560337725498</v>
      </c>
      <c r="I173" s="243">
        <v>0</v>
      </c>
      <c r="K173" s="247">
        <f>C173+E173-G173-I173</f>
        <v>0</v>
      </c>
      <c r="DV173" s="132" t="s">
        <v>325</v>
      </c>
      <c r="DW173" s="322" cm="1">
        <f t="array" ref="DW173:FG187">TRANSPOSE(FM84:GA119) - (DW125:FG139)</f>
        <v>1011.7674660019052</v>
      </c>
      <c r="DX173" s="322">
        <v>0</v>
      </c>
      <c r="DY173" s="322">
        <v>0</v>
      </c>
      <c r="DZ173" s="322">
        <v>30.150427560669065</v>
      </c>
      <c r="EA173" s="322">
        <v>0</v>
      </c>
      <c r="EB173" s="322">
        <v>2.0694989883749622</v>
      </c>
      <c r="EC173" s="322">
        <v>0</v>
      </c>
      <c r="ED173" s="322">
        <v>0</v>
      </c>
      <c r="EE173" s="322">
        <v>0</v>
      </c>
      <c r="EF173" s="322">
        <v>-1011.7674660019052</v>
      </c>
      <c r="EG173" s="322">
        <v>-32.219926549044033</v>
      </c>
      <c r="EH173" s="322">
        <v>0</v>
      </c>
      <c r="EI173" s="322">
        <v>0</v>
      </c>
      <c r="EJ173" s="322">
        <v>0</v>
      </c>
      <c r="EK173" s="322">
        <v>0</v>
      </c>
      <c r="EL173" s="322">
        <v>0</v>
      </c>
      <c r="EM173" s="322">
        <v>0</v>
      </c>
      <c r="EN173" s="322">
        <v>0</v>
      </c>
      <c r="EO173" s="322">
        <v>0</v>
      </c>
      <c r="EP173" s="322">
        <v>0</v>
      </c>
      <c r="EQ173" s="322">
        <v>0</v>
      </c>
      <c r="ER173" s="322">
        <v>0</v>
      </c>
      <c r="ES173" s="322">
        <v>0</v>
      </c>
      <c r="ET173" s="322">
        <v>0</v>
      </c>
      <c r="EU173" s="322">
        <v>0</v>
      </c>
      <c r="EV173" s="322">
        <v>0</v>
      </c>
      <c r="EW173" s="322">
        <v>0</v>
      </c>
      <c r="EX173" s="322">
        <v>0</v>
      </c>
      <c r="EY173" s="322">
        <v>0</v>
      </c>
      <c r="EZ173" s="322">
        <v>0</v>
      </c>
      <c r="FA173" s="322">
        <v>0</v>
      </c>
      <c r="FB173" s="322">
        <v>0</v>
      </c>
      <c r="FC173" s="322">
        <v>0</v>
      </c>
      <c r="FD173" s="322">
        <v>0</v>
      </c>
      <c r="FE173" s="322">
        <v>0</v>
      </c>
      <c r="FF173" s="322">
        <v>0</v>
      </c>
      <c r="FG173" s="321" t="e">
        <v>#N/A</v>
      </c>
      <c r="FI173" s="333" t="e">
        <f>SUM(DW173:FG173)</f>
        <v>#N/A</v>
      </c>
    </row>
    <row r="174" spans="2:169" x14ac:dyDescent="0.2">
      <c r="B174" s="132" t="s">
        <v>336</v>
      </c>
      <c r="C174" s="243">
        <v>298.6148747230165</v>
      </c>
      <c r="E174" s="243">
        <v>0</v>
      </c>
      <c r="G174" s="243">
        <f t="shared" si="15"/>
        <v>298.6148747230165</v>
      </c>
      <c r="I174" s="243">
        <v>0</v>
      </c>
      <c r="K174" s="247">
        <f>C174+E174-G174-I174</f>
        <v>0</v>
      </c>
      <c r="DV174" s="132" t="s">
        <v>326</v>
      </c>
      <c r="DW174" s="322">
        <v>0</v>
      </c>
      <c r="DX174" s="322">
        <v>208.55560337725498</v>
      </c>
      <c r="DY174" s="322">
        <v>0</v>
      </c>
      <c r="DZ174" s="322">
        <v>9.0394269236644703E-2</v>
      </c>
      <c r="EA174" s="322">
        <v>0</v>
      </c>
      <c r="EB174" s="322">
        <v>5.671161105764883E-3</v>
      </c>
      <c r="EC174" s="322">
        <v>5.1714158616864253E-4</v>
      </c>
      <c r="ED174" s="322">
        <v>0</v>
      </c>
      <c r="EE174" s="322">
        <v>0</v>
      </c>
      <c r="EF174" s="322">
        <v>0</v>
      </c>
      <c r="EG174" s="322">
        <v>0</v>
      </c>
      <c r="EH174" s="322">
        <v>-208.55560337725498</v>
      </c>
      <c r="EI174" s="322">
        <v>-9.658257192857822E-2</v>
      </c>
      <c r="EJ174" s="322">
        <v>0</v>
      </c>
      <c r="EK174" s="322">
        <v>0</v>
      </c>
      <c r="EL174" s="322">
        <v>0</v>
      </c>
      <c r="EM174" s="322">
        <v>0</v>
      </c>
      <c r="EN174" s="322">
        <v>0</v>
      </c>
      <c r="EO174" s="322">
        <v>0</v>
      </c>
      <c r="EP174" s="322">
        <v>0</v>
      </c>
      <c r="EQ174" s="322">
        <v>0</v>
      </c>
      <c r="ER174" s="322">
        <v>0</v>
      </c>
      <c r="ES174" s="322">
        <v>0</v>
      </c>
      <c r="ET174" s="322">
        <v>0</v>
      </c>
      <c r="EU174" s="322">
        <v>0</v>
      </c>
      <c r="EV174" s="322">
        <v>0</v>
      </c>
      <c r="EW174" s="322">
        <v>0</v>
      </c>
      <c r="EX174" s="322">
        <v>0</v>
      </c>
      <c r="EY174" s="322">
        <v>0</v>
      </c>
      <c r="EZ174" s="322">
        <v>0</v>
      </c>
      <c r="FA174" s="322">
        <v>0</v>
      </c>
      <c r="FB174" s="322">
        <v>0</v>
      </c>
      <c r="FC174" s="322">
        <v>0</v>
      </c>
      <c r="FD174" s="322">
        <v>0</v>
      </c>
      <c r="FE174" s="322">
        <v>0</v>
      </c>
      <c r="FF174" s="322">
        <v>0</v>
      </c>
      <c r="FG174" s="321" t="e">
        <v>#N/A</v>
      </c>
      <c r="FI174" s="333" t="e">
        <f t="shared" ref="FI174:FI187" si="16">SUM(DW174:FG174)</f>
        <v>#N/A</v>
      </c>
    </row>
    <row r="175" spans="2:169" x14ac:dyDescent="0.2">
      <c r="B175" s="132" t="s">
        <v>355</v>
      </c>
      <c r="C175" s="243">
        <v>7028.7429099762057</v>
      </c>
      <c r="E175" s="243">
        <v>0</v>
      </c>
      <c r="G175" s="243">
        <f t="shared" si="15"/>
        <v>7028.7429099762066</v>
      </c>
      <c r="I175" s="243">
        <v>0</v>
      </c>
      <c r="K175" s="247">
        <f>ROUND(C175+E175-G175-I175, 10)</f>
        <v>0</v>
      </c>
      <c r="DV175" s="132" t="s">
        <v>327</v>
      </c>
      <c r="DW175" s="322">
        <v>0</v>
      </c>
      <c r="DX175" s="322">
        <v>0</v>
      </c>
      <c r="DY175" s="322">
        <v>298.6148747230165</v>
      </c>
      <c r="DZ175" s="322">
        <v>7.4647476716394348</v>
      </c>
      <c r="EA175" s="322">
        <v>0</v>
      </c>
      <c r="EB175" s="322">
        <v>0.51237375403207552</v>
      </c>
      <c r="EC175" s="322">
        <v>0</v>
      </c>
      <c r="ED175" s="322">
        <v>0</v>
      </c>
      <c r="EE175" s="322">
        <v>0</v>
      </c>
      <c r="EF175" s="322">
        <v>0</v>
      </c>
      <c r="EG175" s="322">
        <v>0</v>
      </c>
      <c r="EH175" s="322">
        <v>0</v>
      </c>
      <c r="EI175" s="322">
        <v>0</v>
      </c>
      <c r="EJ175" s="322">
        <v>-298.6148747230165</v>
      </c>
      <c r="EK175" s="322">
        <v>-7.9771214256715108</v>
      </c>
      <c r="EL175" s="322">
        <v>0</v>
      </c>
      <c r="EM175" s="322">
        <v>0</v>
      </c>
      <c r="EN175" s="322">
        <v>0</v>
      </c>
      <c r="EO175" s="322">
        <v>0</v>
      </c>
      <c r="EP175" s="322">
        <v>0</v>
      </c>
      <c r="EQ175" s="322">
        <v>0</v>
      </c>
      <c r="ER175" s="322">
        <v>0</v>
      </c>
      <c r="ES175" s="322">
        <v>0</v>
      </c>
      <c r="ET175" s="322">
        <v>0</v>
      </c>
      <c r="EU175" s="322">
        <v>0</v>
      </c>
      <c r="EV175" s="322">
        <v>0</v>
      </c>
      <c r="EW175" s="322">
        <v>0</v>
      </c>
      <c r="EX175" s="322">
        <v>0</v>
      </c>
      <c r="EY175" s="322">
        <v>0</v>
      </c>
      <c r="EZ175" s="322">
        <v>0</v>
      </c>
      <c r="FA175" s="322">
        <v>0</v>
      </c>
      <c r="FB175" s="322">
        <v>0</v>
      </c>
      <c r="FC175" s="322">
        <v>0</v>
      </c>
      <c r="FD175" s="322">
        <v>0</v>
      </c>
      <c r="FE175" s="322">
        <v>0</v>
      </c>
      <c r="FF175" s="322">
        <v>0</v>
      </c>
      <c r="FG175" s="321" t="e">
        <v>#N/A</v>
      </c>
      <c r="FI175" s="333" t="e">
        <f t="shared" si="16"/>
        <v>#N/A</v>
      </c>
    </row>
    <row r="176" spans="2:169" x14ac:dyDescent="0.2">
      <c r="B176" s="132" t="s">
        <v>377</v>
      </c>
      <c r="C176" s="243">
        <v>286.68478984220775</v>
      </c>
      <c r="E176" s="243">
        <v>0</v>
      </c>
      <c r="G176" s="243">
        <f t="shared" si="15"/>
        <v>286.68478984220775</v>
      </c>
      <c r="I176" s="243">
        <v>0</v>
      </c>
      <c r="K176" s="247">
        <f t="shared" ref="K176:K207" si="17">C176+E176-G176-I176</f>
        <v>0</v>
      </c>
      <c r="DV176" s="132" t="s">
        <v>455</v>
      </c>
      <c r="DW176" s="322">
        <v>0</v>
      </c>
      <c r="DX176" s="322">
        <v>0</v>
      </c>
      <c r="DY176" s="322">
        <v>0</v>
      </c>
      <c r="DZ176" s="322">
        <v>0</v>
      </c>
      <c r="EA176" s="322">
        <v>0</v>
      </c>
      <c r="EB176" s="322">
        <v>0</v>
      </c>
      <c r="EC176" s="322">
        <v>0</v>
      </c>
      <c r="ED176" s="322">
        <v>0</v>
      </c>
      <c r="EE176" s="322">
        <v>0</v>
      </c>
      <c r="EF176" s="322">
        <v>1011.7674660019052</v>
      </c>
      <c r="EG176" s="322">
        <v>0</v>
      </c>
      <c r="EH176" s="322">
        <v>0</v>
      </c>
      <c r="EI176" s="322">
        <v>0</v>
      </c>
      <c r="EJ176" s="322">
        <v>0</v>
      </c>
      <c r="EK176" s="322">
        <v>0</v>
      </c>
      <c r="EL176" s="322">
        <v>-1011.7674660019052</v>
      </c>
      <c r="EM176" s="322">
        <v>0</v>
      </c>
      <c r="EN176" s="322">
        <v>0</v>
      </c>
      <c r="EO176" s="322">
        <v>0</v>
      </c>
      <c r="EP176" s="322">
        <v>0</v>
      </c>
      <c r="EQ176" s="322">
        <v>0</v>
      </c>
      <c r="ER176" s="322">
        <v>0</v>
      </c>
      <c r="ES176" s="322">
        <v>0</v>
      </c>
      <c r="ET176" s="322">
        <v>0</v>
      </c>
      <c r="EU176" s="322">
        <v>0</v>
      </c>
      <c r="EV176" s="322">
        <v>0</v>
      </c>
      <c r="EW176" s="322">
        <v>0</v>
      </c>
      <c r="EX176" s="322">
        <v>0</v>
      </c>
      <c r="EY176" s="322">
        <v>0</v>
      </c>
      <c r="EZ176" s="322">
        <v>0</v>
      </c>
      <c r="FA176" s="322">
        <v>0</v>
      </c>
      <c r="FB176" s="322">
        <v>0</v>
      </c>
      <c r="FC176" s="322">
        <v>0</v>
      </c>
      <c r="FD176" s="322">
        <v>0</v>
      </c>
      <c r="FE176" s="322">
        <v>0</v>
      </c>
      <c r="FF176" s="322">
        <v>0</v>
      </c>
      <c r="FG176" s="321" t="e">
        <v>#N/A</v>
      </c>
      <c r="FI176" s="333" t="e">
        <f t="shared" si="16"/>
        <v>#N/A</v>
      </c>
    </row>
    <row r="177" spans="2:165" x14ac:dyDescent="0.2">
      <c r="B177" s="132" t="s">
        <v>407</v>
      </c>
      <c r="C177" s="243">
        <v>2.5875439035128025</v>
      </c>
      <c r="E177" s="243">
        <v>0</v>
      </c>
      <c r="G177" s="243">
        <f t="shared" si="15"/>
        <v>2.5875439035128025</v>
      </c>
      <c r="I177" s="243">
        <v>0</v>
      </c>
      <c r="K177" s="247">
        <f t="shared" si="17"/>
        <v>0</v>
      </c>
      <c r="DV177" s="132" t="s">
        <v>435</v>
      </c>
      <c r="DW177" s="322">
        <v>0</v>
      </c>
      <c r="DX177" s="322">
        <v>0</v>
      </c>
      <c r="DY177" s="322">
        <v>0</v>
      </c>
      <c r="DZ177" s="322">
        <v>0</v>
      </c>
      <c r="EA177" s="322">
        <v>0</v>
      </c>
      <c r="EB177" s="322">
        <v>0</v>
      </c>
      <c r="EC177" s="322">
        <v>0</v>
      </c>
      <c r="ED177" s="322">
        <v>0</v>
      </c>
      <c r="EE177" s="322">
        <v>0</v>
      </c>
      <c r="EF177" s="322">
        <v>0</v>
      </c>
      <c r="EG177" s="322">
        <v>0</v>
      </c>
      <c r="EH177" s="322">
        <v>208.55560337725498</v>
      </c>
      <c r="EI177" s="322">
        <v>0</v>
      </c>
      <c r="EJ177" s="322">
        <v>0</v>
      </c>
      <c r="EK177" s="322">
        <v>0</v>
      </c>
      <c r="EL177" s="322">
        <v>0</v>
      </c>
      <c r="EM177" s="322">
        <v>-208.55560337725498</v>
      </c>
      <c r="EN177" s="322">
        <v>0</v>
      </c>
      <c r="EO177" s="322">
        <v>0</v>
      </c>
      <c r="EP177" s="322">
        <v>0</v>
      </c>
      <c r="EQ177" s="322">
        <v>0</v>
      </c>
      <c r="ER177" s="322">
        <v>0</v>
      </c>
      <c r="ES177" s="322">
        <v>0</v>
      </c>
      <c r="ET177" s="322">
        <v>0</v>
      </c>
      <c r="EU177" s="322">
        <v>0</v>
      </c>
      <c r="EV177" s="322">
        <v>0</v>
      </c>
      <c r="EW177" s="322">
        <v>0</v>
      </c>
      <c r="EX177" s="322">
        <v>0</v>
      </c>
      <c r="EY177" s="322">
        <v>0</v>
      </c>
      <c r="EZ177" s="322">
        <v>0</v>
      </c>
      <c r="FA177" s="322">
        <v>0</v>
      </c>
      <c r="FB177" s="322">
        <v>0</v>
      </c>
      <c r="FC177" s="322">
        <v>0</v>
      </c>
      <c r="FD177" s="322">
        <v>0</v>
      </c>
      <c r="FE177" s="322">
        <v>0</v>
      </c>
      <c r="FF177" s="322">
        <v>0</v>
      </c>
      <c r="FG177" s="321" t="e">
        <v>#N/A</v>
      </c>
      <c r="FI177" s="333" t="e">
        <f t="shared" si="16"/>
        <v>#N/A</v>
      </c>
    </row>
    <row r="178" spans="2:165" x14ac:dyDescent="0.2">
      <c r="B178" s="132" t="s">
        <v>408</v>
      </c>
      <c r="C178" s="243">
        <v>5.1714158616864253E-4</v>
      </c>
      <c r="E178" s="243">
        <v>0</v>
      </c>
      <c r="G178" s="243">
        <f t="shared" si="15"/>
        <v>5.1714158616864253E-4</v>
      </c>
      <c r="I178" s="243">
        <v>0</v>
      </c>
      <c r="K178" s="247">
        <f t="shared" si="17"/>
        <v>0</v>
      </c>
      <c r="DV178" s="132" t="s">
        <v>434</v>
      </c>
      <c r="DW178" s="322">
        <v>0</v>
      </c>
      <c r="DX178" s="322">
        <v>0</v>
      </c>
      <c r="DY178" s="322">
        <v>0</v>
      </c>
      <c r="DZ178" s="322">
        <v>0</v>
      </c>
      <c r="EA178" s="322">
        <v>0</v>
      </c>
      <c r="EB178" s="322">
        <v>0</v>
      </c>
      <c r="EC178" s="322">
        <v>0</v>
      </c>
      <c r="ED178" s="322">
        <v>0</v>
      </c>
      <c r="EE178" s="322">
        <v>0</v>
      </c>
      <c r="EF178" s="322">
        <v>0</v>
      </c>
      <c r="EG178" s="322">
        <v>0</v>
      </c>
      <c r="EH178" s="322">
        <v>0</v>
      </c>
      <c r="EI178" s="322">
        <v>0</v>
      </c>
      <c r="EJ178" s="322">
        <v>298.6148747230165</v>
      </c>
      <c r="EK178" s="322">
        <v>0</v>
      </c>
      <c r="EL178" s="322">
        <v>0</v>
      </c>
      <c r="EM178" s="322">
        <v>0</v>
      </c>
      <c r="EN178" s="322">
        <v>-298.6148747230165</v>
      </c>
      <c r="EO178" s="322">
        <v>0</v>
      </c>
      <c r="EP178" s="322">
        <v>0</v>
      </c>
      <c r="EQ178" s="322">
        <v>0</v>
      </c>
      <c r="ER178" s="322">
        <v>0</v>
      </c>
      <c r="ES178" s="322">
        <v>0</v>
      </c>
      <c r="ET178" s="322">
        <v>0</v>
      </c>
      <c r="EU178" s="322">
        <v>0</v>
      </c>
      <c r="EV178" s="322">
        <v>0</v>
      </c>
      <c r="EW178" s="322">
        <v>0</v>
      </c>
      <c r="EX178" s="322">
        <v>0</v>
      </c>
      <c r="EY178" s="322">
        <v>0</v>
      </c>
      <c r="EZ178" s="322">
        <v>0</v>
      </c>
      <c r="FA178" s="322">
        <v>0</v>
      </c>
      <c r="FB178" s="322">
        <v>0</v>
      </c>
      <c r="FC178" s="322">
        <v>0</v>
      </c>
      <c r="FD178" s="322">
        <v>0</v>
      </c>
      <c r="FE178" s="322">
        <v>0</v>
      </c>
      <c r="FF178" s="322">
        <v>0</v>
      </c>
      <c r="FG178" s="321" t="e">
        <v>#N/A</v>
      </c>
      <c r="FI178" s="333" t="e">
        <f t="shared" si="16"/>
        <v>#N/A</v>
      </c>
    </row>
    <row r="179" spans="2:165" x14ac:dyDescent="0.2">
      <c r="B179" s="132" t="s">
        <v>411</v>
      </c>
      <c r="C179" s="243">
        <v>4.914718171980665</v>
      </c>
      <c r="E179" s="243">
        <v>0</v>
      </c>
      <c r="G179" s="243">
        <f t="shared" si="15"/>
        <v>4.914718171980665</v>
      </c>
      <c r="I179" s="243">
        <v>0</v>
      </c>
      <c r="K179" s="247">
        <f t="shared" si="17"/>
        <v>0</v>
      </c>
      <c r="DV179" s="132" t="s">
        <v>351</v>
      </c>
      <c r="DW179" s="322">
        <v>0</v>
      </c>
      <c r="DX179" s="322">
        <v>0</v>
      </c>
      <c r="DY179" s="322">
        <v>0</v>
      </c>
      <c r="DZ179" s="322">
        <v>0</v>
      </c>
      <c r="EA179" s="322">
        <v>0</v>
      </c>
      <c r="EB179" s="322">
        <v>0</v>
      </c>
      <c r="EC179" s="322">
        <v>0</v>
      </c>
      <c r="ED179" s="322">
        <v>0</v>
      </c>
      <c r="EE179" s="322">
        <v>0</v>
      </c>
      <c r="EF179" s="322">
        <v>0</v>
      </c>
      <c r="EG179" s="322">
        <v>0</v>
      </c>
      <c r="EH179" s="322">
        <v>0</v>
      </c>
      <c r="EI179" s="322">
        <v>0</v>
      </c>
      <c r="EJ179" s="322">
        <v>0</v>
      </c>
      <c r="EK179" s="322">
        <v>0</v>
      </c>
      <c r="EL179" s="322">
        <v>1011.7674660019052</v>
      </c>
      <c r="EM179" s="322">
        <v>0</v>
      </c>
      <c r="EN179" s="322">
        <v>0</v>
      </c>
      <c r="EO179" s="322">
        <v>-1000.0000000000001</v>
      </c>
      <c r="EP179" s="322">
        <v>-11.767466001905108</v>
      </c>
      <c r="EQ179" s="322">
        <v>0</v>
      </c>
      <c r="ER179" s="322">
        <v>0</v>
      </c>
      <c r="ES179" s="322">
        <v>0</v>
      </c>
      <c r="ET179" s="322">
        <v>0</v>
      </c>
      <c r="EU179" s="322">
        <v>0</v>
      </c>
      <c r="EV179" s="322">
        <v>0</v>
      </c>
      <c r="EW179" s="322">
        <v>0</v>
      </c>
      <c r="EX179" s="322">
        <v>0</v>
      </c>
      <c r="EY179" s="322">
        <v>0</v>
      </c>
      <c r="EZ179" s="322">
        <v>0</v>
      </c>
      <c r="FA179" s="322">
        <v>0</v>
      </c>
      <c r="FB179" s="322">
        <v>0</v>
      </c>
      <c r="FC179" s="322">
        <v>0</v>
      </c>
      <c r="FD179" s="322">
        <v>0</v>
      </c>
      <c r="FE179" s="322">
        <v>0</v>
      </c>
      <c r="FF179" s="322">
        <v>0</v>
      </c>
      <c r="FG179" s="321" t="e">
        <v>#N/A</v>
      </c>
      <c r="FI179" s="333" t="e">
        <f t="shared" si="16"/>
        <v>#N/A</v>
      </c>
    </row>
    <row r="180" spans="2:165" ht="16" customHeight="1" x14ac:dyDescent="0.2">
      <c r="B180" s="132" t="s">
        <v>459</v>
      </c>
      <c r="C180" s="243">
        <v>0</v>
      </c>
      <c r="E180" s="243">
        <v>0</v>
      </c>
      <c r="G180" s="243">
        <f t="shared" si="15"/>
        <v>0</v>
      </c>
      <c r="I180" s="243">
        <v>0</v>
      </c>
      <c r="K180" s="247">
        <f t="shared" si="17"/>
        <v>0</v>
      </c>
      <c r="DV180" s="132" t="s">
        <v>348</v>
      </c>
      <c r="DW180" s="322">
        <v>0</v>
      </c>
      <c r="DX180" s="322">
        <v>0</v>
      </c>
      <c r="DY180" s="322">
        <v>0</v>
      </c>
      <c r="DZ180" s="322">
        <v>0</v>
      </c>
      <c r="EA180" s="322">
        <v>0</v>
      </c>
      <c r="EB180" s="322">
        <v>0</v>
      </c>
      <c r="EC180" s="322">
        <v>0</v>
      </c>
      <c r="ED180" s="322">
        <v>0</v>
      </c>
      <c r="EE180" s="322">
        <v>0</v>
      </c>
      <c r="EF180" s="322">
        <v>0</v>
      </c>
      <c r="EG180" s="322">
        <v>0</v>
      </c>
      <c r="EH180" s="322">
        <v>0</v>
      </c>
      <c r="EI180" s="322">
        <v>0</v>
      </c>
      <c r="EJ180" s="322">
        <v>0</v>
      </c>
      <c r="EK180" s="322">
        <v>0</v>
      </c>
      <c r="EL180" s="322">
        <v>0</v>
      </c>
      <c r="EM180" s="322">
        <v>208.55560337725498</v>
      </c>
      <c r="EN180" s="322">
        <v>0</v>
      </c>
      <c r="EO180" s="322">
        <v>0</v>
      </c>
      <c r="EP180" s="322">
        <v>0</v>
      </c>
      <c r="EQ180" s="322">
        <v>-208.55560337725498</v>
      </c>
      <c r="ER180" s="322">
        <v>0</v>
      </c>
      <c r="ES180" s="322">
        <v>0</v>
      </c>
      <c r="ET180" s="322">
        <v>0</v>
      </c>
      <c r="EU180" s="322">
        <v>0</v>
      </c>
      <c r="EV180" s="322">
        <v>0</v>
      </c>
      <c r="EW180" s="322">
        <v>0</v>
      </c>
      <c r="EX180" s="322">
        <v>0</v>
      </c>
      <c r="EY180" s="322">
        <v>0</v>
      </c>
      <c r="EZ180" s="322">
        <v>0</v>
      </c>
      <c r="FA180" s="322">
        <v>0</v>
      </c>
      <c r="FB180" s="322">
        <v>0</v>
      </c>
      <c r="FC180" s="322">
        <v>0</v>
      </c>
      <c r="FD180" s="322">
        <v>0</v>
      </c>
      <c r="FE180" s="322">
        <v>0</v>
      </c>
      <c r="FF180" s="322">
        <v>0</v>
      </c>
      <c r="FG180" s="321" t="e">
        <v>#N/A</v>
      </c>
      <c r="FI180" s="333" t="e">
        <f t="shared" si="16"/>
        <v>#N/A</v>
      </c>
    </row>
    <row r="181" spans="2:165" ht="16" x14ac:dyDescent="0.2">
      <c r="B181" s="229" t="s">
        <v>442</v>
      </c>
      <c r="C181" s="243">
        <v>0</v>
      </c>
      <c r="E181" s="243">
        <v>1011.7674660019052</v>
      </c>
      <c r="G181" s="243">
        <f t="shared" si="15"/>
        <v>1011.7674660019052</v>
      </c>
      <c r="I181" s="243">
        <v>0</v>
      </c>
      <c r="K181" s="247">
        <f t="shared" si="17"/>
        <v>0</v>
      </c>
      <c r="DV181" s="132" t="s">
        <v>362</v>
      </c>
      <c r="DW181" s="322">
        <v>0</v>
      </c>
      <c r="DX181" s="322">
        <v>0</v>
      </c>
      <c r="DY181" s="322">
        <v>0</v>
      </c>
      <c r="DZ181" s="322">
        <v>0</v>
      </c>
      <c r="EA181" s="322">
        <v>0</v>
      </c>
      <c r="EB181" s="322">
        <v>0</v>
      </c>
      <c r="EC181" s="322">
        <v>0</v>
      </c>
      <c r="ED181" s="322">
        <v>0</v>
      </c>
      <c r="EE181" s="322">
        <v>0</v>
      </c>
      <c r="EF181" s="322">
        <v>0</v>
      </c>
      <c r="EG181" s="322">
        <v>0</v>
      </c>
      <c r="EH181" s="322">
        <v>0</v>
      </c>
      <c r="EI181" s="322">
        <v>0</v>
      </c>
      <c r="EJ181" s="322">
        <v>0</v>
      </c>
      <c r="EK181" s="322">
        <v>0</v>
      </c>
      <c r="EL181" s="322">
        <v>0</v>
      </c>
      <c r="EM181" s="322">
        <v>0</v>
      </c>
      <c r="EN181" s="322">
        <v>298.6148747230165</v>
      </c>
      <c r="EO181" s="322">
        <v>0</v>
      </c>
      <c r="EP181" s="322">
        <v>0</v>
      </c>
      <c r="EQ181" s="322">
        <v>0</v>
      </c>
      <c r="ER181" s="322">
        <v>-298.6148747230165</v>
      </c>
      <c r="ES181" s="322">
        <v>0</v>
      </c>
      <c r="ET181" s="322">
        <v>0</v>
      </c>
      <c r="EU181" s="322">
        <v>0</v>
      </c>
      <c r="EV181" s="322">
        <v>0</v>
      </c>
      <c r="EW181" s="322">
        <v>0</v>
      </c>
      <c r="EX181" s="322">
        <v>0</v>
      </c>
      <c r="EY181" s="322">
        <v>0</v>
      </c>
      <c r="EZ181" s="322">
        <v>0</v>
      </c>
      <c r="FA181" s="322">
        <v>0</v>
      </c>
      <c r="FB181" s="322">
        <v>0</v>
      </c>
      <c r="FC181" s="322">
        <v>0</v>
      </c>
      <c r="FD181" s="322">
        <v>0</v>
      </c>
      <c r="FE181" s="322">
        <v>0</v>
      </c>
      <c r="FF181" s="322">
        <v>0</v>
      </c>
      <c r="FG181" s="321" t="e">
        <v>#N/A</v>
      </c>
      <c r="FI181" s="333" t="e">
        <f t="shared" si="16"/>
        <v>#N/A</v>
      </c>
    </row>
    <row r="182" spans="2:165" ht="16" customHeight="1" x14ac:dyDescent="0.2">
      <c r="B182" s="132" t="s">
        <v>409</v>
      </c>
      <c r="C182" s="243">
        <v>0</v>
      </c>
      <c r="E182" s="243">
        <v>32.219926549044033</v>
      </c>
      <c r="G182" s="243">
        <f t="shared" si="15"/>
        <v>0</v>
      </c>
      <c r="I182" s="243">
        <v>32.219926549044033</v>
      </c>
      <c r="K182" s="247">
        <f t="shared" si="17"/>
        <v>0</v>
      </c>
      <c r="DV182" s="132" t="s">
        <v>349</v>
      </c>
      <c r="DW182" s="322">
        <v>0</v>
      </c>
      <c r="DX182" s="322">
        <v>0</v>
      </c>
      <c r="DY182" s="322">
        <v>0</v>
      </c>
      <c r="DZ182" s="322">
        <v>644.2421909044931</v>
      </c>
      <c r="EA182" s="322">
        <v>37.630021206323519</v>
      </c>
      <c r="EB182" s="322">
        <v>0</v>
      </c>
      <c r="EC182" s="322">
        <v>0</v>
      </c>
      <c r="ED182" s="322">
        <v>0</v>
      </c>
      <c r="EE182" s="322">
        <v>0</v>
      </c>
      <c r="EF182" s="322">
        <v>0</v>
      </c>
      <c r="EG182" s="322">
        <v>0</v>
      </c>
      <c r="EH182" s="322">
        <v>0</v>
      </c>
      <c r="EI182" s="322">
        <v>0</v>
      </c>
      <c r="EJ182" s="322">
        <v>0</v>
      </c>
      <c r="EK182" s="322">
        <v>0</v>
      </c>
      <c r="EL182" s="322">
        <v>0</v>
      </c>
      <c r="EM182" s="322">
        <v>0</v>
      </c>
      <c r="EN182" s="322">
        <v>0</v>
      </c>
      <c r="EO182" s="322">
        <v>0</v>
      </c>
      <c r="EP182" s="322">
        <v>0</v>
      </c>
      <c r="EQ182" s="322">
        <v>208.55560337725498</v>
      </c>
      <c r="ER182" s="322">
        <v>0</v>
      </c>
      <c r="ES182" s="322">
        <v>-111.00813284002646</v>
      </c>
      <c r="ET182" s="322">
        <v>-4.9847525450981189</v>
      </c>
      <c r="EU182" s="322">
        <v>-774.43493010294708</v>
      </c>
      <c r="EV182" s="322">
        <v>0</v>
      </c>
      <c r="EW182" s="322">
        <v>0</v>
      </c>
      <c r="EX182" s="322">
        <v>0</v>
      </c>
      <c r="EY182" s="322">
        <v>0</v>
      </c>
      <c r="EZ182" s="322">
        <v>0</v>
      </c>
      <c r="FA182" s="322">
        <v>0</v>
      </c>
      <c r="FB182" s="322">
        <v>0</v>
      </c>
      <c r="FC182" s="322">
        <v>0</v>
      </c>
      <c r="FD182" s="322">
        <v>0</v>
      </c>
      <c r="FE182" s="322">
        <v>0</v>
      </c>
      <c r="FF182" s="322">
        <v>0</v>
      </c>
      <c r="FG182" s="321" t="e">
        <v>#N/A</v>
      </c>
      <c r="FI182" s="333" t="e">
        <f t="shared" si="16"/>
        <v>#N/A</v>
      </c>
    </row>
    <row r="183" spans="2:165" ht="16" x14ac:dyDescent="0.2">
      <c r="B183" s="229" t="s">
        <v>412</v>
      </c>
      <c r="C183" s="243">
        <v>0</v>
      </c>
      <c r="E183" s="243">
        <v>208.55560337725498</v>
      </c>
      <c r="G183" s="243">
        <f t="shared" si="15"/>
        <v>208.55560337725498</v>
      </c>
      <c r="I183" s="243">
        <v>0</v>
      </c>
      <c r="K183" s="247">
        <f t="shared" si="17"/>
        <v>0</v>
      </c>
      <c r="DV183" s="132" t="s">
        <v>344</v>
      </c>
      <c r="DW183" s="322">
        <v>0</v>
      </c>
      <c r="DX183" s="322">
        <v>0</v>
      </c>
      <c r="DY183" s="322">
        <v>0</v>
      </c>
      <c r="DZ183" s="322">
        <v>3494.7460959815226</v>
      </c>
      <c r="EA183" s="322">
        <v>204.127223518021</v>
      </c>
      <c r="EB183" s="322">
        <v>0</v>
      </c>
      <c r="EC183" s="322">
        <v>0</v>
      </c>
      <c r="ED183" s="322">
        <v>0</v>
      </c>
      <c r="EE183" s="322">
        <v>0</v>
      </c>
      <c r="EF183" s="322">
        <v>0</v>
      </c>
      <c r="EG183" s="322">
        <v>0</v>
      </c>
      <c r="EH183" s="322">
        <v>0</v>
      </c>
      <c r="EI183" s="322">
        <v>0</v>
      </c>
      <c r="EJ183" s="322">
        <v>0</v>
      </c>
      <c r="EK183" s="322">
        <v>0</v>
      </c>
      <c r="EL183" s="322">
        <v>0</v>
      </c>
      <c r="EM183" s="322">
        <v>0</v>
      </c>
      <c r="EN183" s="322">
        <v>0</v>
      </c>
      <c r="EO183" s="322">
        <v>0</v>
      </c>
      <c r="EP183" s="322">
        <v>0</v>
      </c>
      <c r="EQ183" s="322">
        <v>0</v>
      </c>
      <c r="ER183" s="322">
        <v>298.6148747230165</v>
      </c>
      <c r="ES183" s="322">
        <v>0</v>
      </c>
      <c r="ET183" s="322">
        <v>0</v>
      </c>
      <c r="EU183" s="322">
        <v>0</v>
      </c>
      <c r="EV183" s="322">
        <v>-203.27980063725872</v>
      </c>
      <c r="EW183" s="322">
        <v>-46.0998047134687</v>
      </c>
      <c r="EX183" s="322">
        <v>-23.982067525572877</v>
      </c>
      <c r="EY183" s="322">
        <v>-25.253201846716312</v>
      </c>
      <c r="EZ183" s="322">
        <v>-3698.8733194995434</v>
      </c>
      <c r="FA183" s="322">
        <v>0</v>
      </c>
      <c r="FB183" s="322">
        <v>0</v>
      </c>
      <c r="FC183" s="322">
        <v>0</v>
      </c>
      <c r="FD183" s="322">
        <v>0</v>
      </c>
      <c r="FE183" s="322">
        <v>0</v>
      </c>
      <c r="FF183" s="322">
        <v>0</v>
      </c>
      <c r="FG183" s="321" t="e">
        <v>#N/A</v>
      </c>
      <c r="FI183" s="333" t="e">
        <f t="shared" si="16"/>
        <v>#N/A</v>
      </c>
    </row>
    <row r="184" spans="2:165" x14ac:dyDescent="0.2">
      <c r="B184" s="132" t="s">
        <v>437</v>
      </c>
      <c r="C184" s="243">
        <v>0</v>
      </c>
      <c r="E184" s="243">
        <v>9.658257192857822E-2</v>
      </c>
      <c r="G184" s="243">
        <f t="shared" si="15"/>
        <v>0</v>
      </c>
      <c r="I184" s="243">
        <v>9.658257192857822E-2</v>
      </c>
      <c r="K184" s="247">
        <f t="shared" si="17"/>
        <v>0</v>
      </c>
      <c r="DV184" s="132" t="s">
        <v>514</v>
      </c>
      <c r="DW184" s="322">
        <v>0</v>
      </c>
      <c r="DX184" s="322">
        <v>0</v>
      </c>
      <c r="DY184" s="322">
        <v>0</v>
      </c>
      <c r="DZ184" s="322">
        <v>0</v>
      </c>
      <c r="EA184" s="322">
        <v>0</v>
      </c>
      <c r="EB184" s="322">
        <v>0</v>
      </c>
      <c r="EC184" s="322">
        <v>0</v>
      </c>
      <c r="ED184" s="322">
        <v>0</v>
      </c>
      <c r="EE184" s="322">
        <v>0</v>
      </c>
      <c r="EF184" s="322">
        <v>0</v>
      </c>
      <c r="EG184" s="322">
        <v>0</v>
      </c>
      <c r="EH184" s="322">
        <v>0</v>
      </c>
      <c r="EI184" s="322">
        <v>0</v>
      </c>
      <c r="EJ184" s="322">
        <v>0</v>
      </c>
      <c r="EK184" s="322">
        <v>0</v>
      </c>
      <c r="EL184" s="322">
        <v>0</v>
      </c>
      <c r="EM184" s="322">
        <v>0</v>
      </c>
      <c r="EN184" s="322">
        <v>0</v>
      </c>
      <c r="EO184" s="322">
        <v>0</v>
      </c>
      <c r="EP184" s="322">
        <v>0</v>
      </c>
      <c r="EQ184" s="322">
        <v>0</v>
      </c>
      <c r="ER184" s="322">
        <v>0</v>
      </c>
      <c r="ES184" s="322">
        <v>0</v>
      </c>
      <c r="ET184" s="322">
        <v>0</v>
      </c>
      <c r="EU184" s="322">
        <v>0</v>
      </c>
      <c r="EV184" s="322">
        <v>0</v>
      </c>
      <c r="EW184" s="322">
        <v>46.0998047134687</v>
      </c>
      <c r="EX184" s="322">
        <v>0</v>
      </c>
      <c r="EY184" s="322">
        <v>0</v>
      </c>
      <c r="EZ184" s="322">
        <v>0</v>
      </c>
      <c r="FA184" s="322">
        <v>-46.099804713468714</v>
      </c>
      <c r="FB184" s="322">
        <v>0</v>
      </c>
      <c r="FC184" s="322">
        <v>0</v>
      </c>
      <c r="FD184" s="322">
        <v>0</v>
      </c>
      <c r="FE184" s="322">
        <v>0</v>
      </c>
      <c r="FF184" s="322">
        <v>0</v>
      </c>
      <c r="FG184" s="321" t="e">
        <v>#N/A</v>
      </c>
      <c r="FI184" s="333" t="e">
        <f t="shared" si="16"/>
        <v>#N/A</v>
      </c>
    </row>
    <row r="185" spans="2:165" x14ac:dyDescent="0.2">
      <c r="B185" s="230" t="s">
        <v>430</v>
      </c>
      <c r="C185" s="243">
        <v>0</v>
      </c>
      <c r="D185" s="52" t="s">
        <v>371</v>
      </c>
      <c r="E185" s="243">
        <v>298.6148747230165</v>
      </c>
      <c r="F185" s="52" t="s">
        <v>373</v>
      </c>
      <c r="G185" s="243">
        <f t="shared" si="15"/>
        <v>298.6148747230165</v>
      </c>
      <c r="H185" s="52" t="s">
        <v>373</v>
      </c>
      <c r="I185" s="243">
        <v>0</v>
      </c>
      <c r="J185" s="52" t="s">
        <v>374</v>
      </c>
      <c r="K185" s="247">
        <f t="shared" si="17"/>
        <v>0</v>
      </c>
      <c r="DV185" s="132" t="s">
        <v>516</v>
      </c>
      <c r="DW185" s="322">
        <v>0</v>
      </c>
      <c r="DX185" s="322">
        <v>0</v>
      </c>
      <c r="DY185" s="322">
        <v>0</v>
      </c>
      <c r="DZ185" s="322">
        <v>0</v>
      </c>
      <c r="EA185" s="322">
        <v>0</v>
      </c>
      <c r="EB185" s="322">
        <v>0</v>
      </c>
      <c r="EC185" s="322">
        <v>0</v>
      </c>
      <c r="ED185" s="322">
        <v>0</v>
      </c>
      <c r="EE185" s="322">
        <v>0</v>
      </c>
      <c r="EF185" s="322">
        <v>0</v>
      </c>
      <c r="EG185" s="322">
        <v>0</v>
      </c>
      <c r="EH185" s="322">
        <v>0</v>
      </c>
      <c r="EI185" s="322">
        <v>0</v>
      </c>
      <c r="EJ185" s="322">
        <v>0</v>
      </c>
      <c r="EK185" s="322">
        <v>0</v>
      </c>
      <c r="EL185" s="322">
        <v>0</v>
      </c>
      <c r="EM185" s="322">
        <v>0</v>
      </c>
      <c r="EN185" s="322">
        <v>0</v>
      </c>
      <c r="EO185" s="322">
        <v>0</v>
      </c>
      <c r="EP185" s="322">
        <v>0</v>
      </c>
      <c r="EQ185" s="322">
        <v>0</v>
      </c>
      <c r="ER185" s="322">
        <v>0</v>
      </c>
      <c r="ES185" s="322">
        <v>0</v>
      </c>
      <c r="ET185" s="322">
        <v>0</v>
      </c>
      <c r="EU185" s="322">
        <v>0</v>
      </c>
      <c r="EV185" s="322">
        <v>0</v>
      </c>
      <c r="EW185" s="322">
        <v>0</v>
      </c>
      <c r="EX185" s="322">
        <v>0</v>
      </c>
      <c r="EY185" s="322">
        <v>0</v>
      </c>
      <c r="EZ185" s="322">
        <v>0</v>
      </c>
      <c r="FA185" s="322">
        <v>46.099804713468714</v>
      </c>
      <c r="FB185" s="322">
        <v>-46.099804713468714</v>
      </c>
      <c r="FC185" s="322">
        <v>0</v>
      </c>
      <c r="FD185" s="322">
        <v>0</v>
      </c>
      <c r="FE185" s="322">
        <v>0</v>
      </c>
      <c r="FF185" s="322">
        <v>0</v>
      </c>
      <c r="FG185" s="321" t="e">
        <v>#N/A</v>
      </c>
      <c r="FI185" s="333" t="e">
        <f t="shared" si="16"/>
        <v>#N/A</v>
      </c>
    </row>
    <row r="186" spans="2:165" ht="16" customHeight="1" x14ac:dyDescent="0.2">
      <c r="B186" s="132" t="s">
        <v>416</v>
      </c>
      <c r="C186" s="243">
        <v>0</v>
      </c>
      <c r="E186" s="243">
        <v>7.9771214256715108</v>
      </c>
      <c r="G186" s="243">
        <f t="shared" si="15"/>
        <v>0</v>
      </c>
      <c r="I186" s="243">
        <v>7.9771214256715108</v>
      </c>
      <c r="K186" s="247">
        <f t="shared" si="17"/>
        <v>0</v>
      </c>
      <c r="DV186" s="132" t="s">
        <v>76</v>
      </c>
      <c r="DW186" s="322">
        <v>0</v>
      </c>
      <c r="DX186" s="322">
        <v>0</v>
      </c>
      <c r="DY186" s="322">
        <v>0</v>
      </c>
      <c r="DZ186" s="322">
        <v>0</v>
      </c>
      <c r="EA186" s="322">
        <v>0</v>
      </c>
      <c r="EB186" s="322">
        <v>0</v>
      </c>
      <c r="EC186" s="322">
        <v>0</v>
      </c>
      <c r="ED186" s="322">
        <v>0</v>
      </c>
      <c r="EE186" s="322">
        <v>0</v>
      </c>
      <c r="EF186" s="322">
        <v>0</v>
      </c>
      <c r="EG186" s="322">
        <v>0</v>
      </c>
      <c r="EH186" s="322">
        <v>0</v>
      </c>
      <c r="EI186" s="322">
        <v>0</v>
      </c>
      <c r="EJ186" s="322">
        <v>0</v>
      </c>
      <c r="EK186" s="322">
        <v>0</v>
      </c>
      <c r="EL186" s="322">
        <v>0</v>
      </c>
      <c r="EM186" s="322">
        <v>0</v>
      </c>
      <c r="EN186" s="322">
        <v>0</v>
      </c>
      <c r="EO186" s="322">
        <v>1000.0000000000001</v>
      </c>
      <c r="EP186" s="322">
        <v>0</v>
      </c>
      <c r="EQ186" s="322">
        <v>0</v>
      </c>
      <c r="ER186" s="322">
        <v>0</v>
      </c>
      <c r="ES186" s="322">
        <v>111.00813284002646</v>
      </c>
      <c r="ET186" s="322">
        <v>0</v>
      </c>
      <c r="EU186" s="322">
        <v>0</v>
      </c>
      <c r="EV186" s="322">
        <v>203.27980063725872</v>
      </c>
      <c r="EW186" s="322">
        <v>0</v>
      </c>
      <c r="EX186" s="322">
        <v>0</v>
      </c>
      <c r="EY186" s="322">
        <v>0</v>
      </c>
      <c r="EZ186" s="322">
        <v>0</v>
      </c>
      <c r="FA186" s="322">
        <v>0</v>
      </c>
      <c r="FB186" s="322">
        <v>0</v>
      </c>
      <c r="FC186" s="322">
        <v>-1314.2879334772852</v>
      </c>
      <c r="FD186" s="322">
        <v>0</v>
      </c>
      <c r="FE186" s="322">
        <v>0</v>
      </c>
      <c r="FF186" s="322">
        <v>0</v>
      </c>
      <c r="FG186" s="321" t="e">
        <v>#N/A</v>
      </c>
      <c r="FI186" s="333" t="e">
        <f t="shared" si="16"/>
        <v>#N/A</v>
      </c>
    </row>
    <row r="187" spans="2:165" ht="16" customHeight="1" x14ac:dyDescent="0.2">
      <c r="B187" s="229" t="s">
        <v>441</v>
      </c>
      <c r="C187" s="243">
        <v>0</v>
      </c>
      <c r="E187" s="243">
        <v>1011.7674660019052</v>
      </c>
      <c r="G187" s="243">
        <f t="shared" si="15"/>
        <v>1011.7674660019052</v>
      </c>
      <c r="I187" s="243">
        <v>0</v>
      </c>
      <c r="K187" s="247">
        <f t="shared" si="17"/>
        <v>0</v>
      </c>
      <c r="DV187" s="132" t="s">
        <v>337</v>
      </c>
      <c r="DW187" s="322">
        <v>0</v>
      </c>
      <c r="DX187" s="322">
        <v>0</v>
      </c>
      <c r="DY187" s="322">
        <v>0</v>
      </c>
      <c r="DZ187" s="322">
        <v>2852.0490535886452</v>
      </c>
      <c r="EA187" s="322">
        <v>44.927545117863247</v>
      </c>
      <c r="EB187" s="322">
        <v>0</v>
      </c>
      <c r="EC187" s="322">
        <v>0</v>
      </c>
      <c r="ED187" s="322">
        <v>4.914718171980665</v>
      </c>
      <c r="EE187" s="322">
        <v>0</v>
      </c>
      <c r="EF187" s="322">
        <v>0</v>
      </c>
      <c r="EG187" s="322">
        <v>0</v>
      </c>
      <c r="EH187" s="322">
        <v>0</v>
      </c>
      <c r="EI187" s="322">
        <v>0</v>
      </c>
      <c r="EJ187" s="322">
        <v>0</v>
      </c>
      <c r="EK187" s="322">
        <v>0</v>
      </c>
      <c r="EL187" s="322">
        <v>0</v>
      </c>
      <c r="EM187" s="322">
        <v>0</v>
      </c>
      <c r="EN187" s="322">
        <v>0</v>
      </c>
      <c r="EO187" s="322">
        <v>0</v>
      </c>
      <c r="EP187" s="322">
        <v>0</v>
      </c>
      <c r="EQ187" s="322">
        <v>0</v>
      </c>
      <c r="ER187" s="322">
        <v>0</v>
      </c>
      <c r="ES187" s="322">
        <v>0</v>
      </c>
      <c r="ET187" s="322">
        <v>0</v>
      </c>
      <c r="EU187" s="322">
        <v>0</v>
      </c>
      <c r="EV187" s="322">
        <v>0</v>
      </c>
      <c r="EW187" s="322">
        <v>0</v>
      </c>
      <c r="EX187" s="322">
        <v>0</v>
      </c>
      <c r="EY187" s="322">
        <v>0</v>
      </c>
      <c r="EZ187" s="322">
        <v>0</v>
      </c>
      <c r="FA187" s="322">
        <v>0</v>
      </c>
      <c r="FB187" s="322">
        <v>32.269863299428096</v>
      </c>
      <c r="FC187" s="322">
        <v>1314.2879334772852</v>
      </c>
      <c r="FD187" s="322">
        <v>-616.23583583508366</v>
      </c>
      <c r="FE187" s="322">
        <v>-3402.2651449800928</v>
      </c>
      <c r="FF187" s="322">
        <v>-229.94813284002646</v>
      </c>
      <c r="FG187" s="321" t="e">
        <v>#N/A</v>
      </c>
      <c r="FI187" s="333" t="e">
        <f t="shared" si="16"/>
        <v>#N/A</v>
      </c>
    </row>
    <row r="188" spans="2:165" ht="16" customHeight="1" x14ac:dyDescent="0.2">
      <c r="B188" s="229" t="s">
        <v>436</v>
      </c>
      <c r="C188" s="243">
        <v>0</v>
      </c>
      <c r="E188" s="243">
        <v>208.55560337725498</v>
      </c>
      <c r="G188" s="243">
        <f t="shared" si="15"/>
        <v>208.55560337725498</v>
      </c>
      <c r="I188" s="243">
        <v>0</v>
      </c>
      <c r="K188" s="247">
        <f t="shared" si="17"/>
        <v>0</v>
      </c>
      <c r="DW188" s="382" t="s">
        <v>794</v>
      </c>
      <c r="DX188" s="382"/>
      <c r="DY188" s="382"/>
      <c r="DZ188" s="382"/>
      <c r="EA188" s="382"/>
      <c r="EB188" s="382"/>
      <c r="EC188" s="382"/>
      <c r="ED188" s="382"/>
      <c r="EE188" s="382"/>
      <c r="EF188" s="382"/>
      <c r="EG188" s="382"/>
      <c r="EH188" s="382"/>
      <c r="EI188" s="382"/>
      <c r="EJ188" s="382"/>
      <c r="EK188" s="382"/>
      <c r="EL188" s="382"/>
      <c r="EM188" s="382"/>
      <c r="EN188" s="382"/>
      <c r="EO188" s="382"/>
      <c r="EP188" s="382"/>
      <c r="EQ188" s="382"/>
      <c r="ER188" s="382"/>
      <c r="ES188" s="382"/>
      <c r="ET188" s="382"/>
      <c r="EU188" s="382"/>
      <c r="EV188" s="382"/>
      <c r="EW188" s="382"/>
      <c r="EX188" s="382"/>
      <c r="EY188" s="382"/>
      <c r="EZ188" s="382"/>
      <c r="FA188" s="382"/>
      <c r="FB188" s="382"/>
      <c r="FC188" s="382"/>
      <c r="FD188" s="382"/>
      <c r="FE188" s="382"/>
      <c r="FF188" s="382"/>
      <c r="FI188" s="249" t="s">
        <v>795</v>
      </c>
    </row>
    <row r="189" spans="2:165" ht="16" customHeight="1" x14ac:dyDescent="0.2">
      <c r="B189" s="229" t="s">
        <v>433</v>
      </c>
      <c r="C189" s="243">
        <v>0</v>
      </c>
      <c r="E189" s="243">
        <v>298.6148747230165</v>
      </c>
      <c r="G189" s="243">
        <f t="shared" si="15"/>
        <v>298.6148747230165</v>
      </c>
      <c r="I189" s="243">
        <v>0</v>
      </c>
      <c r="K189" s="247">
        <f t="shared" si="17"/>
        <v>0</v>
      </c>
      <c r="DW189" s="383" t="s">
        <v>796</v>
      </c>
      <c r="DX189" s="383"/>
      <c r="DY189" s="383"/>
      <c r="DZ189" s="383"/>
      <c r="EA189" s="383"/>
      <c r="EB189" s="383"/>
      <c r="EC189" s="383"/>
      <c r="ED189" s="383"/>
      <c r="EE189" s="383"/>
      <c r="EF189" s="383"/>
      <c r="EG189" s="383"/>
      <c r="EH189" s="383"/>
      <c r="EI189" s="383"/>
      <c r="EJ189" s="383"/>
      <c r="EK189" s="383"/>
      <c r="EL189" s="383"/>
      <c r="EM189" s="383"/>
      <c r="EN189" s="383"/>
      <c r="EO189" s="383"/>
      <c r="EP189" s="383"/>
      <c r="EQ189" s="383"/>
      <c r="ER189" s="383"/>
      <c r="ES189" s="383"/>
      <c r="ET189" s="383"/>
      <c r="EU189" s="383"/>
      <c r="EV189" s="383"/>
      <c r="EW189" s="383"/>
      <c r="EX189" s="383"/>
      <c r="EY189" s="383"/>
      <c r="EZ189" s="383"/>
      <c r="FA189" s="383"/>
      <c r="FB189" s="383"/>
      <c r="FC189" s="383"/>
      <c r="FD189" s="383"/>
      <c r="FE189" s="383"/>
      <c r="FF189" s="383"/>
      <c r="FI189" s="304" t="s">
        <v>793</v>
      </c>
    </row>
    <row r="190" spans="2:165" ht="16" x14ac:dyDescent="0.2">
      <c r="B190" s="229" t="s">
        <v>439</v>
      </c>
      <c r="C190" s="243">
        <v>0</v>
      </c>
      <c r="E190" s="243">
        <v>1000.0000000000001</v>
      </c>
      <c r="G190" s="243">
        <f t="shared" si="15"/>
        <v>1000.0000000000001</v>
      </c>
      <c r="I190" s="243">
        <v>0</v>
      </c>
      <c r="K190" s="247">
        <f t="shared" si="17"/>
        <v>0</v>
      </c>
    </row>
    <row r="191" spans="2:165" x14ac:dyDescent="0.2">
      <c r="B191" s="230" t="s">
        <v>438</v>
      </c>
      <c r="C191" s="243">
        <v>0</v>
      </c>
      <c r="E191" s="243">
        <v>11.767466001905108</v>
      </c>
      <c r="G191" s="243">
        <f t="shared" si="15"/>
        <v>0</v>
      </c>
      <c r="I191" s="243">
        <v>11.767466001905108</v>
      </c>
      <c r="K191" s="247">
        <f t="shared" si="17"/>
        <v>0</v>
      </c>
    </row>
    <row r="192" spans="2:165" x14ac:dyDescent="0.2">
      <c r="B192" s="230" t="s">
        <v>424</v>
      </c>
      <c r="C192" s="243">
        <v>0</v>
      </c>
      <c r="E192" s="243">
        <v>208.55560337725498</v>
      </c>
      <c r="G192" s="243">
        <f t="shared" si="15"/>
        <v>208.55560337725498</v>
      </c>
      <c r="I192" s="243">
        <v>0</v>
      </c>
      <c r="K192" s="247">
        <f t="shared" si="17"/>
        <v>0</v>
      </c>
      <c r="N192" s="52"/>
      <c r="P192" s="52"/>
      <c r="Q192" s="52"/>
      <c r="R192" s="52"/>
    </row>
    <row r="193" spans="2:19" x14ac:dyDescent="0.2">
      <c r="B193" s="230" t="s">
        <v>456</v>
      </c>
      <c r="C193" s="243">
        <v>0</v>
      </c>
      <c r="E193" s="243">
        <v>298.6148747230165</v>
      </c>
      <c r="G193" s="243">
        <f t="shared" si="15"/>
        <v>298.6148747230165</v>
      </c>
      <c r="I193" s="243">
        <v>0</v>
      </c>
      <c r="K193" s="247">
        <f t="shared" si="17"/>
        <v>0</v>
      </c>
      <c r="N193" s="52"/>
      <c r="P193" s="52"/>
      <c r="Q193" s="52"/>
      <c r="R193" s="52"/>
    </row>
    <row r="194" spans="2:19" x14ac:dyDescent="0.2">
      <c r="B194" s="230" t="s">
        <v>425</v>
      </c>
      <c r="C194" s="243">
        <v>0</v>
      </c>
      <c r="E194" s="243">
        <v>111.00813284002646</v>
      </c>
      <c r="G194" s="243">
        <f t="shared" si="15"/>
        <v>111.00813284002646</v>
      </c>
      <c r="I194" s="243">
        <v>0</v>
      </c>
      <c r="K194" s="247">
        <f t="shared" si="17"/>
        <v>0</v>
      </c>
      <c r="N194" s="52"/>
      <c r="P194" s="52"/>
      <c r="Q194" s="52"/>
      <c r="R194" s="52"/>
    </row>
    <row r="195" spans="2:19" x14ac:dyDescent="0.2">
      <c r="B195" s="230" t="s">
        <v>427</v>
      </c>
      <c r="C195" s="243">
        <v>0</v>
      </c>
      <c r="E195" s="243">
        <v>4.9847525450981189</v>
      </c>
      <c r="G195" s="243">
        <f t="shared" si="15"/>
        <v>0</v>
      </c>
      <c r="I195" s="243">
        <v>4.9847525450981189</v>
      </c>
      <c r="K195" s="247">
        <f t="shared" si="17"/>
        <v>0</v>
      </c>
      <c r="N195" s="52"/>
      <c r="P195" s="52"/>
      <c r="Q195" s="52"/>
      <c r="R195" s="52"/>
    </row>
    <row r="196" spans="2:19" x14ac:dyDescent="0.2">
      <c r="B196" s="230" t="s">
        <v>426</v>
      </c>
      <c r="C196" s="243">
        <v>0</v>
      </c>
      <c r="E196" s="243">
        <v>774.43493010294708</v>
      </c>
      <c r="G196" s="243">
        <f t="shared" si="15"/>
        <v>0</v>
      </c>
      <c r="I196" s="243">
        <v>774.43493010294708</v>
      </c>
      <c r="K196" s="247">
        <f t="shared" si="17"/>
        <v>0</v>
      </c>
      <c r="N196" s="52"/>
      <c r="P196" s="52"/>
      <c r="Q196" s="52"/>
      <c r="R196" s="52"/>
    </row>
    <row r="197" spans="2:19" ht="16" customHeight="1" x14ac:dyDescent="0.2">
      <c r="B197" s="230" t="s">
        <v>484</v>
      </c>
      <c r="C197" s="243">
        <v>0</v>
      </c>
      <c r="E197" s="243">
        <v>203.27980063725872</v>
      </c>
      <c r="G197" s="243">
        <f t="shared" si="15"/>
        <v>203.27980063725872</v>
      </c>
      <c r="I197" s="243">
        <v>0</v>
      </c>
      <c r="K197" s="247">
        <f t="shared" si="17"/>
        <v>0</v>
      </c>
    </row>
    <row r="198" spans="2:19" ht="16" customHeight="1" x14ac:dyDescent="0.2">
      <c r="B198" s="244" t="s">
        <v>422</v>
      </c>
      <c r="C198" s="243">
        <v>0</v>
      </c>
      <c r="E198" s="243">
        <v>46.0998047134687</v>
      </c>
      <c r="G198" s="243">
        <f t="shared" si="15"/>
        <v>46.0998047134687</v>
      </c>
      <c r="I198" s="243">
        <v>0</v>
      </c>
      <c r="K198" s="247">
        <f t="shared" si="17"/>
        <v>0</v>
      </c>
    </row>
    <row r="199" spans="2:19" ht="16" x14ac:dyDescent="0.2">
      <c r="B199" s="244" t="s">
        <v>552</v>
      </c>
      <c r="C199" s="243">
        <v>0</v>
      </c>
      <c r="E199" s="243">
        <v>23.982067525572877</v>
      </c>
      <c r="G199" s="243">
        <f t="shared" si="15"/>
        <v>0</v>
      </c>
      <c r="I199" s="243">
        <v>23.982067525572877</v>
      </c>
      <c r="K199" s="247">
        <f t="shared" si="17"/>
        <v>0</v>
      </c>
    </row>
    <row r="200" spans="2:19" x14ac:dyDescent="0.2">
      <c r="B200" s="230" t="s">
        <v>421</v>
      </c>
      <c r="C200" s="243">
        <v>0</v>
      </c>
      <c r="E200" s="243">
        <v>25.253201846716312</v>
      </c>
      <c r="G200" s="243">
        <f t="shared" si="15"/>
        <v>0</v>
      </c>
      <c r="I200" s="243">
        <v>25.253201846716312</v>
      </c>
      <c r="K200" s="247">
        <f t="shared" si="17"/>
        <v>0</v>
      </c>
      <c r="L200" s="52"/>
    </row>
    <row r="201" spans="2:19" x14ac:dyDescent="0.2">
      <c r="B201" s="132" t="s">
        <v>423</v>
      </c>
      <c r="C201" s="243">
        <v>0</v>
      </c>
      <c r="E201" s="243">
        <v>3698.8733194995434</v>
      </c>
      <c r="G201" s="243">
        <f t="shared" si="15"/>
        <v>0</v>
      </c>
      <c r="I201" s="243">
        <v>3698.8733194995434</v>
      </c>
      <c r="K201" s="247">
        <f t="shared" si="17"/>
        <v>0</v>
      </c>
    </row>
    <row r="202" spans="2:19" x14ac:dyDescent="0.2">
      <c r="B202" s="230" t="s">
        <v>515</v>
      </c>
      <c r="C202" s="243">
        <v>0</v>
      </c>
      <c r="E202" s="243">
        <v>46.099804713468714</v>
      </c>
      <c r="G202" s="243">
        <f t="shared" si="15"/>
        <v>46.099804713468714</v>
      </c>
      <c r="I202" s="243">
        <v>0</v>
      </c>
      <c r="K202" s="247">
        <f t="shared" si="17"/>
        <v>0</v>
      </c>
    </row>
    <row r="203" spans="2:19" x14ac:dyDescent="0.2">
      <c r="B203" s="230" t="s">
        <v>517</v>
      </c>
      <c r="C203" s="243">
        <v>0</v>
      </c>
      <c r="E203" s="243">
        <v>46.099804713468714</v>
      </c>
      <c r="G203" s="243">
        <f t="shared" si="15"/>
        <v>32.269863299428096</v>
      </c>
      <c r="I203" s="243">
        <v>13.829941414040613</v>
      </c>
      <c r="K203" s="247">
        <f t="shared" si="17"/>
        <v>0</v>
      </c>
    </row>
    <row r="204" spans="2:19" x14ac:dyDescent="0.2">
      <c r="B204" s="230" t="s">
        <v>445</v>
      </c>
      <c r="C204" s="243">
        <v>0</v>
      </c>
      <c r="E204" s="243">
        <v>1314.2879334772852</v>
      </c>
      <c r="G204" s="243">
        <f t="shared" si="15"/>
        <v>1314.2879334772852</v>
      </c>
      <c r="I204" s="243">
        <v>0</v>
      </c>
      <c r="K204" s="247">
        <f t="shared" si="17"/>
        <v>0</v>
      </c>
      <c r="P204" s="238"/>
      <c r="Q204" s="238"/>
      <c r="R204" s="238"/>
      <c r="S204" s="238"/>
    </row>
    <row r="205" spans="2:19" x14ac:dyDescent="0.2">
      <c r="B205" s="230" t="s">
        <v>446</v>
      </c>
      <c r="C205" s="243">
        <v>0</v>
      </c>
      <c r="E205" s="243">
        <v>616.23583583508366</v>
      </c>
      <c r="G205" s="243">
        <f t="shared" si="15"/>
        <v>0</v>
      </c>
      <c r="I205" s="243">
        <v>616.23583583508366</v>
      </c>
      <c r="K205" s="247">
        <f t="shared" si="17"/>
        <v>0</v>
      </c>
    </row>
    <row r="206" spans="2:19" x14ac:dyDescent="0.2">
      <c r="B206" s="230" t="s">
        <v>447</v>
      </c>
      <c r="C206" s="243">
        <v>0</v>
      </c>
      <c r="E206" s="243">
        <v>3402.2651449800928</v>
      </c>
      <c r="G206" s="243">
        <f t="shared" si="15"/>
        <v>0</v>
      </c>
      <c r="I206" s="243">
        <v>3402.2651449800928</v>
      </c>
      <c r="K206" s="247">
        <f t="shared" si="17"/>
        <v>0</v>
      </c>
    </row>
    <row r="207" spans="2:19" ht="17" customHeight="1" x14ac:dyDescent="0.2">
      <c r="B207" s="230" t="s">
        <v>457</v>
      </c>
      <c r="C207" s="243">
        <v>0</v>
      </c>
      <c r="E207" s="243">
        <v>229.94813284002646</v>
      </c>
      <c r="G207" s="243">
        <f t="shared" si="15"/>
        <v>0</v>
      </c>
      <c r="I207" s="243">
        <v>229.94813284002646</v>
      </c>
      <c r="K207" s="247">
        <f t="shared" si="17"/>
        <v>0</v>
      </c>
    </row>
    <row r="208" spans="2:19" ht="17" x14ac:dyDescent="0.2">
      <c r="B208" s="230"/>
      <c r="C208" s="14" t="s">
        <v>370</v>
      </c>
      <c r="E208" s="14" t="s">
        <v>372</v>
      </c>
      <c r="G208" s="52" t="s">
        <v>369</v>
      </c>
      <c r="I208" s="52" t="s">
        <v>38</v>
      </c>
      <c r="K208" s="52">
        <f>SUM(K172:K207)</f>
        <v>0</v>
      </c>
    </row>
    <row r="209" spans="2:15" x14ac:dyDescent="0.2">
      <c r="B209" s="230"/>
      <c r="G209" s="52"/>
      <c r="I209" s="52"/>
    </row>
    <row r="210" spans="2:15" x14ac:dyDescent="0.2">
      <c r="B210" s="230"/>
    </row>
    <row r="211" spans="2:15" x14ac:dyDescent="0.2">
      <c r="C211" s="379" t="s">
        <v>375</v>
      </c>
      <c r="D211" s="379"/>
      <c r="E211" s="379"/>
      <c r="F211" s="379"/>
      <c r="G211" s="379"/>
      <c r="L211" s="238"/>
      <c r="M211" s="238"/>
    </row>
    <row r="214" spans="2:15" x14ac:dyDescent="0.2">
      <c r="B214" s="132" t="s">
        <v>325</v>
      </c>
      <c r="C214" s="243">
        <f t="array" ref="C214:C228">TRANSPOSE((AS121:BG121))</f>
        <v>1043.9873925509492</v>
      </c>
      <c r="E214" s="243">
        <f t="shared" ref="E214:E228" si="18">AN125</f>
        <v>1043.9873925509492</v>
      </c>
      <c r="G214" s="247">
        <f>C214-E214</f>
        <v>0</v>
      </c>
    </row>
    <row r="215" spans="2:15" x14ac:dyDescent="0.2">
      <c r="B215" s="132" t="s">
        <v>326</v>
      </c>
      <c r="C215" s="243">
        <v>208.65218594918355</v>
      </c>
      <c r="E215" s="243">
        <f t="shared" si="18"/>
        <v>208.65218594918355</v>
      </c>
      <c r="G215" s="247">
        <f t="shared" ref="G215:G228" si="19">C215-E215</f>
        <v>0</v>
      </c>
      <c r="N215" s="238"/>
      <c r="O215" s="238"/>
    </row>
    <row r="216" spans="2:15" x14ac:dyDescent="0.2">
      <c r="B216" s="132" t="s">
        <v>327</v>
      </c>
      <c r="C216" s="243">
        <v>306.591996148688</v>
      </c>
      <c r="E216" s="243">
        <f t="shared" si="18"/>
        <v>306.591996148688</v>
      </c>
      <c r="G216" s="247">
        <f t="shared" si="19"/>
        <v>0</v>
      </c>
    </row>
    <row r="217" spans="2:15" x14ac:dyDescent="0.2">
      <c r="B217" s="132" t="s">
        <v>455</v>
      </c>
      <c r="C217" s="243">
        <v>1011.7674660019052</v>
      </c>
      <c r="D217" s="14"/>
      <c r="E217" s="243">
        <f t="shared" si="18"/>
        <v>1011.7674660019052</v>
      </c>
      <c r="F217" s="14"/>
      <c r="G217" s="247">
        <f t="shared" si="19"/>
        <v>0</v>
      </c>
    </row>
    <row r="218" spans="2:15" x14ac:dyDescent="0.2">
      <c r="B218" s="132" t="s">
        <v>435</v>
      </c>
      <c r="C218" s="243">
        <v>208.55560337725498</v>
      </c>
      <c r="E218" s="243">
        <f t="shared" si="18"/>
        <v>208.55560337725498</v>
      </c>
      <c r="G218" s="247">
        <f t="shared" si="19"/>
        <v>0</v>
      </c>
      <c r="H218" s="238"/>
      <c r="I218" s="238"/>
      <c r="J218" s="238"/>
      <c r="K218" s="238"/>
    </row>
    <row r="219" spans="2:15" x14ac:dyDescent="0.2">
      <c r="B219" s="132" t="s">
        <v>434</v>
      </c>
      <c r="C219" s="243">
        <v>298.6148747230165</v>
      </c>
      <c r="E219" s="243">
        <f t="shared" si="18"/>
        <v>298.6148747230165</v>
      </c>
      <c r="G219" s="247">
        <f t="shared" si="19"/>
        <v>0</v>
      </c>
    </row>
    <row r="220" spans="2:15" x14ac:dyDescent="0.2">
      <c r="B220" s="132" t="s">
        <v>351</v>
      </c>
      <c r="C220" s="243">
        <v>1011.7674660019052</v>
      </c>
      <c r="E220" s="243">
        <f t="shared" si="18"/>
        <v>1011.7674660019052</v>
      </c>
      <c r="G220" s="247">
        <f t="shared" si="19"/>
        <v>0</v>
      </c>
    </row>
    <row r="221" spans="2:15" x14ac:dyDescent="0.2">
      <c r="B221" s="132" t="s">
        <v>348</v>
      </c>
      <c r="C221" s="243">
        <v>208.55560337725498</v>
      </c>
      <c r="D221" s="52" t="s">
        <v>378</v>
      </c>
      <c r="E221" s="243">
        <f t="shared" si="18"/>
        <v>208.55560337725498</v>
      </c>
      <c r="F221" s="52" t="s">
        <v>374</v>
      </c>
      <c r="G221" s="247">
        <f t="shared" si="19"/>
        <v>0</v>
      </c>
    </row>
    <row r="222" spans="2:15" x14ac:dyDescent="0.2">
      <c r="B222" s="132" t="s">
        <v>362</v>
      </c>
      <c r="C222" s="243">
        <v>298.6148747230165</v>
      </c>
      <c r="E222" s="243">
        <f t="shared" si="18"/>
        <v>298.6148747230165</v>
      </c>
      <c r="G222" s="247">
        <f t="shared" si="19"/>
        <v>0</v>
      </c>
    </row>
    <row r="223" spans="2:15" x14ac:dyDescent="0.2">
      <c r="B223" s="132" t="s">
        <v>349</v>
      </c>
      <c r="C223" s="243">
        <v>890.42781548807159</v>
      </c>
      <c r="E223" s="243">
        <f t="shared" si="18"/>
        <v>890.4278154880717</v>
      </c>
      <c r="G223" s="247">
        <f t="shared" si="19"/>
        <v>0</v>
      </c>
    </row>
    <row r="224" spans="2:15" x14ac:dyDescent="0.2">
      <c r="B224" s="132" t="s">
        <v>344</v>
      </c>
      <c r="C224" s="243">
        <v>3997.4881942225597</v>
      </c>
      <c r="E224" s="243">
        <f t="shared" si="18"/>
        <v>3997.4881942225602</v>
      </c>
      <c r="G224" s="247">
        <f t="shared" si="19"/>
        <v>0</v>
      </c>
    </row>
    <row r="225" spans="2:11" x14ac:dyDescent="0.2">
      <c r="B225" s="132" t="s">
        <v>514</v>
      </c>
      <c r="C225" s="243">
        <v>46.0998047134687</v>
      </c>
      <c r="E225" s="243">
        <f t="shared" si="18"/>
        <v>46.099804713468714</v>
      </c>
      <c r="G225" s="247">
        <f t="shared" si="19"/>
        <v>0</v>
      </c>
    </row>
    <row r="226" spans="2:11" x14ac:dyDescent="0.2">
      <c r="B226" s="132" t="s">
        <v>516</v>
      </c>
      <c r="C226" s="243">
        <v>46.099804713468714</v>
      </c>
      <c r="E226" s="243">
        <f t="shared" si="18"/>
        <v>46.099804713468714</v>
      </c>
      <c r="G226" s="247">
        <f t="shared" si="19"/>
        <v>0</v>
      </c>
    </row>
    <row r="227" spans="2:11" x14ac:dyDescent="0.2">
      <c r="B227" s="132" t="s">
        <v>76</v>
      </c>
      <c r="C227" s="243">
        <v>1314.2879334772852</v>
      </c>
      <c r="E227" s="243">
        <f t="shared" si="18"/>
        <v>1314.2879334772852</v>
      </c>
      <c r="G227" s="247">
        <f t="shared" si="19"/>
        <v>0</v>
      </c>
    </row>
    <row r="228" spans="2:11" x14ac:dyDescent="0.2">
      <c r="B228" s="132" t="s">
        <v>337</v>
      </c>
      <c r="C228" s="243">
        <v>4248.4491136552024</v>
      </c>
      <c r="D228" s="52"/>
      <c r="E228" s="243">
        <f t="shared" si="18"/>
        <v>4248.4491136552024</v>
      </c>
      <c r="G228" s="247">
        <f t="shared" si="19"/>
        <v>0</v>
      </c>
    </row>
    <row r="229" spans="2:11" x14ac:dyDescent="0.2">
      <c r="B229" s="230"/>
      <c r="C229" s="52" t="s">
        <v>368</v>
      </c>
      <c r="D229" s="52"/>
      <c r="E229" s="52" t="s">
        <v>365</v>
      </c>
      <c r="F229" s="52"/>
      <c r="G229" s="52">
        <v>0</v>
      </c>
    </row>
    <row r="230" spans="2:11" x14ac:dyDescent="0.2">
      <c r="B230" s="230"/>
    </row>
    <row r="231" spans="2:11" x14ac:dyDescent="0.2">
      <c r="B231" s="230"/>
    </row>
    <row r="236" spans="2:11" x14ac:dyDescent="0.2">
      <c r="H236" s="52"/>
      <c r="I236" s="52"/>
      <c r="J236" s="52"/>
      <c r="K236" s="52"/>
    </row>
  </sheetData>
  <mergeCells count="31">
    <mergeCell ref="GG121:GH121"/>
    <mergeCell ref="FM122:GA122"/>
    <mergeCell ref="DW123:DX123"/>
    <mergeCell ref="DW140:FF140"/>
    <mergeCell ref="DW142:FF142"/>
    <mergeCell ref="DU1:GL1"/>
    <mergeCell ref="FA40:FO40"/>
    <mergeCell ref="FU40:GH40"/>
    <mergeCell ref="FA80:FO80"/>
    <mergeCell ref="FM120:GA120"/>
    <mergeCell ref="BM120:BN120"/>
    <mergeCell ref="DW163:FF163"/>
    <mergeCell ref="DW165:FF165"/>
    <mergeCell ref="DW188:FF188"/>
    <mergeCell ref="DW189:FF189"/>
    <mergeCell ref="AS122:BG122"/>
    <mergeCell ref="C211:G211"/>
    <mergeCell ref="A1:BZ1"/>
    <mergeCell ref="CF99:DO99"/>
    <mergeCell ref="CF100:DO100"/>
    <mergeCell ref="CE1:DR1"/>
    <mergeCell ref="C123:D123"/>
    <mergeCell ref="C140:AL140"/>
    <mergeCell ref="C142:AL142"/>
    <mergeCell ref="C163:AL163"/>
    <mergeCell ref="C165:AL165"/>
    <mergeCell ref="C169:K169"/>
    <mergeCell ref="AS39:BG39"/>
    <mergeCell ref="BM39:BZ39"/>
    <mergeCell ref="AS79:BG79"/>
    <mergeCell ref="AS120:BG120"/>
  </mergeCells>
  <pageMargins left="0.7" right="0.7" top="0.75" bottom="0.75" header="0.3" footer="0.3"/>
  <pageSetup paperSize="9" orientation="portrait" horizontalDpi="300" verticalDpi="300"/>
  <ignoredErrors>
    <ignoredError sqref="DP84" evalError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opLeftCell="A118" zoomScale="88" workbookViewId="0">
      <selection activeCell="P148" sqref="P148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1" t="s">
        <v>478</v>
      </c>
      <c r="AQ1" s="245"/>
      <c r="AR1" s="231" t="s">
        <v>325</v>
      </c>
      <c r="AS1" s="231" t="s">
        <v>326</v>
      </c>
      <c r="AT1" s="231" t="s">
        <v>327</v>
      </c>
      <c r="AU1" s="231" t="s">
        <v>455</v>
      </c>
      <c r="AV1" s="231" t="s">
        <v>435</v>
      </c>
      <c r="AW1" s="231" t="s">
        <v>434</v>
      </c>
      <c r="AX1" s="231" t="s">
        <v>351</v>
      </c>
      <c r="AY1" s="231" t="s">
        <v>348</v>
      </c>
      <c r="AZ1" s="231" t="s">
        <v>362</v>
      </c>
      <c r="BA1" s="231" t="s">
        <v>349</v>
      </c>
      <c r="BB1" s="231" t="s">
        <v>344</v>
      </c>
      <c r="BC1" s="231" t="s">
        <v>360</v>
      </c>
      <c r="BD1" s="231" t="s">
        <v>516</v>
      </c>
      <c r="BE1" s="231" t="s">
        <v>76</v>
      </c>
      <c r="BF1" s="231" t="s">
        <v>337</v>
      </c>
      <c r="BK1" s="245"/>
      <c r="BL1" s="231" t="s">
        <v>325</v>
      </c>
      <c r="BM1" s="231" t="s">
        <v>326</v>
      </c>
      <c r="BN1" s="231" t="s">
        <v>327</v>
      </c>
      <c r="BO1" s="231" t="s">
        <v>455</v>
      </c>
      <c r="BP1" s="231" t="s">
        <v>435</v>
      </c>
      <c r="BQ1" s="231" t="s">
        <v>434</v>
      </c>
      <c r="BR1" s="231" t="s">
        <v>351</v>
      </c>
      <c r="BS1" s="231" t="s">
        <v>348</v>
      </c>
      <c r="BT1" s="231" t="s">
        <v>362</v>
      </c>
      <c r="BU1" s="231" t="s">
        <v>349</v>
      </c>
      <c r="BV1" s="231" t="s">
        <v>344</v>
      </c>
      <c r="BW1" s="231" t="s">
        <v>516</v>
      </c>
      <c r="BX1" s="231" t="s">
        <v>76</v>
      </c>
      <c r="BY1" s="231" t="s">
        <v>337</v>
      </c>
    </row>
    <row r="2" spans="2:77" x14ac:dyDescent="0.2">
      <c r="B2" s="132" t="s">
        <v>333</v>
      </c>
      <c r="C2" s="246">
        <v>1</v>
      </c>
      <c r="AQ2" s="132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32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</row>
    <row r="3" spans="2:77" x14ac:dyDescent="0.2">
      <c r="B3" s="132" t="s">
        <v>335</v>
      </c>
      <c r="C3" s="246">
        <v>1</v>
      </c>
      <c r="AQ3" s="132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32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</row>
    <row r="4" spans="2:77" x14ac:dyDescent="0.2">
      <c r="B4" s="132" t="s">
        <v>336</v>
      </c>
      <c r="C4" s="246">
        <v>1</v>
      </c>
      <c r="AQ4" s="132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32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</row>
    <row r="5" spans="2:77" x14ac:dyDescent="0.2">
      <c r="B5" s="132" t="s">
        <v>355</v>
      </c>
      <c r="C5" s="246">
        <v>1</v>
      </c>
      <c r="AQ5" s="132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32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</row>
    <row r="6" spans="2:77" x14ac:dyDescent="0.2">
      <c r="B6" s="132" t="s">
        <v>377</v>
      </c>
      <c r="C6" s="246">
        <v>1</v>
      </c>
      <c r="AQ6" s="132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32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</row>
    <row r="7" spans="2:77" x14ac:dyDescent="0.2">
      <c r="B7" s="132" t="s">
        <v>466</v>
      </c>
      <c r="C7" s="246">
        <v>1</v>
      </c>
      <c r="AQ7" s="132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32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</row>
    <row r="8" spans="2:77" x14ac:dyDescent="0.2">
      <c r="B8" s="132" t="s">
        <v>467</v>
      </c>
      <c r="C8" s="246">
        <v>1</v>
      </c>
      <c r="AQ8" s="132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32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</row>
    <row r="9" spans="2:77" x14ac:dyDescent="0.2">
      <c r="B9" s="132" t="s">
        <v>411</v>
      </c>
      <c r="C9" s="246">
        <v>1</v>
      </c>
      <c r="AQ9" s="132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32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</row>
    <row r="10" spans="2:77" x14ac:dyDescent="0.2">
      <c r="B10" s="132" t="s">
        <v>459</v>
      </c>
      <c r="C10" s="246">
        <v>1</v>
      </c>
      <c r="AQ10" s="132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32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</row>
    <row r="11" spans="2:77" ht="16" customHeight="1" x14ac:dyDescent="0.2">
      <c r="B11" s="229" t="s">
        <v>442</v>
      </c>
      <c r="C11" s="246">
        <v>1</v>
      </c>
      <c r="AQ11" s="229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229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</row>
    <row r="12" spans="2:77" x14ac:dyDescent="0.2">
      <c r="B12" s="132" t="s">
        <v>409</v>
      </c>
      <c r="C12" s="246">
        <v>1</v>
      </c>
      <c r="AQ12" s="132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32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</row>
    <row r="13" spans="2:77" ht="16" customHeight="1" x14ac:dyDescent="0.2">
      <c r="B13" s="229" t="s">
        <v>412</v>
      </c>
      <c r="C13" s="246">
        <v>1</v>
      </c>
      <c r="AQ13" s="229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229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</row>
    <row r="14" spans="2:77" x14ac:dyDescent="0.2">
      <c r="B14" s="132" t="s">
        <v>437</v>
      </c>
      <c r="C14" s="246">
        <v>1</v>
      </c>
      <c r="AQ14" s="132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32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</row>
    <row r="15" spans="2:77" x14ac:dyDescent="0.2">
      <c r="B15" s="230" t="s">
        <v>430</v>
      </c>
      <c r="C15" s="246">
        <v>1</v>
      </c>
      <c r="AQ15" s="230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230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</row>
    <row r="16" spans="2:77" x14ac:dyDescent="0.2">
      <c r="B16" s="132" t="s">
        <v>416</v>
      </c>
      <c r="C16" s="246">
        <v>1</v>
      </c>
      <c r="AQ16" s="132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32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</row>
    <row r="17" spans="2:77" ht="16" customHeight="1" x14ac:dyDescent="0.2">
      <c r="B17" s="229" t="s">
        <v>441</v>
      </c>
      <c r="C17" s="246">
        <v>1</v>
      </c>
      <c r="AQ17" s="229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229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</row>
    <row r="18" spans="2:77" ht="16" customHeight="1" x14ac:dyDescent="0.2">
      <c r="B18" s="229" t="s">
        <v>436</v>
      </c>
      <c r="C18" s="246">
        <v>1</v>
      </c>
      <c r="AQ18" s="229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229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</row>
    <row r="19" spans="2:77" ht="16" customHeight="1" x14ac:dyDescent="0.2">
      <c r="B19" s="229" t="s">
        <v>433</v>
      </c>
      <c r="C19" s="246">
        <v>1</v>
      </c>
      <c r="AQ19" s="229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229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</row>
    <row r="20" spans="2:77" ht="16" customHeight="1" x14ac:dyDescent="0.2">
      <c r="B20" s="229" t="s">
        <v>439</v>
      </c>
      <c r="C20" s="246">
        <v>1</v>
      </c>
      <c r="AQ20" s="229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229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</row>
    <row r="21" spans="2:77" x14ac:dyDescent="0.2">
      <c r="B21" s="230" t="s">
        <v>438</v>
      </c>
      <c r="C21" s="246">
        <v>1</v>
      </c>
      <c r="AQ21" s="230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230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</row>
    <row r="22" spans="2:77" x14ac:dyDescent="0.2">
      <c r="B22" s="230" t="s">
        <v>424</v>
      </c>
      <c r="C22" s="246">
        <v>1</v>
      </c>
      <c r="AQ22" s="230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230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</row>
    <row r="23" spans="2:77" x14ac:dyDescent="0.2">
      <c r="B23" s="230" t="s">
        <v>456</v>
      </c>
      <c r="C23" s="246">
        <v>1</v>
      </c>
      <c r="AQ23" s="230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230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</row>
    <row r="24" spans="2:77" x14ac:dyDescent="0.2">
      <c r="B24" s="230" t="s">
        <v>425</v>
      </c>
      <c r="C24" s="246">
        <v>1</v>
      </c>
      <c r="AQ24" s="230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230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</row>
    <row r="25" spans="2:77" x14ac:dyDescent="0.2">
      <c r="B25" s="230" t="s">
        <v>427</v>
      </c>
      <c r="C25" s="246">
        <v>1</v>
      </c>
      <c r="AQ25" s="230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230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</row>
    <row r="26" spans="2:77" x14ac:dyDescent="0.2">
      <c r="B26" s="230" t="s">
        <v>426</v>
      </c>
      <c r="C26" s="246">
        <v>1</v>
      </c>
      <c r="AQ26" s="230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230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</row>
    <row r="27" spans="2:77" x14ac:dyDescent="0.2">
      <c r="B27" s="230" t="s">
        <v>484</v>
      </c>
      <c r="C27" s="246">
        <v>1</v>
      </c>
      <c r="AQ27" s="230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230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</row>
    <row r="28" spans="2:77" ht="16" customHeight="1" x14ac:dyDescent="0.2">
      <c r="B28" s="244" t="s">
        <v>422</v>
      </c>
      <c r="C28" s="246">
        <v>1</v>
      </c>
      <c r="AQ28" s="244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44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</row>
    <row r="29" spans="2:77" ht="16" customHeight="1" x14ac:dyDescent="0.2">
      <c r="B29" s="244"/>
      <c r="C29" s="246"/>
      <c r="AQ29" s="244" t="s">
        <v>552</v>
      </c>
      <c r="AR29" s="246"/>
      <c r="AS29" s="246"/>
      <c r="AT29" s="246"/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K29" s="244" t="s">
        <v>552</v>
      </c>
      <c r="BL29" s="246"/>
      <c r="BM29" s="246"/>
      <c r="BN29" s="246"/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</row>
    <row r="30" spans="2:77" x14ac:dyDescent="0.2">
      <c r="B30" s="230" t="s">
        <v>421</v>
      </c>
      <c r="C30" s="246">
        <v>1</v>
      </c>
      <c r="AQ30" s="230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230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</row>
    <row r="31" spans="2:77" x14ac:dyDescent="0.2">
      <c r="B31" s="132" t="s">
        <v>423</v>
      </c>
      <c r="C31" s="246">
        <v>1</v>
      </c>
      <c r="AQ31" s="132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32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</row>
    <row r="32" spans="2:77" x14ac:dyDescent="0.2">
      <c r="B32" s="230" t="s">
        <v>419</v>
      </c>
      <c r="C32" s="246">
        <v>1</v>
      </c>
      <c r="AQ32" s="230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230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</row>
    <row r="33" spans="2:77" x14ac:dyDescent="0.2">
      <c r="B33" s="230" t="s">
        <v>445</v>
      </c>
      <c r="C33" s="246">
        <v>1</v>
      </c>
      <c r="AQ33" s="230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230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</row>
    <row r="34" spans="2:77" x14ac:dyDescent="0.2">
      <c r="B34" s="230" t="s">
        <v>446</v>
      </c>
      <c r="C34" s="246">
        <v>1</v>
      </c>
      <c r="AQ34" s="230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230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</row>
    <row r="35" spans="2:77" x14ac:dyDescent="0.2">
      <c r="B35" s="230" t="s">
        <v>447</v>
      </c>
      <c r="C35" s="246">
        <v>1</v>
      </c>
      <c r="AQ35" s="230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230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</row>
    <row r="36" spans="2:77" x14ac:dyDescent="0.2">
      <c r="B36" s="230" t="s">
        <v>457</v>
      </c>
      <c r="C36" s="246">
        <v>1</v>
      </c>
      <c r="AQ36" s="230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230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</row>
    <row r="37" spans="2:77" x14ac:dyDescent="0.2">
      <c r="C37" s="52" t="s">
        <v>473</v>
      </c>
      <c r="AQ37" s="230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230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</row>
    <row r="38" spans="2:77" x14ac:dyDescent="0.2">
      <c r="AQ38" s="230"/>
      <c r="AR38" s="379" t="s">
        <v>470</v>
      </c>
      <c r="AS38" s="379"/>
      <c r="AT38" s="379"/>
      <c r="AU38" s="379"/>
      <c r="AV38" s="379"/>
      <c r="AW38" s="379"/>
      <c r="AX38" s="379"/>
      <c r="AY38" s="379"/>
      <c r="AZ38" s="379"/>
      <c r="BA38" s="379"/>
      <c r="BB38" s="379"/>
      <c r="BC38" s="379"/>
      <c r="BD38" s="379"/>
      <c r="BE38" s="379"/>
      <c r="BF38" s="379"/>
      <c r="BK38" s="230"/>
      <c r="BL38" s="379" t="s">
        <v>471</v>
      </c>
      <c r="BM38" s="379"/>
      <c r="BN38" s="379"/>
      <c r="BO38" s="379"/>
      <c r="BP38" s="379"/>
      <c r="BQ38" s="379"/>
      <c r="BR38" s="379"/>
      <c r="BS38" s="379"/>
      <c r="BT38" s="379"/>
      <c r="BU38" s="379"/>
      <c r="BV38" s="379"/>
      <c r="BW38" s="379"/>
      <c r="BX38" s="379"/>
      <c r="BY38" s="379"/>
    </row>
    <row r="39" spans="2:77" x14ac:dyDescent="0.2">
      <c r="AQ39" s="230"/>
      <c r="BK39" s="230"/>
    </row>
    <row r="40" spans="2:77" x14ac:dyDescent="0.2">
      <c r="AQ40" s="230"/>
    </row>
    <row r="41" spans="2:77" ht="112" customHeight="1" x14ac:dyDescent="0.2">
      <c r="AQ41" s="245"/>
      <c r="AR41" s="231" t="s">
        <v>325</v>
      </c>
      <c r="AS41" s="231" t="s">
        <v>326</v>
      </c>
      <c r="AT41" s="231" t="s">
        <v>327</v>
      </c>
      <c r="AU41" s="231" t="s">
        <v>455</v>
      </c>
      <c r="AV41" s="231" t="s">
        <v>435</v>
      </c>
      <c r="AW41" s="231" t="s">
        <v>434</v>
      </c>
      <c r="AX41" s="231" t="s">
        <v>351</v>
      </c>
      <c r="AY41" s="231" t="s">
        <v>348</v>
      </c>
      <c r="AZ41" s="231" t="s">
        <v>362</v>
      </c>
      <c r="BA41" s="231" t="s">
        <v>349</v>
      </c>
      <c r="BB41" s="231" t="s">
        <v>344</v>
      </c>
      <c r="BC41" s="231" t="s">
        <v>514</v>
      </c>
      <c r="BD41" s="231" t="s">
        <v>516</v>
      </c>
      <c r="BE41" s="231" t="s">
        <v>76</v>
      </c>
      <c r="BF41" s="231" t="s">
        <v>337</v>
      </c>
    </row>
    <row r="42" spans="2:77" x14ac:dyDescent="0.2">
      <c r="AQ42" s="132" t="s">
        <v>333</v>
      </c>
      <c r="AR42" s="246">
        <f>AR83</f>
        <v>1011.7674660019052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7" x14ac:dyDescent="0.2">
      <c r="AQ43" s="132" t="s">
        <v>335</v>
      </c>
      <c r="AR43" s="246">
        <f t="shared" ref="AR43:AY68" si="1">AR84</f>
        <v>0</v>
      </c>
      <c r="AS43" s="246">
        <f t="shared" si="1"/>
        <v>208.55560337725498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ref="AZ43:BC43" si="2">AZ84</f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ref="BD43:BF43" si="3">BD84</f>
        <v>0</v>
      </c>
      <c r="BE43" s="246">
        <f t="shared" si="3"/>
        <v>0</v>
      </c>
      <c r="BF43" s="246">
        <f t="shared" si="3"/>
        <v>0</v>
      </c>
    </row>
    <row r="44" spans="2:77" x14ac:dyDescent="0.2">
      <c r="AQ44" s="132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298.6148747230165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ref="AZ44:BC44" si="4">AZ85</f>
        <v>0</v>
      </c>
      <c r="BA44" s="246">
        <f t="shared" si="4"/>
        <v>0</v>
      </c>
      <c r="BB44" s="246">
        <f t="shared" si="4"/>
        <v>0</v>
      </c>
      <c r="BC44" s="246">
        <f t="shared" si="4"/>
        <v>0</v>
      </c>
      <c r="BD44" s="246">
        <f t="shared" ref="BD44:BF44" si="5">BD85</f>
        <v>0</v>
      </c>
      <c r="BE44" s="246">
        <f t="shared" si="5"/>
        <v>0</v>
      </c>
      <c r="BF44" s="246">
        <f t="shared" si="5"/>
        <v>0</v>
      </c>
    </row>
    <row r="45" spans="2:77" x14ac:dyDescent="0.2">
      <c r="AQ45" s="132" t="s">
        <v>355</v>
      </c>
      <c r="AR45" s="246">
        <f t="shared" si="1"/>
        <v>30.150427560669065</v>
      </c>
      <c r="AS45" s="246">
        <f t="shared" si="1"/>
        <v>9.0394269236644703E-2</v>
      </c>
      <c r="AT45" s="246">
        <f t="shared" si="1"/>
        <v>7.4647476716394348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ref="AZ45:BC45" si="6">AZ86</f>
        <v>0</v>
      </c>
      <c r="BA45" s="246">
        <f t="shared" si="6"/>
        <v>644.2421909044931</v>
      </c>
      <c r="BB45" s="246">
        <f t="shared" si="6"/>
        <v>3494.7460959815226</v>
      </c>
      <c r="BC45" s="246">
        <f t="shared" si="6"/>
        <v>0</v>
      </c>
      <c r="BD45" s="246">
        <f t="shared" ref="BD45:BF45" si="7">BD86</f>
        <v>0</v>
      </c>
      <c r="BE45" s="246">
        <f t="shared" si="7"/>
        <v>0</v>
      </c>
      <c r="BF45" s="246">
        <f t="shared" si="7"/>
        <v>2852.0490535886452</v>
      </c>
    </row>
    <row r="46" spans="2:77" x14ac:dyDescent="0.2">
      <c r="AQ46" s="132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ref="AZ46:BC46" si="8">AZ87</f>
        <v>0</v>
      </c>
      <c r="BA46" s="246">
        <f t="shared" si="8"/>
        <v>37.630021206323519</v>
      </c>
      <c r="BB46" s="246">
        <f t="shared" si="8"/>
        <v>204.127223518021</v>
      </c>
      <c r="BC46" s="246">
        <f t="shared" si="8"/>
        <v>0</v>
      </c>
      <c r="BD46" s="246">
        <f t="shared" ref="BD46:BF46" si="9">BD87</f>
        <v>0</v>
      </c>
      <c r="BE46" s="246">
        <f t="shared" si="9"/>
        <v>0</v>
      </c>
      <c r="BF46" s="246">
        <f t="shared" si="9"/>
        <v>44.927545117863247</v>
      </c>
    </row>
    <row r="47" spans="2:77" x14ac:dyDescent="0.2">
      <c r="AQ47" s="132" t="s">
        <v>466</v>
      </c>
      <c r="AR47" s="246">
        <f t="shared" si="1"/>
        <v>2.0694989883749622</v>
      </c>
      <c r="AS47" s="246">
        <f t="shared" si="1"/>
        <v>5.671161105764883E-3</v>
      </c>
      <c r="AT47" s="246">
        <f t="shared" si="1"/>
        <v>0.51237375403207552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ref="AZ47:BC47" si="10">AZ88</f>
        <v>0</v>
      </c>
      <c r="BA47" s="246">
        <f t="shared" si="10"/>
        <v>0</v>
      </c>
      <c r="BB47" s="246">
        <f t="shared" si="10"/>
        <v>0</v>
      </c>
      <c r="BC47" s="246">
        <f t="shared" si="10"/>
        <v>0</v>
      </c>
      <c r="BD47" s="246">
        <f t="shared" ref="BD47:BF47" si="11">BD88</f>
        <v>0</v>
      </c>
      <c r="BE47" s="246">
        <f t="shared" si="11"/>
        <v>0</v>
      </c>
      <c r="BF47" s="246">
        <f t="shared" si="11"/>
        <v>0</v>
      </c>
    </row>
    <row r="48" spans="2:77" x14ac:dyDescent="0.2">
      <c r="AQ48" s="132" t="s">
        <v>467</v>
      </c>
      <c r="AR48" s="246">
        <f t="shared" si="1"/>
        <v>0</v>
      </c>
      <c r="AS48" s="246">
        <f t="shared" si="1"/>
        <v>5.1714158616864253E-4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ref="AZ48:BC48" si="12">AZ89</f>
        <v>0</v>
      </c>
      <c r="BA48" s="246">
        <f t="shared" si="12"/>
        <v>0</v>
      </c>
      <c r="BB48" s="246">
        <f t="shared" si="12"/>
        <v>0</v>
      </c>
      <c r="BC48" s="246">
        <f t="shared" si="12"/>
        <v>0</v>
      </c>
      <c r="BD48" s="246">
        <f t="shared" ref="BD48:BF48" si="13">BD89</f>
        <v>0</v>
      </c>
      <c r="BE48" s="246">
        <f t="shared" si="13"/>
        <v>0</v>
      </c>
      <c r="BF48" s="246">
        <f t="shared" si="13"/>
        <v>0</v>
      </c>
    </row>
    <row r="49" spans="43:58" x14ac:dyDescent="0.2">
      <c r="AQ49" s="132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ref="AZ49:BC49" si="14">AZ90</f>
        <v>0</v>
      </c>
      <c r="BA49" s="246">
        <f t="shared" si="14"/>
        <v>0</v>
      </c>
      <c r="BB49" s="246">
        <f t="shared" si="14"/>
        <v>0</v>
      </c>
      <c r="BC49" s="246">
        <f t="shared" si="14"/>
        <v>0</v>
      </c>
      <c r="BD49" s="246">
        <f t="shared" ref="BD49:BF49" si="15">BD90</f>
        <v>0</v>
      </c>
      <c r="BE49" s="246">
        <f t="shared" si="15"/>
        <v>0</v>
      </c>
      <c r="BF49" s="246">
        <f t="shared" si="15"/>
        <v>4.914718171980665</v>
      </c>
    </row>
    <row r="50" spans="43:58" x14ac:dyDescent="0.2">
      <c r="AQ50" s="132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ref="AZ50:BC50" si="16">AZ91</f>
        <v>0</v>
      </c>
      <c r="BA50" s="246">
        <f t="shared" si="16"/>
        <v>0</v>
      </c>
      <c r="BB50" s="246">
        <f t="shared" si="16"/>
        <v>0</v>
      </c>
      <c r="BC50" s="246">
        <f t="shared" si="16"/>
        <v>0</v>
      </c>
      <c r="BD50" s="246">
        <f t="shared" ref="BD50:BF50" si="17">BD91</f>
        <v>0</v>
      </c>
      <c r="BE50" s="246">
        <f t="shared" si="17"/>
        <v>0</v>
      </c>
      <c r="BF50" s="246">
        <f t="shared" si="17"/>
        <v>0</v>
      </c>
    </row>
    <row r="51" spans="43:58" ht="16" customHeight="1" x14ac:dyDescent="0.2">
      <c r="AQ51" s="229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1011.7674660019052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ref="AZ51:BC51" si="18">AZ92</f>
        <v>0</v>
      </c>
      <c r="BA51" s="246">
        <f t="shared" si="18"/>
        <v>0</v>
      </c>
      <c r="BB51" s="246">
        <f t="shared" si="18"/>
        <v>0</v>
      </c>
      <c r="BC51" s="246">
        <f t="shared" si="18"/>
        <v>0</v>
      </c>
      <c r="BD51" s="246">
        <f t="shared" ref="BD51:BF51" si="19">BD92</f>
        <v>0</v>
      </c>
      <c r="BE51" s="246">
        <f t="shared" si="19"/>
        <v>0</v>
      </c>
      <c r="BF51" s="246">
        <f t="shared" si="19"/>
        <v>0</v>
      </c>
    </row>
    <row r="52" spans="43:58" x14ac:dyDescent="0.2">
      <c r="AQ52" s="132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ref="AZ52:BC52" si="20">AZ93</f>
        <v>0</v>
      </c>
      <c r="BA52" s="246">
        <f t="shared" si="20"/>
        <v>0</v>
      </c>
      <c r="BB52" s="246">
        <f t="shared" si="20"/>
        <v>0</v>
      </c>
      <c r="BC52" s="246">
        <f t="shared" si="20"/>
        <v>0</v>
      </c>
      <c r="BD52" s="246">
        <f t="shared" ref="BD52:BF52" si="21">BD93</f>
        <v>0</v>
      </c>
      <c r="BE52" s="246">
        <f t="shared" si="21"/>
        <v>0</v>
      </c>
      <c r="BF52" s="246">
        <f t="shared" si="21"/>
        <v>0</v>
      </c>
    </row>
    <row r="53" spans="43:58" ht="16" customHeight="1" x14ac:dyDescent="0.2">
      <c r="AQ53" s="229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208.55560337725498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ref="AZ53:BC53" si="22">AZ94</f>
        <v>0</v>
      </c>
      <c r="BA53" s="246">
        <f t="shared" si="22"/>
        <v>0</v>
      </c>
      <c r="BB53" s="246">
        <f t="shared" si="22"/>
        <v>0</v>
      </c>
      <c r="BC53" s="246">
        <f t="shared" si="22"/>
        <v>0</v>
      </c>
      <c r="BD53" s="246">
        <f t="shared" ref="BD53:BF53" si="23">BD94</f>
        <v>0</v>
      </c>
      <c r="BE53" s="246">
        <f t="shared" si="23"/>
        <v>0</v>
      </c>
      <c r="BF53" s="246">
        <f t="shared" si="23"/>
        <v>0</v>
      </c>
    </row>
    <row r="54" spans="43:58" x14ac:dyDescent="0.2">
      <c r="AQ54" s="132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ref="AZ54:BC54" si="24">AZ95</f>
        <v>0</v>
      </c>
      <c r="BA54" s="246">
        <f t="shared" si="24"/>
        <v>0</v>
      </c>
      <c r="BB54" s="246">
        <f t="shared" si="24"/>
        <v>0</v>
      </c>
      <c r="BC54" s="246">
        <f t="shared" si="24"/>
        <v>0</v>
      </c>
      <c r="BD54" s="246">
        <f t="shared" ref="BD54:BF54" si="25">BD95</f>
        <v>0</v>
      </c>
      <c r="BE54" s="246">
        <f t="shared" si="25"/>
        <v>0</v>
      </c>
      <c r="BF54" s="246">
        <f t="shared" si="25"/>
        <v>0</v>
      </c>
    </row>
    <row r="55" spans="43:58" x14ac:dyDescent="0.2">
      <c r="AQ55" s="230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298.6148747230165</v>
      </c>
      <c r="AX55" s="246">
        <f t="shared" si="1"/>
        <v>0</v>
      </c>
      <c r="AY55" s="246">
        <f t="shared" si="1"/>
        <v>0</v>
      </c>
      <c r="AZ55" s="246">
        <f t="shared" ref="AZ55:BC55" si="26">AZ96</f>
        <v>0</v>
      </c>
      <c r="BA55" s="246">
        <f t="shared" si="26"/>
        <v>0</v>
      </c>
      <c r="BB55" s="246">
        <f t="shared" si="26"/>
        <v>0</v>
      </c>
      <c r="BC55" s="246">
        <f t="shared" si="26"/>
        <v>0</v>
      </c>
      <c r="BD55" s="246">
        <f t="shared" ref="BD55:BF55" si="27">BD96</f>
        <v>0</v>
      </c>
      <c r="BE55" s="246">
        <f t="shared" si="27"/>
        <v>0</v>
      </c>
      <c r="BF55" s="246">
        <f t="shared" si="27"/>
        <v>0</v>
      </c>
    </row>
    <row r="56" spans="43:58" x14ac:dyDescent="0.2">
      <c r="AQ56" s="132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ref="AZ56:BC56" si="28">AZ97</f>
        <v>0</v>
      </c>
      <c r="BA56" s="246">
        <f t="shared" si="28"/>
        <v>0</v>
      </c>
      <c r="BB56" s="246">
        <f t="shared" si="28"/>
        <v>0</v>
      </c>
      <c r="BC56" s="246">
        <f t="shared" si="28"/>
        <v>0</v>
      </c>
      <c r="BD56" s="246">
        <f t="shared" ref="BD56:BF56" si="29">BD97</f>
        <v>0</v>
      </c>
      <c r="BE56" s="246">
        <f t="shared" si="29"/>
        <v>0</v>
      </c>
      <c r="BF56" s="246">
        <f t="shared" si="29"/>
        <v>0</v>
      </c>
    </row>
    <row r="57" spans="43:58" ht="16" customHeight="1" x14ac:dyDescent="0.2">
      <c r="AQ57" s="229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1011.7674660019052</v>
      </c>
      <c r="AY57" s="246">
        <f t="shared" si="1"/>
        <v>0</v>
      </c>
      <c r="AZ57" s="246">
        <f t="shared" ref="AZ57:BC57" si="30">AZ98</f>
        <v>0</v>
      </c>
      <c r="BA57" s="246">
        <f t="shared" si="30"/>
        <v>0</v>
      </c>
      <c r="BB57" s="246">
        <f t="shared" si="30"/>
        <v>0</v>
      </c>
      <c r="BC57" s="246">
        <f t="shared" si="30"/>
        <v>0</v>
      </c>
      <c r="BD57" s="246">
        <f t="shared" ref="BD57:BF57" si="31">BD98</f>
        <v>0</v>
      </c>
      <c r="BE57" s="246">
        <f t="shared" si="31"/>
        <v>0</v>
      </c>
      <c r="BF57" s="246">
        <f t="shared" si="31"/>
        <v>0</v>
      </c>
    </row>
    <row r="58" spans="43:58" ht="16" customHeight="1" x14ac:dyDescent="0.2">
      <c r="AQ58" s="229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208.55560337725498</v>
      </c>
      <c r="AZ58" s="246">
        <f t="shared" ref="AZ58:BC58" si="32">AZ99</f>
        <v>0</v>
      </c>
      <c r="BA58" s="246">
        <f t="shared" si="32"/>
        <v>0</v>
      </c>
      <c r="BB58" s="246">
        <f t="shared" si="32"/>
        <v>0</v>
      </c>
      <c r="BC58" s="246">
        <f t="shared" si="32"/>
        <v>0</v>
      </c>
      <c r="BD58" s="246">
        <f t="shared" ref="BD58:BF58" si="33">BD99</f>
        <v>0</v>
      </c>
      <c r="BE58" s="246">
        <f t="shared" si="33"/>
        <v>0</v>
      </c>
      <c r="BF58" s="246">
        <f t="shared" si="33"/>
        <v>0</v>
      </c>
    </row>
    <row r="59" spans="43:58" ht="16" customHeight="1" x14ac:dyDescent="0.2">
      <c r="AQ59" s="229" t="s">
        <v>433</v>
      </c>
      <c r="AR59" s="246">
        <f t="shared" si="1"/>
        <v>0</v>
      </c>
      <c r="AS59" s="246">
        <f t="shared" si="1"/>
        <v>0</v>
      </c>
      <c r="AT59" s="246">
        <f t="shared" si="1"/>
        <v>0</v>
      </c>
      <c r="AU59" s="246">
        <f t="shared" si="1"/>
        <v>0</v>
      </c>
      <c r="AV59" s="246">
        <f t="shared" si="1"/>
        <v>0</v>
      </c>
      <c r="AW59" s="246">
        <f t="shared" si="1"/>
        <v>0</v>
      </c>
      <c r="AX59" s="246">
        <f t="shared" si="1"/>
        <v>0</v>
      </c>
      <c r="AY59" s="246">
        <f t="shared" si="1"/>
        <v>0</v>
      </c>
      <c r="AZ59" s="246">
        <f t="shared" ref="AZ59:BC59" si="34">AZ100</f>
        <v>298.6148747230165</v>
      </c>
      <c r="BA59" s="246">
        <f t="shared" si="34"/>
        <v>0</v>
      </c>
      <c r="BB59" s="246">
        <f t="shared" si="34"/>
        <v>0</v>
      </c>
      <c r="BC59" s="246">
        <f t="shared" si="34"/>
        <v>0</v>
      </c>
      <c r="BD59" s="246">
        <f t="shared" ref="BD59:BF59" si="35">BD100</f>
        <v>0</v>
      </c>
      <c r="BE59" s="246">
        <f t="shared" si="35"/>
        <v>0</v>
      </c>
      <c r="BF59" s="246">
        <f t="shared" si="35"/>
        <v>0</v>
      </c>
    </row>
    <row r="60" spans="43:58" ht="16" customHeight="1" x14ac:dyDescent="0.2">
      <c r="AQ60" s="229" t="s">
        <v>439</v>
      </c>
      <c r="AR60" s="246">
        <f t="shared" si="1"/>
        <v>0</v>
      </c>
      <c r="AS60" s="246">
        <f t="shared" si="1"/>
        <v>0</v>
      </c>
      <c r="AT60" s="246">
        <f t="shared" si="1"/>
        <v>0</v>
      </c>
      <c r="AU60" s="246">
        <f t="shared" si="1"/>
        <v>0</v>
      </c>
      <c r="AV60" s="246">
        <f t="shared" si="1"/>
        <v>0</v>
      </c>
      <c r="AW60" s="246">
        <f t="shared" si="1"/>
        <v>0</v>
      </c>
      <c r="AX60" s="246">
        <f t="shared" si="1"/>
        <v>0</v>
      </c>
      <c r="AY60" s="246">
        <f t="shared" si="1"/>
        <v>0</v>
      </c>
      <c r="AZ60" s="246">
        <f t="shared" ref="AZ60:BC60" si="36">AZ101</f>
        <v>0</v>
      </c>
      <c r="BA60" s="246">
        <f t="shared" si="36"/>
        <v>0</v>
      </c>
      <c r="BB60" s="246">
        <f t="shared" si="36"/>
        <v>0</v>
      </c>
      <c r="BC60" s="246">
        <f t="shared" si="36"/>
        <v>0</v>
      </c>
      <c r="BD60" s="246">
        <f t="shared" ref="BD60:BF60" si="37">BD101</f>
        <v>0</v>
      </c>
      <c r="BE60" s="246">
        <f t="shared" si="37"/>
        <v>1000.0000000000001</v>
      </c>
      <c r="BF60" s="246">
        <f t="shared" si="37"/>
        <v>0</v>
      </c>
    </row>
    <row r="61" spans="43:58" x14ac:dyDescent="0.2">
      <c r="AQ61" s="230" t="s">
        <v>438</v>
      </c>
      <c r="AR61" s="246">
        <f t="shared" si="1"/>
        <v>0</v>
      </c>
      <c r="AS61" s="246">
        <f t="shared" si="1"/>
        <v>0</v>
      </c>
      <c r="AT61" s="246">
        <f t="shared" si="1"/>
        <v>0</v>
      </c>
      <c r="AU61" s="246">
        <f t="shared" si="1"/>
        <v>0</v>
      </c>
      <c r="AV61" s="246">
        <f t="shared" si="1"/>
        <v>0</v>
      </c>
      <c r="AW61" s="246">
        <f t="shared" si="1"/>
        <v>0</v>
      </c>
      <c r="AX61" s="246">
        <f t="shared" si="1"/>
        <v>0</v>
      </c>
      <c r="AY61" s="246">
        <f t="shared" si="1"/>
        <v>0</v>
      </c>
      <c r="AZ61" s="246">
        <f t="shared" ref="AZ61:BC61" si="38">AZ102</f>
        <v>0</v>
      </c>
      <c r="BA61" s="246">
        <f t="shared" si="38"/>
        <v>0</v>
      </c>
      <c r="BB61" s="246">
        <f t="shared" si="38"/>
        <v>0</v>
      </c>
      <c r="BC61" s="246">
        <f t="shared" si="38"/>
        <v>0</v>
      </c>
      <c r="BD61" s="246">
        <f t="shared" ref="BD61:BF61" si="39">BD102</f>
        <v>0</v>
      </c>
      <c r="BE61" s="246">
        <f t="shared" si="39"/>
        <v>0</v>
      </c>
      <c r="BF61" s="246">
        <f t="shared" si="39"/>
        <v>0</v>
      </c>
    </row>
    <row r="62" spans="43:58" x14ac:dyDescent="0.2">
      <c r="AQ62" s="230" t="s">
        <v>424</v>
      </c>
      <c r="AR62" s="246">
        <f t="shared" si="1"/>
        <v>0</v>
      </c>
      <c r="AS62" s="246">
        <f t="shared" si="1"/>
        <v>0</v>
      </c>
      <c r="AT62" s="246">
        <f t="shared" si="1"/>
        <v>0</v>
      </c>
      <c r="AU62" s="246">
        <f t="shared" si="1"/>
        <v>0</v>
      </c>
      <c r="AV62" s="246">
        <f t="shared" si="1"/>
        <v>0</v>
      </c>
      <c r="AW62" s="246">
        <f t="shared" si="1"/>
        <v>0</v>
      </c>
      <c r="AX62" s="246">
        <f t="shared" si="1"/>
        <v>0</v>
      </c>
      <c r="AY62" s="246">
        <f t="shared" si="1"/>
        <v>0</v>
      </c>
      <c r="AZ62" s="246">
        <f t="shared" ref="AZ62:BC62" si="40">AZ103</f>
        <v>0</v>
      </c>
      <c r="BA62" s="246">
        <f t="shared" si="40"/>
        <v>208.55560337725498</v>
      </c>
      <c r="BB62" s="246">
        <f t="shared" si="40"/>
        <v>0</v>
      </c>
      <c r="BC62" s="246">
        <f t="shared" si="40"/>
        <v>0</v>
      </c>
      <c r="BD62" s="246">
        <f t="shared" ref="BD62:BF62" si="41">BD103</f>
        <v>0</v>
      </c>
      <c r="BE62" s="246">
        <f t="shared" si="41"/>
        <v>0</v>
      </c>
      <c r="BF62" s="246">
        <f t="shared" si="41"/>
        <v>0</v>
      </c>
    </row>
    <row r="63" spans="43:58" x14ac:dyDescent="0.2">
      <c r="AQ63" s="230" t="s">
        <v>456</v>
      </c>
      <c r="AR63" s="246">
        <f t="shared" si="1"/>
        <v>0</v>
      </c>
      <c r="AS63" s="246">
        <f t="shared" si="1"/>
        <v>0</v>
      </c>
      <c r="AT63" s="246">
        <f t="shared" si="1"/>
        <v>0</v>
      </c>
      <c r="AU63" s="246">
        <f t="shared" si="1"/>
        <v>0</v>
      </c>
      <c r="AV63" s="246">
        <f t="shared" si="1"/>
        <v>0</v>
      </c>
      <c r="AW63" s="246">
        <f t="shared" si="1"/>
        <v>0</v>
      </c>
      <c r="AX63" s="246">
        <f t="shared" si="1"/>
        <v>0</v>
      </c>
      <c r="AY63" s="246">
        <f t="shared" si="1"/>
        <v>0</v>
      </c>
      <c r="AZ63" s="246">
        <f t="shared" ref="AZ63:BC63" si="42">AZ104</f>
        <v>0</v>
      </c>
      <c r="BA63" s="246">
        <f t="shared" si="42"/>
        <v>0</v>
      </c>
      <c r="BB63" s="246">
        <f t="shared" si="42"/>
        <v>298.6148747230165</v>
      </c>
      <c r="BC63" s="246">
        <f t="shared" si="42"/>
        <v>0</v>
      </c>
      <c r="BD63" s="246">
        <f t="shared" ref="BD63:BF63" si="43">BD104</f>
        <v>0</v>
      </c>
      <c r="BE63" s="246">
        <f t="shared" si="43"/>
        <v>0</v>
      </c>
      <c r="BF63" s="246">
        <f t="shared" si="43"/>
        <v>0</v>
      </c>
    </row>
    <row r="64" spans="43:58" x14ac:dyDescent="0.2">
      <c r="AQ64" s="230" t="s">
        <v>425</v>
      </c>
      <c r="AR64" s="246">
        <f t="shared" si="1"/>
        <v>0</v>
      </c>
      <c r="AS64" s="246">
        <f t="shared" si="1"/>
        <v>0</v>
      </c>
      <c r="AT64" s="246">
        <f t="shared" si="1"/>
        <v>0</v>
      </c>
      <c r="AU64" s="246">
        <f t="shared" si="1"/>
        <v>0</v>
      </c>
      <c r="AV64" s="246">
        <f t="shared" si="1"/>
        <v>0</v>
      </c>
      <c r="AW64" s="246">
        <f t="shared" si="1"/>
        <v>0</v>
      </c>
      <c r="AX64" s="246">
        <f t="shared" si="1"/>
        <v>0</v>
      </c>
      <c r="AY64" s="246">
        <f t="shared" si="1"/>
        <v>0</v>
      </c>
      <c r="AZ64" s="246">
        <f t="shared" ref="AZ64:BC64" si="44">AZ105</f>
        <v>0</v>
      </c>
      <c r="BA64" s="246">
        <f t="shared" si="44"/>
        <v>0</v>
      </c>
      <c r="BB64" s="246">
        <f t="shared" si="44"/>
        <v>0</v>
      </c>
      <c r="BC64" s="246">
        <f t="shared" si="44"/>
        <v>0</v>
      </c>
      <c r="BD64" s="246">
        <f t="shared" ref="BD64:BD68" si="45">BD105</f>
        <v>0</v>
      </c>
      <c r="BE64" s="246">
        <f t="shared" ref="BE64:BF64" si="46">BE105</f>
        <v>111.00813284002646</v>
      </c>
      <c r="BF64" s="246">
        <f t="shared" si="46"/>
        <v>0</v>
      </c>
    </row>
    <row r="65" spans="43:58" x14ac:dyDescent="0.2">
      <c r="AQ65" s="230" t="s">
        <v>427</v>
      </c>
      <c r="AR65" s="246">
        <f t="shared" si="1"/>
        <v>0</v>
      </c>
      <c r="AS65" s="246">
        <f t="shared" si="1"/>
        <v>0</v>
      </c>
      <c r="AT65" s="246">
        <f t="shared" si="1"/>
        <v>0</v>
      </c>
      <c r="AU65" s="246">
        <f t="shared" si="1"/>
        <v>0</v>
      </c>
      <c r="AV65" s="246">
        <f t="shared" si="1"/>
        <v>0</v>
      </c>
      <c r="AW65" s="246">
        <f t="shared" si="1"/>
        <v>0</v>
      </c>
      <c r="AX65" s="246">
        <f t="shared" si="1"/>
        <v>0</v>
      </c>
      <c r="AY65" s="246">
        <f t="shared" si="1"/>
        <v>0</v>
      </c>
      <c r="AZ65" s="246">
        <f t="shared" ref="AZ65:BC65" si="47">AZ106</f>
        <v>0</v>
      </c>
      <c r="BA65" s="246">
        <f t="shared" si="47"/>
        <v>0</v>
      </c>
      <c r="BB65" s="246">
        <f t="shared" si="47"/>
        <v>0</v>
      </c>
      <c r="BC65" s="246">
        <f t="shared" si="47"/>
        <v>0</v>
      </c>
      <c r="BD65" s="246">
        <f t="shared" si="45"/>
        <v>0</v>
      </c>
      <c r="BE65" s="246">
        <f t="shared" ref="BE65:BF65" si="48">BE106</f>
        <v>0</v>
      </c>
      <c r="BF65" s="246">
        <f t="shared" si="48"/>
        <v>0</v>
      </c>
    </row>
    <row r="66" spans="43:58" x14ac:dyDescent="0.2">
      <c r="AQ66" s="230" t="s">
        <v>426</v>
      </c>
      <c r="AR66" s="246">
        <f t="shared" si="1"/>
        <v>0</v>
      </c>
      <c r="AS66" s="246">
        <f t="shared" si="1"/>
        <v>0</v>
      </c>
      <c r="AT66" s="246">
        <f t="shared" si="1"/>
        <v>0</v>
      </c>
      <c r="AU66" s="246">
        <f t="shared" si="1"/>
        <v>0</v>
      </c>
      <c r="AV66" s="246">
        <f t="shared" si="1"/>
        <v>0</v>
      </c>
      <c r="AW66" s="246">
        <f t="shared" si="1"/>
        <v>0</v>
      </c>
      <c r="AX66" s="246">
        <f t="shared" si="1"/>
        <v>0</v>
      </c>
      <c r="AY66" s="246">
        <f t="shared" si="1"/>
        <v>0</v>
      </c>
      <c r="AZ66" s="246">
        <f t="shared" ref="AZ66:BC66" si="49">AZ107</f>
        <v>0</v>
      </c>
      <c r="BA66" s="246">
        <f t="shared" si="49"/>
        <v>0</v>
      </c>
      <c r="BB66" s="246">
        <f t="shared" si="49"/>
        <v>0</v>
      </c>
      <c r="BC66" s="246">
        <f t="shared" si="49"/>
        <v>0</v>
      </c>
      <c r="BD66" s="246">
        <f t="shared" si="45"/>
        <v>0</v>
      </c>
      <c r="BE66" s="246">
        <f t="shared" ref="BE66:BF66" si="50">BE107</f>
        <v>0</v>
      </c>
      <c r="BF66" s="246">
        <f t="shared" si="50"/>
        <v>0</v>
      </c>
    </row>
    <row r="67" spans="43:58" x14ac:dyDescent="0.2">
      <c r="AQ67" s="230" t="s">
        <v>484</v>
      </c>
      <c r="AR67" s="246">
        <f t="shared" si="1"/>
        <v>0</v>
      </c>
      <c r="AS67" s="246">
        <f t="shared" si="1"/>
        <v>0</v>
      </c>
      <c r="AT67" s="246">
        <f t="shared" si="1"/>
        <v>0</v>
      </c>
      <c r="AU67" s="246">
        <f t="shared" si="1"/>
        <v>0</v>
      </c>
      <c r="AV67" s="246">
        <f t="shared" si="1"/>
        <v>0</v>
      </c>
      <c r="AW67" s="246">
        <f t="shared" si="1"/>
        <v>0</v>
      </c>
      <c r="AX67" s="246">
        <f t="shared" si="1"/>
        <v>0</v>
      </c>
      <c r="AY67" s="246">
        <f t="shared" ref="AY67:BC67" si="51">AY108</f>
        <v>0</v>
      </c>
      <c r="AZ67" s="246">
        <f t="shared" si="51"/>
        <v>0</v>
      </c>
      <c r="BA67" s="246">
        <f t="shared" si="51"/>
        <v>0</v>
      </c>
      <c r="BB67" s="246">
        <f t="shared" si="51"/>
        <v>0</v>
      </c>
      <c r="BC67" s="246">
        <f t="shared" si="51"/>
        <v>0</v>
      </c>
      <c r="BD67" s="246">
        <f t="shared" si="45"/>
        <v>0</v>
      </c>
      <c r="BE67" s="246">
        <f t="shared" ref="BE67:BF67" si="52">BE108</f>
        <v>203.27980063725872</v>
      </c>
      <c r="BF67" s="246">
        <f t="shared" si="52"/>
        <v>0</v>
      </c>
    </row>
    <row r="68" spans="43:58" ht="16" customHeight="1" x14ac:dyDescent="0.2">
      <c r="AQ68" s="244" t="s">
        <v>422</v>
      </c>
      <c r="AR68" s="246">
        <f t="shared" si="1"/>
        <v>0</v>
      </c>
      <c r="AS68" s="246">
        <f t="shared" si="1"/>
        <v>0</v>
      </c>
      <c r="AT68" s="246">
        <f t="shared" si="1"/>
        <v>0</v>
      </c>
      <c r="AU68" s="246">
        <f t="shared" si="1"/>
        <v>0</v>
      </c>
      <c r="AV68" s="246">
        <f t="shared" si="1"/>
        <v>0</v>
      </c>
      <c r="AW68" s="246">
        <f t="shared" si="1"/>
        <v>0</v>
      </c>
      <c r="AX68" s="246">
        <f t="shared" si="1"/>
        <v>0</v>
      </c>
      <c r="AY68" s="246">
        <f t="shared" ref="AY68:BC68" si="53">AY109</f>
        <v>0</v>
      </c>
      <c r="AZ68" s="246">
        <f t="shared" si="53"/>
        <v>0</v>
      </c>
      <c r="BA68" s="246">
        <f t="shared" si="53"/>
        <v>0</v>
      </c>
      <c r="BB68" s="246">
        <f t="shared" si="53"/>
        <v>0</v>
      </c>
      <c r="BC68" s="246">
        <f t="shared" si="53"/>
        <v>46.0998047134687</v>
      </c>
      <c r="BD68" s="246">
        <f t="shared" si="45"/>
        <v>0</v>
      </c>
      <c r="BE68" s="246">
        <f t="shared" ref="BE68:BF68" si="54">BE109</f>
        <v>0</v>
      </c>
      <c r="BF68" s="246">
        <f t="shared" si="54"/>
        <v>0</v>
      </c>
    </row>
    <row r="69" spans="43:58" ht="16" customHeight="1" x14ac:dyDescent="0.2">
      <c r="AQ69" s="244" t="s">
        <v>552</v>
      </c>
      <c r="AR69" s="246"/>
      <c r="AS69" s="246"/>
      <c r="AT69" s="246"/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</row>
    <row r="70" spans="43:58" x14ac:dyDescent="0.2">
      <c r="AQ70" s="230" t="s">
        <v>421</v>
      </c>
      <c r="AR70" s="246">
        <f t="shared" ref="AR70:AX71" si="55">AR111</f>
        <v>0</v>
      </c>
      <c r="AS70" s="246">
        <f t="shared" si="55"/>
        <v>0</v>
      </c>
      <c r="AT70" s="246">
        <f t="shared" si="55"/>
        <v>0</v>
      </c>
      <c r="AU70" s="246">
        <f t="shared" si="55"/>
        <v>0</v>
      </c>
      <c r="AV70" s="246">
        <f t="shared" si="55"/>
        <v>0</v>
      </c>
      <c r="AW70" s="246">
        <f t="shared" si="55"/>
        <v>0</v>
      </c>
      <c r="AX70" s="246">
        <f t="shared" si="55"/>
        <v>0</v>
      </c>
      <c r="AY70" s="246">
        <f t="shared" ref="AY70:BC70" si="56">AY111</f>
        <v>0</v>
      </c>
      <c r="AZ70" s="246">
        <f t="shared" si="56"/>
        <v>0</v>
      </c>
      <c r="BA70" s="246">
        <f t="shared" si="56"/>
        <v>0</v>
      </c>
      <c r="BB70" s="246">
        <f t="shared" si="56"/>
        <v>0</v>
      </c>
      <c r="BC70" s="246">
        <f t="shared" si="56"/>
        <v>0</v>
      </c>
      <c r="BD70" s="246">
        <f>BD111</f>
        <v>0</v>
      </c>
      <c r="BE70" s="246">
        <f t="shared" ref="BE70:BF70" si="57">BE111</f>
        <v>0</v>
      </c>
      <c r="BF70" s="246">
        <f t="shared" si="57"/>
        <v>0</v>
      </c>
    </row>
    <row r="71" spans="43:58" x14ac:dyDescent="0.2">
      <c r="AQ71" s="132" t="s">
        <v>423</v>
      </c>
      <c r="AR71" s="246">
        <f t="shared" si="55"/>
        <v>0</v>
      </c>
      <c r="AS71" s="246">
        <f t="shared" si="55"/>
        <v>0</v>
      </c>
      <c r="AT71" s="246">
        <f t="shared" si="55"/>
        <v>0</v>
      </c>
      <c r="AU71" s="246">
        <f t="shared" si="55"/>
        <v>0</v>
      </c>
      <c r="AV71" s="246">
        <f t="shared" si="55"/>
        <v>0</v>
      </c>
      <c r="AW71" s="246">
        <f t="shared" si="55"/>
        <v>0</v>
      </c>
      <c r="AX71" s="246">
        <f t="shared" si="55"/>
        <v>0</v>
      </c>
      <c r="AY71" s="246">
        <f t="shared" ref="AY71:BC71" si="58">AY112</f>
        <v>0</v>
      </c>
      <c r="AZ71" s="246">
        <f t="shared" si="58"/>
        <v>0</v>
      </c>
      <c r="BA71" s="246">
        <f t="shared" si="58"/>
        <v>0</v>
      </c>
      <c r="BB71" s="246">
        <f t="shared" si="58"/>
        <v>0</v>
      </c>
      <c r="BC71" s="246">
        <f t="shared" si="58"/>
        <v>0</v>
      </c>
      <c r="BD71" s="246">
        <f>BD112</f>
        <v>0</v>
      </c>
      <c r="BE71" s="246">
        <f t="shared" ref="BE71:BF71" si="59">BE112</f>
        <v>0</v>
      </c>
      <c r="BF71" s="246">
        <f t="shared" si="59"/>
        <v>0</v>
      </c>
    </row>
    <row r="72" spans="43:58" x14ac:dyDescent="0.2">
      <c r="AQ72" s="230" t="s">
        <v>515</v>
      </c>
      <c r="AR72" s="246">
        <f t="shared" ref="AR72:AR77" si="60">AR113</f>
        <v>0</v>
      </c>
      <c r="AS72" s="246">
        <f t="shared" ref="AS72:BC72" si="61">AS113</f>
        <v>0</v>
      </c>
      <c r="AT72" s="246">
        <f t="shared" si="61"/>
        <v>0</v>
      </c>
      <c r="AU72" s="246">
        <f t="shared" si="61"/>
        <v>0</v>
      </c>
      <c r="AV72" s="246">
        <f t="shared" si="61"/>
        <v>0</v>
      </c>
      <c r="AW72" s="246">
        <f t="shared" si="61"/>
        <v>0</v>
      </c>
      <c r="AX72" s="246">
        <f t="shared" si="61"/>
        <v>0</v>
      </c>
      <c r="AY72" s="246">
        <f t="shared" si="61"/>
        <v>0</v>
      </c>
      <c r="AZ72" s="246">
        <f t="shared" si="61"/>
        <v>0</v>
      </c>
      <c r="BA72" s="246">
        <f t="shared" si="61"/>
        <v>0</v>
      </c>
      <c r="BB72" s="246">
        <f t="shared" si="61"/>
        <v>0</v>
      </c>
      <c r="BC72" s="246">
        <f t="shared" si="61"/>
        <v>0</v>
      </c>
      <c r="BD72" s="246"/>
      <c r="BE72" s="246">
        <f t="shared" ref="BE72:BF72" si="62">BE113</f>
        <v>0</v>
      </c>
      <c r="BF72" s="246">
        <f t="shared" si="62"/>
        <v>0</v>
      </c>
    </row>
    <row r="73" spans="43:58" x14ac:dyDescent="0.2">
      <c r="AQ73" s="230" t="s">
        <v>517</v>
      </c>
      <c r="AR73" s="246">
        <f t="shared" si="60"/>
        <v>0</v>
      </c>
      <c r="AS73" s="246">
        <f t="shared" ref="AS73:AX77" si="63">AS114</f>
        <v>0</v>
      </c>
      <c r="AT73" s="246">
        <f t="shared" si="63"/>
        <v>0</v>
      </c>
      <c r="AU73" s="246">
        <f t="shared" si="63"/>
        <v>0</v>
      </c>
      <c r="AV73" s="246">
        <f t="shared" si="63"/>
        <v>0</v>
      </c>
      <c r="AW73" s="246">
        <f t="shared" si="63"/>
        <v>0</v>
      </c>
      <c r="AX73" s="246">
        <f t="shared" si="63"/>
        <v>0</v>
      </c>
      <c r="AY73" s="246">
        <f t="shared" ref="AY73:BC73" si="64">AY114</f>
        <v>0</v>
      </c>
      <c r="AZ73" s="246">
        <f t="shared" si="64"/>
        <v>0</v>
      </c>
      <c r="BA73" s="246">
        <f t="shared" si="64"/>
        <v>0</v>
      </c>
      <c r="BB73" s="246">
        <f t="shared" si="64"/>
        <v>0</v>
      </c>
      <c r="BC73" s="246">
        <f t="shared" si="64"/>
        <v>0</v>
      </c>
      <c r="BD73" s="246">
        <f t="shared" ref="BD73" si="65">BD113</f>
        <v>46.099804713468714</v>
      </c>
      <c r="BE73" s="246">
        <f t="shared" ref="BE73:BF73" si="66">BE114</f>
        <v>0</v>
      </c>
      <c r="BF73" s="246">
        <f t="shared" si="66"/>
        <v>32.269863299428096</v>
      </c>
    </row>
    <row r="74" spans="43:58" x14ac:dyDescent="0.2">
      <c r="AQ74" s="230" t="s">
        <v>445</v>
      </c>
      <c r="AR74" s="246">
        <f t="shared" si="60"/>
        <v>0</v>
      </c>
      <c r="AS74" s="246">
        <f t="shared" si="63"/>
        <v>0</v>
      </c>
      <c r="AT74" s="246">
        <f t="shared" si="63"/>
        <v>0</v>
      </c>
      <c r="AU74" s="246">
        <f t="shared" si="63"/>
        <v>0</v>
      </c>
      <c r="AV74" s="246">
        <f t="shared" si="63"/>
        <v>0</v>
      </c>
      <c r="AW74" s="246">
        <f t="shared" si="63"/>
        <v>0</v>
      </c>
      <c r="AX74" s="246">
        <f t="shared" si="63"/>
        <v>0</v>
      </c>
      <c r="AY74" s="246">
        <f t="shared" ref="AY74:BC74" si="67">AY115</f>
        <v>0</v>
      </c>
      <c r="AZ74" s="246">
        <f t="shared" si="67"/>
        <v>0</v>
      </c>
      <c r="BA74" s="246">
        <f t="shared" si="67"/>
        <v>0</v>
      </c>
      <c r="BB74" s="246">
        <f t="shared" si="67"/>
        <v>0</v>
      </c>
      <c r="BC74" s="246">
        <f t="shared" si="67"/>
        <v>0</v>
      </c>
      <c r="BD74" s="246">
        <f t="shared" ref="BD74" si="68">BD114</f>
        <v>0</v>
      </c>
      <c r="BE74" s="246">
        <f t="shared" ref="BE74:BF74" si="69">BE115</f>
        <v>0</v>
      </c>
      <c r="BF74" s="246">
        <f t="shared" si="69"/>
        <v>1314.2879334772852</v>
      </c>
    </row>
    <row r="75" spans="43:58" x14ac:dyDescent="0.2">
      <c r="AQ75" s="230" t="s">
        <v>446</v>
      </c>
      <c r="AR75" s="246">
        <f t="shared" si="60"/>
        <v>0</v>
      </c>
      <c r="AS75" s="246">
        <f t="shared" si="63"/>
        <v>0</v>
      </c>
      <c r="AT75" s="246">
        <f t="shared" si="63"/>
        <v>0</v>
      </c>
      <c r="AU75" s="246">
        <f t="shared" si="63"/>
        <v>0</v>
      </c>
      <c r="AV75" s="246">
        <f t="shared" si="63"/>
        <v>0</v>
      </c>
      <c r="AW75" s="246">
        <f t="shared" si="63"/>
        <v>0</v>
      </c>
      <c r="AX75" s="246">
        <f t="shared" si="63"/>
        <v>0</v>
      </c>
      <c r="AY75" s="246">
        <f t="shared" ref="AY75:BC75" si="70">AY116</f>
        <v>0</v>
      </c>
      <c r="AZ75" s="246">
        <f t="shared" si="70"/>
        <v>0</v>
      </c>
      <c r="BA75" s="246">
        <f t="shared" si="70"/>
        <v>0</v>
      </c>
      <c r="BB75" s="246">
        <f t="shared" si="70"/>
        <v>0</v>
      </c>
      <c r="BC75" s="246">
        <f t="shared" si="70"/>
        <v>0</v>
      </c>
      <c r="BD75" s="246">
        <f t="shared" ref="BD75" si="71">BD115</f>
        <v>0</v>
      </c>
      <c r="BE75" s="246">
        <f t="shared" ref="BE75:BF75" si="72">BE116</f>
        <v>0</v>
      </c>
      <c r="BF75" s="246">
        <f t="shared" si="72"/>
        <v>0</v>
      </c>
    </row>
    <row r="76" spans="43:58" x14ac:dyDescent="0.2">
      <c r="AQ76" s="230" t="s">
        <v>447</v>
      </c>
      <c r="AR76" s="246">
        <f t="shared" si="60"/>
        <v>0</v>
      </c>
      <c r="AS76" s="246">
        <f t="shared" si="63"/>
        <v>0</v>
      </c>
      <c r="AT76" s="246">
        <f t="shared" si="63"/>
        <v>0</v>
      </c>
      <c r="AU76" s="246">
        <f t="shared" si="63"/>
        <v>0</v>
      </c>
      <c r="AV76" s="246">
        <f t="shared" si="63"/>
        <v>0</v>
      </c>
      <c r="AW76" s="246">
        <f t="shared" si="63"/>
        <v>0</v>
      </c>
      <c r="AX76" s="246">
        <f t="shared" si="63"/>
        <v>0</v>
      </c>
      <c r="AY76" s="246">
        <f t="shared" ref="AY76:BC76" si="73">AY117</f>
        <v>0</v>
      </c>
      <c r="AZ76" s="246">
        <f t="shared" si="73"/>
        <v>0</v>
      </c>
      <c r="BA76" s="246">
        <f t="shared" si="73"/>
        <v>0</v>
      </c>
      <c r="BB76" s="246">
        <f t="shared" si="73"/>
        <v>0</v>
      </c>
      <c r="BC76" s="246">
        <f t="shared" si="73"/>
        <v>0</v>
      </c>
      <c r="BD76" s="246">
        <f t="shared" ref="BD76" si="74">BD116</f>
        <v>0</v>
      </c>
      <c r="BE76" s="246">
        <f t="shared" ref="BE76:BF76" si="75">BE117</f>
        <v>0</v>
      </c>
      <c r="BF76" s="246">
        <f t="shared" si="75"/>
        <v>0</v>
      </c>
    </row>
    <row r="77" spans="43:58" x14ac:dyDescent="0.2">
      <c r="AQ77" s="230" t="s">
        <v>457</v>
      </c>
      <c r="AR77" s="246">
        <f t="shared" si="60"/>
        <v>0</v>
      </c>
      <c r="AS77" s="246">
        <f t="shared" si="63"/>
        <v>0</v>
      </c>
      <c r="AT77" s="246">
        <f t="shared" si="63"/>
        <v>0</v>
      </c>
      <c r="AU77" s="246">
        <f t="shared" si="63"/>
        <v>0</v>
      </c>
      <c r="AV77" s="246">
        <f t="shared" si="63"/>
        <v>0</v>
      </c>
      <c r="AW77" s="246">
        <f t="shared" si="63"/>
        <v>0</v>
      </c>
      <c r="AX77" s="246">
        <f t="shared" si="63"/>
        <v>0</v>
      </c>
      <c r="AY77" s="246">
        <f t="shared" ref="AY77:BC77" si="76">AY118</f>
        <v>0</v>
      </c>
      <c r="AZ77" s="246">
        <f t="shared" si="76"/>
        <v>0</v>
      </c>
      <c r="BA77" s="246">
        <f t="shared" si="76"/>
        <v>0</v>
      </c>
      <c r="BB77" s="246">
        <f t="shared" si="76"/>
        <v>0</v>
      </c>
      <c r="BC77" s="246">
        <f t="shared" si="76"/>
        <v>0</v>
      </c>
      <c r="BD77" s="246">
        <f t="shared" ref="BD77" si="77">BD117</f>
        <v>0</v>
      </c>
      <c r="BE77" s="246">
        <f t="shared" ref="BE77:BF77" si="78">BE118</f>
        <v>0</v>
      </c>
      <c r="BF77" s="246">
        <f t="shared" si="78"/>
        <v>0</v>
      </c>
    </row>
    <row r="78" spans="43:58" x14ac:dyDescent="0.2">
      <c r="AQ78" s="230"/>
      <c r="AR78" s="379" t="s">
        <v>472</v>
      </c>
      <c r="AS78" s="379"/>
      <c r="AT78" s="379"/>
      <c r="AU78" s="379"/>
      <c r="AV78" s="379"/>
      <c r="AW78" s="379"/>
      <c r="AX78" s="379"/>
      <c r="AY78" s="379"/>
      <c r="AZ78" s="379"/>
      <c r="BA78" s="379"/>
      <c r="BB78" s="379"/>
      <c r="BC78" s="379"/>
      <c r="BD78" s="379"/>
      <c r="BE78" s="379"/>
      <c r="BF78" s="379"/>
    </row>
    <row r="82" spans="33:66" ht="112" customHeight="1" x14ac:dyDescent="0.2">
      <c r="AG82" s="132"/>
      <c r="AH82" s="132"/>
      <c r="AQ82" s="245"/>
      <c r="AR82" s="231" t="s">
        <v>325</v>
      </c>
      <c r="AS82" s="231" t="s">
        <v>326</v>
      </c>
      <c r="AT82" s="231" t="s">
        <v>327</v>
      </c>
      <c r="AU82" s="231" t="s">
        <v>455</v>
      </c>
      <c r="AV82" s="231" t="s">
        <v>435</v>
      </c>
      <c r="AW82" s="231" t="s">
        <v>434</v>
      </c>
      <c r="AX82" s="231" t="s">
        <v>351</v>
      </c>
      <c r="AY82" s="231" t="s">
        <v>348</v>
      </c>
      <c r="AZ82" s="231" t="s">
        <v>362</v>
      </c>
      <c r="BA82" s="231" t="s">
        <v>349</v>
      </c>
      <c r="BB82" s="231" t="s">
        <v>344</v>
      </c>
      <c r="BC82" s="231" t="s">
        <v>514</v>
      </c>
      <c r="BD82" s="231" t="s">
        <v>516</v>
      </c>
      <c r="BE82" s="231" t="s">
        <v>76</v>
      </c>
      <c r="BF82" s="231" t="s">
        <v>337</v>
      </c>
      <c r="BK82" s="231"/>
      <c r="BL82" s="231" t="s">
        <v>331</v>
      </c>
      <c r="BM82" s="231" t="s">
        <v>793</v>
      </c>
    </row>
    <row r="83" spans="33:66" x14ac:dyDescent="0.2">
      <c r="AG83" s="132"/>
      <c r="AH83" s="132"/>
      <c r="AQ83" s="132" t="s">
        <v>333</v>
      </c>
      <c r="AR83" s="234">
        <f>Ore_to_PI!AN42</f>
        <v>1011.7674660019052</v>
      </c>
      <c r="AS83" s="234"/>
      <c r="AT83" s="234"/>
      <c r="AU83" s="234"/>
      <c r="AV83" s="234"/>
      <c r="AW83" s="234"/>
      <c r="AX83" s="234"/>
      <c r="AY83" s="234"/>
      <c r="AZ83" s="234"/>
      <c r="BA83" s="234"/>
      <c r="BB83" s="234"/>
      <c r="BC83" s="234"/>
      <c r="BD83" s="234"/>
      <c r="BE83" s="234"/>
      <c r="BF83" s="234"/>
      <c r="BG83" s="243">
        <f t="shared" ref="BG83:BG118" si="79">SUM(AR83:BF83)</f>
        <v>1011.7674660019052</v>
      </c>
      <c r="BK83" s="132" t="s">
        <v>333</v>
      </c>
      <c r="BL83" s="237"/>
      <c r="BM83" s="237"/>
      <c r="BN83" s="243">
        <f>SUM(BL83:BM83)</f>
        <v>0</v>
      </c>
    </row>
    <row r="84" spans="33:66" x14ac:dyDescent="0.2">
      <c r="AG84" s="132"/>
      <c r="AH84" s="132"/>
      <c r="AQ84" s="132" t="s">
        <v>335</v>
      </c>
      <c r="AR84" s="234"/>
      <c r="AS84" s="234">
        <f>Ore_to_PI!U126</f>
        <v>208.55560337725498</v>
      </c>
      <c r="AT84" s="234"/>
      <c r="AU84" s="234"/>
      <c r="AV84" s="234"/>
      <c r="AW84" s="234"/>
      <c r="AX84" s="234"/>
      <c r="AY84" s="234"/>
      <c r="AZ84" s="234"/>
      <c r="BA84" s="234"/>
      <c r="BB84" s="234"/>
      <c r="BC84" s="234"/>
      <c r="BD84" s="234"/>
      <c r="BE84" s="234"/>
      <c r="BF84" s="234"/>
      <c r="BG84" s="243">
        <f t="shared" si="79"/>
        <v>208.55560337725498</v>
      </c>
      <c r="BK84" s="132" t="s">
        <v>335</v>
      </c>
      <c r="BL84" s="237"/>
      <c r="BM84" s="237"/>
      <c r="BN84" s="243">
        <f>SUM(BL84:BM84)</f>
        <v>0</v>
      </c>
    </row>
    <row r="85" spans="33:66" x14ac:dyDescent="0.2">
      <c r="AG85" s="132"/>
      <c r="AH85" s="132"/>
      <c r="AQ85" s="132" t="s">
        <v>336</v>
      </c>
      <c r="AR85" s="234"/>
      <c r="AS85" s="234"/>
      <c r="AT85" s="234">
        <f>Ore_to_PI!U206</f>
        <v>298.6148747230165</v>
      </c>
      <c r="AU85" s="234"/>
      <c r="AV85" s="234"/>
      <c r="AW85" s="234"/>
      <c r="AX85" s="234"/>
      <c r="AY85" s="234"/>
      <c r="AZ85" s="234"/>
      <c r="BA85" s="234"/>
      <c r="BB85" s="234"/>
      <c r="BC85" s="234"/>
      <c r="BD85" s="234"/>
      <c r="BE85" s="234"/>
      <c r="BF85" s="234"/>
      <c r="BG85" s="243">
        <f t="shared" si="79"/>
        <v>298.6148747230165</v>
      </c>
      <c r="BK85" s="132" t="s">
        <v>336</v>
      </c>
      <c r="BL85" s="237"/>
      <c r="BM85" s="237"/>
      <c r="BN85" s="243">
        <f>SUM(BL85:BM85)</f>
        <v>0</v>
      </c>
    </row>
    <row r="86" spans="33:66" x14ac:dyDescent="0.2">
      <c r="AG86" s="132"/>
      <c r="AH86" s="132"/>
      <c r="AQ86" s="132" t="s">
        <v>355</v>
      </c>
      <c r="AR86" s="234">
        <f>Ore_to_PI!U72</f>
        <v>30.150427560669065</v>
      </c>
      <c r="AS86" s="234">
        <f>Ore_to_PI!U163</f>
        <v>9.0394269236644703E-2</v>
      </c>
      <c r="AT86" s="234">
        <f>Ore_to_PI!U236</f>
        <v>7.4647476716394348</v>
      </c>
      <c r="AU86" s="234"/>
      <c r="AV86" s="234"/>
      <c r="AW86" s="234"/>
      <c r="AX86" s="234"/>
      <c r="AY86" s="234"/>
      <c r="AZ86" s="234"/>
      <c r="BA86" s="234">
        <f>Ore_to_PI!CA140</f>
        <v>644.2421909044931</v>
      </c>
      <c r="BB86" s="234">
        <f>Ore_to_PI!CA232</f>
        <v>3494.7460959815226</v>
      </c>
      <c r="BC86" s="234"/>
      <c r="BD86" s="234"/>
      <c r="BE86" s="234"/>
      <c r="BF86" s="236">
        <f>Ore_to_PI!EL140</f>
        <v>2852.0490535886452</v>
      </c>
      <c r="BG86" s="243">
        <f t="shared" si="79"/>
        <v>7028.7429099762066</v>
      </c>
      <c r="BK86" s="132" t="s">
        <v>355</v>
      </c>
      <c r="BL86" s="237"/>
      <c r="BM86" s="237"/>
      <c r="BN86" s="243">
        <f t="shared" ref="BN86:BN90" si="80">SUM(BL86:BM86)</f>
        <v>0</v>
      </c>
    </row>
    <row r="87" spans="33:66" x14ac:dyDescent="0.2">
      <c r="AG87" s="132"/>
      <c r="AH87" s="132"/>
      <c r="AQ87" s="132" t="s">
        <v>377</v>
      </c>
      <c r="AR87" s="234"/>
      <c r="AS87" s="234"/>
      <c r="AT87" s="234"/>
      <c r="AU87" s="234"/>
      <c r="AV87" s="234"/>
      <c r="AW87" s="234"/>
      <c r="AX87" s="234"/>
      <c r="AY87" s="234"/>
      <c r="AZ87" s="234"/>
      <c r="BA87" s="234">
        <f>Ore_to_PI!CA152</f>
        <v>37.630021206323519</v>
      </c>
      <c r="BB87" s="234">
        <f>Ore_to_PI!CA244</f>
        <v>204.127223518021</v>
      </c>
      <c r="BC87" s="234"/>
      <c r="BD87" s="234"/>
      <c r="BE87" s="234"/>
      <c r="BF87" s="234">
        <f>Ore_to_PI!EL114</f>
        <v>44.927545117863247</v>
      </c>
      <c r="BG87" s="243">
        <f t="shared" si="79"/>
        <v>286.68478984220775</v>
      </c>
      <c r="BK87" s="132" t="s">
        <v>377</v>
      </c>
      <c r="BL87" s="237"/>
      <c r="BM87" s="237"/>
      <c r="BN87" s="243">
        <f t="shared" si="80"/>
        <v>0</v>
      </c>
    </row>
    <row r="88" spans="33:66" x14ac:dyDescent="0.2">
      <c r="AG88" s="132"/>
      <c r="AH88" s="132"/>
      <c r="AQ88" s="132" t="s">
        <v>466</v>
      </c>
      <c r="AR88" s="234">
        <f>Ore_to_PI!U59</f>
        <v>2.0694989883749622</v>
      </c>
      <c r="AS88" s="234">
        <f>Ore_to_PI!U140</f>
        <v>5.671161105764883E-3</v>
      </c>
      <c r="AT88" s="234">
        <f>Ore_to_PI!U222</f>
        <v>0.51237375403207552</v>
      </c>
      <c r="AU88" s="234"/>
      <c r="AV88" s="234"/>
      <c r="AW88" s="234"/>
      <c r="AX88" s="234"/>
      <c r="AY88" s="234"/>
      <c r="AZ88" s="234"/>
      <c r="BA88" s="234"/>
      <c r="BB88" s="234"/>
      <c r="BC88" s="234"/>
      <c r="BD88" s="234"/>
      <c r="BE88" s="234"/>
      <c r="BF88" s="234"/>
      <c r="BG88" s="243">
        <f t="shared" si="79"/>
        <v>2.5875439035128025</v>
      </c>
      <c r="BK88" s="132" t="s">
        <v>466</v>
      </c>
      <c r="BL88" s="237"/>
      <c r="BM88" s="237"/>
      <c r="BN88" s="243">
        <f t="shared" si="80"/>
        <v>0</v>
      </c>
    </row>
    <row r="89" spans="33:66" x14ac:dyDescent="0.2">
      <c r="AG89" s="132"/>
      <c r="AH89" s="132"/>
      <c r="AQ89" s="132" t="s">
        <v>467</v>
      </c>
      <c r="AR89" s="234"/>
      <c r="AS89" s="234">
        <f>Ore_to_PI!U151</f>
        <v>5.1714158616864253E-4</v>
      </c>
      <c r="AT89" s="234"/>
      <c r="AU89" s="234"/>
      <c r="AV89" s="234"/>
      <c r="AW89" s="234"/>
      <c r="AX89" s="234"/>
      <c r="AY89" s="234"/>
      <c r="AZ89" s="234"/>
      <c r="BA89" s="234"/>
      <c r="BB89" s="234"/>
      <c r="BC89" s="234"/>
      <c r="BD89" s="234"/>
      <c r="BE89" s="234"/>
      <c r="BF89" s="234"/>
      <c r="BG89" s="243">
        <f t="shared" si="79"/>
        <v>5.1714158616864253E-4</v>
      </c>
      <c r="BK89" s="132" t="s">
        <v>467</v>
      </c>
      <c r="BL89" s="237"/>
      <c r="BM89" s="237"/>
      <c r="BN89" s="243">
        <f t="shared" si="80"/>
        <v>0</v>
      </c>
    </row>
    <row r="90" spans="33:66" x14ac:dyDescent="0.2">
      <c r="AG90" s="132"/>
      <c r="AH90" s="132"/>
      <c r="AQ90" s="132" t="s">
        <v>411</v>
      </c>
      <c r="AR90" s="234"/>
      <c r="AS90" s="234"/>
      <c r="AT90" s="234"/>
      <c r="AU90" s="234"/>
      <c r="AV90" s="234"/>
      <c r="AW90" s="234"/>
      <c r="AX90" s="234"/>
      <c r="AY90" s="234"/>
      <c r="AZ90" s="234"/>
      <c r="BA90" s="234"/>
      <c r="BB90" s="234"/>
      <c r="BC90" s="234"/>
      <c r="BD90" s="234"/>
      <c r="BE90" s="234"/>
      <c r="BF90" s="234">
        <f>Ore_to_PI!EL101</f>
        <v>4.914718171980665</v>
      </c>
      <c r="BG90" s="243">
        <f t="shared" si="79"/>
        <v>4.914718171980665</v>
      </c>
      <c r="BK90" s="132" t="s">
        <v>411</v>
      </c>
      <c r="BL90" s="237"/>
      <c r="BM90" s="237"/>
      <c r="BN90" s="243">
        <f t="shared" si="80"/>
        <v>0</v>
      </c>
    </row>
    <row r="91" spans="33:66" x14ac:dyDescent="0.2">
      <c r="AG91" s="239"/>
      <c r="AH91" s="239"/>
      <c r="AQ91" s="132" t="s">
        <v>459</v>
      </c>
      <c r="AR91" s="234"/>
      <c r="AS91" s="234"/>
      <c r="AT91" s="234">
        <v>0</v>
      </c>
      <c r="AU91" s="234">
        <v>0</v>
      </c>
      <c r="AV91" s="234">
        <v>0</v>
      </c>
      <c r="AW91" s="234">
        <v>0</v>
      </c>
      <c r="AX91" s="234">
        <v>0</v>
      </c>
      <c r="AY91" s="234">
        <v>0</v>
      </c>
      <c r="AZ91" s="234">
        <v>0</v>
      </c>
      <c r="BA91" s="234"/>
      <c r="BB91" s="234"/>
      <c r="BC91" s="234">
        <v>0</v>
      </c>
      <c r="BD91" s="234"/>
      <c r="BE91" s="234"/>
      <c r="BF91" s="234">
        <v>0</v>
      </c>
      <c r="BG91" s="243">
        <f t="shared" si="79"/>
        <v>0</v>
      </c>
      <c r="BK91" s="132" t="s">
        <v>459</v>
      </c>
      <c r="BL91" s="237"/>
      <c r="BM91" s="237"/>
      <c r="BN91" s="243">
        <f t="shared" ref="BN91:BN97" si="81">SUM(BL91:BM91)</f>
        <v>0</v>
      </c>
    </row>
    <row r="92" spans="33:66" ht="16" customHeight="1" x14ac:dyDescent="0.2">
      <c r="AG92" s="229"/>
      <c r="AH92" s="229"/>
      <c r="AQ92" s="229" t="s">
        <v>442</v>
      </c>
      <c r="AR92" s="234"/>
      <c r="AS92" s="234"/>
      <c r="AT92" s="234"/>
      <c r="AU92" s="234">
        <f>Ore_to_PI!AN42</f>
        <v>1011.7674660019052</v>
      </c>
      <c r="AV92" s="234"/>
      <c r="AW92" s="234"/>
      <c r="AX92" s="234"/>
      <c r="AY92" s="234"/>
      <c r="AZ92" s="234"/>
      <c r="BA92" s="234"/>
      <c r="BB92" s="234"/>
      <c r="BC92" s="234"/>
      <c r="BD92" s="234"/>
      <c r="BE92" s="234"/>
      <c r="BF92" s="234"/>
      <c r="BG92" s="243">
        <f t="shared" si="79"/>
        <v>1011.7674660019052</v>
      </c>
      <c r="BK92" s="229" t="s">
        <v>442</v>
      </c>
      <c r="BL92" s="237"/>
      <c r="BM92" s="237"/>
      <c r="BN92" s="243">
        <f t="shared" si="81"/>
        <v>0</v>
      </c>
    </row>
    <row r="93" spans="33:66" x14ac:dyDescent="0.2">
      <c r="AG93" s="230"/>
      <c r="AH93" s="230"/>
      <c r="AQ93" s="132" t="s">
        <v>409</v>
      </c>
      <c r="AR93" s="234"/>
      <c r="AS93" s="234"/>
      <c r="AT93" s="234"/>
      <c r="AU93" s="234"/>
      <c r="AV93" s="234"/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43">
        <f t="shared" si="79"/>
        <v>0</v>
      </c>
      <c r="BK93" s="132" t="s">
        <v>409</v>
      </c>
      <c r="BL93" s="237"/>
      <c r="BM93" s="237">
        <f>Ore_to_PI!AN63</f>
        <v>32.219926549044033</v>
      </c>
      <c r="BN93" s="243">
        <f t="shared" si="81"/>
        <v>32.219926549044033</v>
      </c>
    </row>
    <row r="94" spans="33:66" ht="16" customHeight="1" x14ac:dyDescent="0.2">
      <c r="AG94" s="230"/>
      <c r="AH94" s="230"/>
      <c r="AQ94" s="229" t="s">
        <v>412</v>
      </c>
      <c r="AR94" s="234"/>
      <c r="AS94" s="234"/>
      <c r="AT94" s="234"/>
      <c r="AU94" s="234"/>
      <c r="AV94" s="234">
        <f>Ore_to_PI!AO126</f>
        <v>208.55560337725498</v>
      </c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43">
        <f t="shared" si="79"/>
        <v>208.55560337725498</v>
      </c>
      <c r="BK94" s="229" t="s">
        <v>412</v>
      </c>
      <c r="BL94" s="237"/>
      <c r="BM94" s="241"/>
      <c r="BN94" s="243">
        <f t="shared" si="81"/>
        <v>0</v>
      </c>
    </row>
    <row r="95" spans="33:66" x14ac:dyDescent="0.2">
      <c r="AG95" s="230"/>
      <c r="AH95" s="230"/>
      <c r="AQ95" s="132" t="s">
        <v>437</v>
      </c>
      <c r="AR95" s="234"/>
      <c r="AS95" s="234"/>
      <c r="AT95" s="234"/>
      <c r="AU95" s="234"/>
      <c r="AV95" s="234"/>
      <c r="AW95" s="234"/>
      <c r="AX95" s="234"/>
      <c r="AY95" s="234"/>
      <c r="AZ95" s="234"/>
      <c r="BA95" s="234"/>
      <c r="BB95" s="234"/>
      <c r="BC95" s="234"/>
      <c r="BD95" s="234"/>
      <c r="BE95" s="236"/>
      <c r="BF95" s="234"/>
      <c r="BG95" s="243">
        <f t="shared" si="79"/>
        <v>0</v>
      </c>
      <c r="BK95" s="132" t="s">
        <v>437</v>
      </c>
      <c r="BL95" s="237"/>
      <c r="BM95" s="237">
        <f>Ore_to_PI!AO142</f>
        <v>9.658257192857822E-2</v>
      </c>
      <c r="BN95" s="243">
        <f t="shared" si="81"/>
        <v>9.658257192857822E-2</v>
      </c>
    </row>
    <row r="96" spans="33:66" x14ac:dyDescent="0.2">
      <c r="AG96" s="230"/>
      <c r="AH96" s="230"/>
      <c r="AQ96" s="230" t="s">
        <v>430</v>
      </c>
      <c r="AR96" s="234"/>
      <c r="AS96" s="234"/>
      <c r="AT96" s="234"/>
      <c r="AU96" s="234"/>
      <c r="AV96" s="234"/>
      <c r="AW96" s="234">
        <f>Ore_to_PI!AO206</f>
        <v>298.6148747230165</v>
      </c>
      <c r="AX96" s="234"/>
      <c r="AY96" s="234"/>
      <c r="AZ96" s="234"/>
      <c r="BA96" s="234"/>
      <c r="BB96" s="234"/>
      <c r="BC96" s="234"/>
      <c r="BD96" s="234"/>
      <c r="BE96" s="234"/>
      <c r="BF96" s="236"/>
      <c r="BG96" s="243">
        <f t="shared" si="79"/>
        <v>298.6148747230165</v>
      </c>
      <c r="BK96" s="230" t="s">
        <v>430</v>
      </c>
      <c r="BL96" s="237"/>
      <c r="BM96" s="237"/>
      <c r="BN96" s="243">
        <f t="shared" si="81"/>
        <v>0</v>
      </c>
    </row>
    <row r="97" spans="33:71" x14ac:dyDescent="0.2">
      <c r="AG97" s="230"/>
      <c r="AH97" s="230"/>
      <c r="AQ97" s="132" t="s">
        <v>416</v>
      </c>
      <c r="AR97" s="234"/>
      <c r="AS97" s="234"/>
      <c r="AT97" s="234"/>
      <c r="AU97" s="234"/>
      <c r="AV97" s="234"/>
      <c r="AW97" s="234"/>
      <c r="AX97" s="234"/>
      <c r="AY97" s="234"/>
      <c r="AZ97" s="234"/>
      <c r="BA97" s="234"/>
      <c r="BB97" s="234"/>
      <c r="BC97" s="234"/>
      <c r="BD97" s="234"/>
      <c r="BE97" s="234"/>
      <c r="BF97" s="234"/>
      <c r="BG97" s="243">
        <f t="shared" si="79"/>
        <v>0</v>
      </c>
      <c r="BK97" s="132" t="s">
        <v>416</v>
      </c>
      <c r="BL97" s="237"/>
      <c r="BM97" s="237">
        <f>Ore_to_PI!AO227</f>
        <v>7.9771214256715108</v>
      </c>
      <c r="BN97" s="243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0"/>
      <c r="AH98" s="230"/>
      <c r="AQ98" s="229" t="s">
        <v>441</v>
      </c>
      <c r="AR98" s="234"/>
      <c r="AS98" s="234"/>
      <c r="AT98" s="234"/>
      <c r="AU98" s="234"/>
      <c r="AV98" s="234"/>
      <c r="AW98" s="234"/>
      <c r="AX98" s="234">
        <f>Ore_to_PI!BG42</f>
        <v>1011.7674660019052</v>
      </c>
      <c r="AY98" s="234"/>
      <c r="AZ98" s="234"/>
      <c r="BA98" s="234"/>
      <c r="BB98" s="234"/>
      <c r="BC98" s="234"/>
      <c r="BD98" s="234"/>
      <c r="BE98" s="234"/>
      <c r="BF98" s="234"/>
      <c r="BG98" s="243">
        <f t="shared" si="79"/>
        <v>1011.7674660019052</v>
      </c>
      <c r="BK98" s="229" t="s">
        <v>441</v>
      </c>
      <c r="BL98" s="237"/>
      <c r="BM98" s="237"/>
      <c r="BN98" s="243">
        <f t="shared" ref="BN98:BN118" si="82">SUM(BL98:BM98)</f>
        <v>0</v>
      </c>
    </row>
    <row r="99" spans="33:71" ht="16" customHeight="1" x14ac:dyDescent="0.2">
      <c r="AG99" s="230"/>
      <c r="AH99" s="230"/>
      <c r="AQ99" s="229" t="s">
        <v>436</v>
      </c>
      <c r="AR99" s="234"/>
      <c r="AS99" s="234"/>
      <c r="AT99" s="234"/>
      <c r="AU99" s="234"/>
      <c r="AV99" s="234"/>
      <c r="AW99" s="234"/>
      <c r="AX99" s="234"/>
      <c r="AY99" s="234">
        <f>Ore_to_PI!BH126</f>
        <v>208.55560337725498</v>
      </c>
      <c r="AZ99" s="234"/>
      <c r="BA99" s="234"/>
      <c r="BB99" s="234"/>
      <c r="BC99" s="234"/>
      <c r="BD99" s="234"/>
      <c r="BE99" s="234"/>
      <c r="BF99" s="234"/>
      <c r="BG99" s="243">
        <f t="shared" si="79"/>
        <v>208.55560337725498</v>
      </c>
      <c r="BK99" s="229" t="s">
        <v>436</v>
      </c>
      <c r="BL99" s="237"/>
      <c r="BM99" s="237"/>
      <c r="BN99" s="243">
        <f t="shared" si="82"/>
        <v>0</v>
      </c>
    </row>
    <row r="100" spans="33:71" ht="16" customHeight="1" x14ac:dyDescent="0.2">
      <c r="AG100" s="244"/>
      <c r="AH100" s="244"/>
      <c r="AQ100" s="229" t="s">
        <v>433</v>
      </c>
      <c r="AR100" s="234"/>
      <c r="AS100" s="234"/>
      <c r="AT100" s="234"/>
      <c r="AU100" s="234"/>
      <c r="AV100" s="234"/>
      <c r="AW100" s="234"/>
      <c r="AX100" s="234"/>
      <c r="AY100" s="234"/>
      <c r="AZ100" s="234">
        <f>Ore_to_PI!BH206</f>
        <v>298.6148747230165</v>
      </c>
      <c r="BA100" s="234"/>
      <c r="BB100" s="234"/>
      <c r="BC100" s="234"/>
      <c r="BD100" s="234"/>
      <c r="BE100" s="234"/>
      <c r="BF100" s="234"/>
      <c r="BG100" s="243">
        <f t="shared" si="79"/>
        <v>298.6148747230165</v>
      </c>
      <c r="BK100" s="229" t="s">
        <v>433</v>
      </c>
      <c r="BL100" s="237"/>
      <c r="BM100" s="237"/>
      <c r="BN100" s="243">
        <f t="shared" si="82"/>
        <v>0</v>
      </c>
    </row>
    <row r="101" spans="33:71" ht="16" customHeight="1" x14ac:dyDescent="0.2">
      <c r="AG101" s="230"/>
      <c r="AH101" s="230"/>
      <c r="AQ101" s="229" t="s">
        <v>439</v>
      </c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4"/>
      <c r="BB101" s="234"/>
      <c r="BC101" s="234"/>
      <c r="BD101" s="234"/>
      <c r="BE101" s="234">
        <f>Ore_to_PI!BZ42</f>
        <v>1000.0000000000001</v>
      </c>
      <c r="BF101" s="234"/>
      <c r="BG101" s="243">
        <f t="shared" si="79"/>
        <v>1000.0000000000001</v>
      </c>
      <c r="BH101" s="52"/>
      <c r="BI101" s="52"/>
      <c r="BK101" s="229" t="s">
        <v>439</v>
      </c>
      <c r="BL101" s="237"/>
      <c r="BM101" s="237"/>
      <c r="BN101" s="243">
        <f t="shared" si="82"/>
        <v>0</v>
      </c>
    </row>
    <row r="102" spans="33:71" x14ac:dyDescent="0.2">
      <c r="AG102" s="230"/>
      <c r="AH102" s="230"/>
      <c r="AQ102" s="230" t="s">
        <v>438</v>
      </c>
      <c r="AR102" s="234"/>
      <c r="AS102" s="234"/>
      <c r="AT102" s="234"/>
      <c r="AU102" s="234"/>
      <c r="AV102" s="234"/>
      <c r="AW102" s="234"/>
      <c r="AX102" s="234"/>
      <c r="AY102" s="234"/>
      <c r="AZ102" s="234"/>
      <c r="BA102" s="234"/>
      <c r="BB102" s="234"/>
      <c r="BC102" s="234"/>
      <c r="BD102" s="234"/>
      <c r="BE102" s="234"/>
      <c r="BF102" s="236"/>
      <c r="BG102" s="243">
        <f t="shared" si="79"/>
        <v>0</v>
      </c>
      <c r="BK102" s="230" t="s">
        <v>438</v>
      </c>
      <c r="BL102" s="237"/>
      <c r="BM102" s="237">
        <f>Beneficiation_Iron_waste</f>
        <v>11.767466001905108</v>
      </c>
      <c r="BN102" s="243">
        <f t="shared" si="82"/>
        <v>11.767466001905108</v>
      </c>
    </row>
    <row r="103" spans="33:71" x14ac:dyDescent="0.2">
      <c r="AG103" s="230"/>
      <c r="AH103" s="230"/>
      <c r="AQ103" s="230" t="s">
        <v>424</v>
      </c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4">
        <f>Ore_to_PI!CA126</f>
        <v>208.55560337725498</v>
      </c>
      <c r="BB103" s="234"/>
      <c r="BC103" s="234"/>
      <c r="BD103" s="234"/>
      <c r="BE103" s="234"/>
      <c r="BF103" s="234"/>
      <c r="BG103" s="243">
        <f t="shared" si="79"/>
        <v>208.55560337725498</v>
      </c>
      <c r="BK103" s="230" t="s">
        <v>424</v>
      </c>
      <c r="BL103" s="237"/>
      <c r="BM103" s="237"/>
      <c r="BN103" s="243">
        <f t="shared" si="82"/>
        <v>0</v>
      </c>
    </row>
    <row r="104" spans="33:71" x14ac:dyDescent="0.2">
      <c r="AG104" s="230"/>
      <c r="AH104" s="230"/>
      <c r="AQ104" s="230" t="s">
        <v>456</v>
      </c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4"/>
      <c r="BB104" s="234">
        <f>Ore_to_PI!CA206</f>
        <v>298.6148747230165</v>
      </c>
      <c r="BC104" s="234"/>
      <c r="BD104" s="234"/>
      <c r="BE104" s="234"/>
      <c r="BF104" s="234"/>
      <c r="BG104" s="243">
        <f t="shared" si="79"/>
        <v>298.6148747230165</v>
      </c>
      <c r="BK104" s="230" t="s">
        <v>456</v>
      </c>
      <c r="BL104" s="237"/>
      <c r="BM104" s="237"/>
      <c r="BN104" s="243">
        <f t="shared" si="82"/>
        <v>0</v>
      </c>
    </row>
    <row r="105" spans="33:71" x14ac:dyDescent="0.2">
      <c r="AG105" s="230"/>
      <c r="AH105" s="230"/>
      <c r="AQ105" s="230" t="s">
        <v>425</v>
      </c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4"/>
      <c r="BB105" s="234"/>
      <c r="BC105" s="234"/>
      <c r="BD105" s="234"/>
      <c r="BE105" s="234">
        <f>Ore_to_PI!CV126</f>
        <v>111.00813284002646</v>
      </c>
      <c r="BF105" s="234"/>
      <c r="BG105" s="243">
        <f t="shared" si="79"/>
        <v>111.00813284002646</v>
      </c>
      <c r="BK105" s="230" t="s">
        <v>425</v>
      </c>
      <c r="BL105" s="237"/>
      <c r="BM105" s="237"/>
      <c r="BN105" s="243">
        <f t="shared" si="82"/>
        <v>0</v>
      </c>
    </row>
    <row r="106" spans="33:71" x14ac:dyDescent="0.2">
      <c r="AG106" s="230"/>
      <c r="AH106" s="230"/>
      <c r="AQ106" s="230" t="s">
        <v>427</v>
      </c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6"/>
      <c r="BG106" s="243">
        <f t="shared" si="79"/>
        <v>0</v>
      </c>
      <c r="BK106" s="230" t="s">
        <v>427</v>
      </c>
      <c r="BL106" s="237"/>
      <c r="BM106" s="237">
        <f>Kiln_SolidWaste</f>
        <v>4.9847525450981189</v>
      </c>
      <c r="BN106" s="243">
        <f t="shared" si="82"/>
        <v>4.9847525450981189</v>
      </c>
    </row>
    <row r="107" spans="33:71" x14ac:dyDescent="0.2">
      <c r="AG107" s="230"/>
      <c r="AH107" s="230"/>
      <c r="AQ107" s="230" t="s">
        <v>426</v>
      </c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/>
      <c r="BE107" s="234"/>
      <c r="BF107" s="234"/>
      <c r="BG107" s="243">
        <f t="shared" si="79"/>
        <v>0</v>
      </c>
      <c r="BK107" s="230" t="s">
        <v>426</v>
      </c>
      <c r="BL107" s="237"/>
      <c r="BM107" s="237">
        <f>Ore_to_PI!CV138</f>
        <v>774.43493010294708</v>
      </c>
      <c r="BN107" s="243">
        <f t="shared" si="82"/>
        <v>774.43493010294708</v>
      </c>
    </row>
    <row r="108" spans="33:71" x14ac:dyDescent="0.2">
      <c r="AG108" s="230"/>
      <c r="AH108" s="230"/>
      <c r="AQ108" s="230" t="s">
        <v>484</v>
      </c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>
        <f>Ore_to_PI!CV206</f>
        <v>203.27980063725872</v>
      </c>
      <c r="BF108" s="234"/>
      <c r="BG108" s="243">
        <f t="shared" si="79"/>
        <v>203.27980063725872</v>
      </c>
      <c r="BK108" s="230" t="s">
        <v>484</v>
      </c>
      <c r="BL108" s="237"/>
      <c r="BM108" s="237"/>
      <c r="BN108" s="243">
        <f t="shared" si="82"/>
        <v>0</v>
      </c>
    </row>
    <row r="109" spans="33:71" ht="16" customHeight="1" x14ac:dyDescent="0.2">
      <c r="AG109" s="230"/>
      <c r="AH109" s="230"/>
      <c r="AQ109" s="244" t="s">
        <v>422</v>
      </c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4"/>
      <c r="BB109" s="234"/>
      <c r="BC109" s="234">
        <f>Ore_to_PI!CV234</f>
        <v>46.0998047134687</v>
      </c>
      <c r="BD109" s="234"/>
      <c r="BE109" s="234"/>
      <c r="BF109" s="234"/>
      <c r="BG109" s="243">
        <f t="shared" si="79"/>
        <v>46.0998047134687</v>
      </c>
      <c r="BK109" s="244" t="s">
        <v>422</v>
      </c>
      <c r="BL109" s="237"/>
      <c r="BM109" s="237"/>
      <c r="BN109" s="243">
        <f t="shared" si="82"/>
        <v>0</v>
      </c>
    </row>
    <row r="110" spans="33:71" ht="16" customHeight="1" x14ac:dyDescent="0.2">
      <c r="AG110" s="230"/>
      <c r="AH110" s="230"/>
      <c r="AQ110" s="244" t="s">
        <v>552</v>
      </c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43">
        <f t="shared" si="79"/>
        <v>0</v>
      </c>
      <c r="BK110" s="244" t="s">
        <v>552</v>
      </c>
      <c r="BL110" s="237"/>
      <c r="BM110" s="237">
        <f>Ore_to_PI!CV267</f>
        <v>23.982067525572877</v>
      </c>
      <c r="BN110" s="243">
        <f t="shared" si="82"/>
        <v>23.982067525572877</v>
      </c>
    </row>
    <row r="111" spans="33:71" x14ac:dyDescent="0.2">
      <c r="AG111" s="230"/>
      <c r="AH111" s="230"/>
      <c r="AQ111" s="230" t="s">
        <v>421</v>
      </c>
      <c r="AR111" s="234"/>
      <c r="AS111" s="234"/>
      <c r="AT111" s="234"/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43">
        <f t="shared" si="79"/>
        <v>0</v>
      </c>
      <c r="BK111" s="230" t="s">
        <v>421</v>
      </c>
      <c r="BL111" s="237"/>
      <c r="BM111" s="237">
        <f>Beneficiation_CoalWaste</f>
        <v>25.253201846716312</v>
      </c>
      <c r="BN111" s="243">
        <f t="shared" si="82"/>
        <v>25.253201846716312</v>
      </c>
    </row>
    <row r="112" spans="33:71" x14ac:dyDescent="0.2">
      <c r="AG112" s="230"/>
      <c r="AH112" s="230"/>
      <c r="AQ112" s="132" t="s">
        <v>423</v>
      </c>
      <c r="AR112" s="234"/>
      <c r="AS112" s="234"/>
      <c r="AT112" s="234"/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43">
        <f t="shared" si="79"/>
        <v>0</v>
      </c>
      <c r="BK112" s="132" t="s">
        <v>423</v>
      </c>
      <c r="BL112" s="237"/>
      <c r="BM112" s="237">
        <f>Ore_to_PI!CV251</f>
        <v>3698.8733194995434</v>
      </c>
      <c r="BN112" s="243">
        <f t="shared" si="82"/>
        <v>3698.8733194995434</v>
      </c>
    </row>
    <row r="113" spans="2:66" x14ac:dyDescent="0.2">
      <c r="AG113" s="230"/>
      <c r="AH113" s="230"/>
      <c r="AQ113" s="230" t="s">
        <v>515</v>
      </c>
      <c r="AR113" s="234"/>
      <c r="AS113" s="234"/>
      <c r="AT113" s="234"/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>
        <f>Ore_to_PI!$DP$233</f>
        <v>46.099804713468714</v>
      </c>
      <c r="BE113" s="234"/>
      <c r="BF113" s="236"/>
      <c r="BG113" s="243">
        <f t="shared" si="79"/>
        <v>46.099804713468714</v>
      </c>
      <c r="BK113" s="230" t="s">
        <v>515</v>
      </c>
      <c r="BL113" s="237"/>
      <c r="BM113" s="237"/>
      <c r="BN113" s="243">
        <f t="shared" si="82"/>
        <v>0</v>
      </c>
    </row>
    <row r="114" spans="2:66" x14ac:dyDescent="0.2">
      <c r="AG114" s="230"/>
      <c r="AH114" s="230"/>
      <c r="AQ114" s="230" t="s">
        <v>517</v>
      </c>
      <c r="AR114" s="234"/>
      <c r="AS114" s="234"/>
      <c r="AT114" s="234"/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6">
        <f>Ore_to_PI!$EL$152</f>
        <v>32.269863299428096</v>
      </c>
      <c r="BG114" s="243">
        <f t="shared" si="79"/>
        <v>32.269863299428096</v>
      </c>
      <c r="BK114" s="230" t="s">
        <v>517</v>
      </c>
      <c r="BL114" s="237">
        <f>Ore_to_PI!$FF$233</f>
        <v>13.829941414040613</v>
      </c>
      <c r="BM114" s="237"/>
      <c r="BN114" s="243">
        <f t="shared" si="82"/>
        <v>13.829941414040613</v>
      </c>
    </row>
    <row r="115" spans="2:66" x14ac:dyDescent="0.2">
      <c r="AG115" s="230"/>
      <c r="AH115" s="230"/>
      <c r="AQ115" s="230" t="s">
        <v>445</v>
      </c>
      <c r="AR115" s="234"/>
      <c r="AS115" s="234"/>
      <c r="AT115" s="234"/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6">
        <f>Ore_to_PI!EL126</f>
        <v>1314.2879334772852</v>
      </c>
      <c r="BG115" s="243">
        <f t="shared" si="79"/>
        <v>1314.2879334772852</v>
      </c>
      <c r="BK115" s="230" t="s">
        <v>445</v>
      </c>
      <c r="BL115" s="237"/>
      <c r="BM115" s="237"/>
      <c r="BN115" s="243">
        <f t="shared" si="82"/>
        <v>0</v>
      </c>
    </row>
    <row r="116" spans="2:66" x14ac:dyDescent="0.2">
      <c r="AG116" s="230"/>
      <c r="AH116" s="230"/>
      <c r="AQ116" s="230" t="s">
        <v>446</v>
      </c>
      <c r="AR116" s="234"/>
      <c r="AS116" s="234"/>
      <c r="AT116" s="234"/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43">
        <f t="shared" si="79"/>
        <v>0</v>
      </c>
      <c r="BK116" s="230" t="s">
        <v>446</v>
      </c>
      <c r="BL116" s="237">
        <f>Ore_to_PI!FL126</f>
        <v>616.23583583508366</v>
      </c>
      <c r="BM116" s="237"/>
      <c r="BN116" s="243">
        <f t="shared" si="82"/>
        <v>616.23583583508366</v>
      </c>
    </row>
    <row r="117" spans="2:66" x14ac:dyDescent="0.2">
      <c r="AG117" s="230"/>
      <c r="AH117" s="230"/>
      <c r="AQ117" s="230" t="s">
        <v>447</v>
      </c>
      <c r="AR117" s="234"/>
      <c r="AS117" s="234"/>
      <c r="AT117" s="234"/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43">
        <f t="shared" si="79"/>
        <v>0</v>
      </c>
      <c r="BK117" s="230" t="s">
        <v>447</v>
      </c>
      <c r="BL117" s="237"/>
      <c r="BM117" s="237">
        <f>Ore_to_PI!FL141</f>
        <v>3402.2651449800928</v>
      </c>
      <c r="BN117" s="243">
        <f t="shared" si="82"/>
        <v>3402.2651449800928</v>
      </c>
    </row>
    <row r="118" spans="2:66" x14ac:dyDescent="0.2">
      <c r="AG118" s="230"/>
      <c r="AH118" s="230"/>
      <c r="AQ118" s="230" t="s">
        <v>457</v>
      </c>
      <c r="AR118" s="234"/>
      <c r="AS118" s="234"/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43">
        <f t="shared" si="79"/>
        <v>0</v>
      </c>
      <c r="BK118" s="230" t="s">
        <v>457</v>
      </c>
      <c r="BL118" s="237"/>
      <c r="BM118" s="237">
        <f>BF_SolidWaste</f>
        <v>229.94813284002646</v>
      </c>
      <c r="BN118" s="243">
        <f t="shared" si="82"/>
        <v>229.94813284002646</v>
      </c>
    </row>
    <row r="119" spans="2:66" x14ac:dyDescent="0.2">
      <c r="AG119" s="230"/>
      <c r="AH119" s="230"/>
      <c r="AQ119" s="230"/>
      <c r="AR119" s="379" t="s">
        <v>328</v>
      </c>
      <c r="AS119" s="379"/>
      <c r="AT119" s="379"/>
      <c r="AU119" s="379"/>
      <c r="AV119" s="379"/>
      <c r="AW119" s="379"/>
      <c r="AX119" s="379"/>
      <c r="AY119" s="379"/>
      <c r="AZ119" s="379"/>
      <c r="BA119" s="379"/>
      <c r="BB119" s="379"/>
      <c r="BC119" s="379"/>
      <c r="BD119" s="379"/>
      <c r="BE119" s="379"/>
      <c r="BF119" s="379"/>
      <c r="BG119" s="52" t="s">
        <v>369</v>
      </c>
      <c r="BL119" s="379" t="s">
        <v>330</v>
      </c>
      <c r="BM119" s="379"/>
      <c r="BN119" s="52" t="s">
        <v>381</v>
      </c>
    </row>
    <row r="120" spans="2:66" x14ac:dyDescent="0.2">
      <c r="AG120" s="230"/>
      <c r="AH120" s="230"/>
      <c r="AQ120" s="230"/>
      <c r="AR120" s="243">
        <f t="shared" ref="AR120:BF120" si="83">SUM(AR83:AR118)</f>
        <v>1043.9873925509492</v>
      </c>
      <c r="AS120" s="243">
        <f t="shared" si="83"/>
        <v>208.65218594918355</v>
      </c>
      <c r="AT120" s="243">
        <f t="shared" si="83"/>
        <v>306.591996148688</v>
      </c>
      <c r="AU120" s="243">
        <f t="shared" si="83"/>
        <v>1011.7674660019052</v>
      </c>
      <c r="AV120" s="243">
        <f t="shared" si="83"/>
        <v>208.55560337725498</v>
      </c>
      <c r="AW120" s="243">
        <f t="shared" si="83"/>
        <v>298.6148747230165</v>
      </c>
      <c r="AX120" s="243">
        <f t="shared" si="83"/>
        <v>1011.7674660019052</v>
      </c>
      <c r="AY120" s="243">
        <f t="shared" si="83"/>
        <v>208.55560337725498</v>
      </c>
      <c r="AZ120" s="243">
        <f t="shared" si="83"/>
        <v>298.6148747230165</v>
      </c>
      <c r="BA120" s="243">
        <f t="shared" si="83"/>
        <v>890.42781548807159</v>
      </c>
      <c r="BB120" s="243">
        <f t="shared" si="83"/>
        <v>3997.4881942225597</v>
      </c>
      <c r="BC120" s="243">
        <f t="shared" si="83"/>
        <v>46.0998047134687</v>
      </c>
      <c r="BD120" s="243">
        <f t="shared" si="83"/>
        <v>46.099804713468714</v>
      </c>
      <c r="BE120" s="243">
        <f t="shared" si="83"/>
        <v>1314.2879334772852</v>
      </c>
      <c r="BF120" s="243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0"/>
      <c r="AH121" s="230"/>
      <c r="AQ121" s="230"/>
      <c r="AR121" s="379" t="s">
        <v>368</v>
      </c>
      <c r="AS121" s="379"/>
      <c r="AT121" s="379"/>
      <c r="AU121" s="379"/>
      <c r="AV121" s="379"/>
      <c r="AW121" s="379"/>
      <c r="AX121" s="379"/>
      <c r="AY121" s="379"/>
      <c r="AZ121" s="379"/>
      <c r="BA121" s="379"/>
      <c r="BB121" s="379"/>
      <c r="BC121" s="379"/>
      <c r="BD121" s="379"/>
      <c r="BE121" s="379"/>
      <c r="BF121" s="379"/>
      <c r="BG121" s="52"/>
      <c r="BL121" s="52"/>
      <c r="BM121" s="52"/>
      <c r="BN121" s="52"/>
    </row>
    <row r="122" spans="2:66" ht="13" customHeight="1" x14ac:dyDescent="0.2">
      <c r="C122" s="380"/>
      <c r="D122" s="380"/>
      <c r="E122" s="136"/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  <c r="AA122" s="136"/>
      <c r="AB122" s="136"/>
      <c r="AC122" s="136"/>
      <c r="AD122" s="136"/>
      <c r="AE122" s="136"/>
      <c r="AF122" s="136"/>
      <c r="AG122" s="230"/>
      <c r="AH122" s="230"/>
      <c r="AI122" s="136"/>
      <c r="AJ122" s="136"/>
      <c r="AK122" s="136"/>
      <c r="AL122" s="136"/>
      <c r="AM122" s="136"/>
      <c r="AN122" s="136"/>
      <c r="AO122" s="136"/>
      <c r="AQ122" s="230"/>
      <c r="BL122" s="52"/>
      <c r="BM122" s="52"/>
      <c r="BN122" s="52"/>
    </row>
    <row r="123" spans="2:66" ht="236" customHeight="1" x14ac:dyDescent="0.2">
      <c r="B123" s="60"/>
      <c r="C123" s="231" t="s">
        <v>333</v>
      </c>
      <c r="D123" s="231" t="s">
        <v>335</v>
      </c>
      <c r="E123" s="231" t="s">
        <v>336</v>
      </c>
      <c r="F123" s="231" t="s">
        <v>355</v>
      </c>
      <c r="G123" s="231" t="s">
        <v>377</v>
      </c>
      <c r="H123" s="231" t="s">
        <v>407</v>
      </c>
      <c r="I123" s="231" t="s">
        <v>466</v>
      </c>
      <c r="J123" s="231" t="s">
        <v>467</v>
      </c>
      <c r="K123" s="231" t="s">
        <v>459</v>
      </c>
      <c r="L123" s="232" t="s">
        <v>442</v>
      </c>
      <c r="M123" s="231" t="s">
        <v>409</v>
      </c>
      <c r="N123" s="232" t="s">
        <v>412</v>
      </c>
      <c r="O123" s="231" t="s">
        <v>437</v>
      </c>
      <c r="P123" s="233" t="s">
        <v>430</v>
      </c>
      <c r="Q123" s="231" t="s">
        <v>416</v>
      </c>
      <c r="R123" s="232" t="s">
        <v>441</v>
      </c>
      <c r="S123" s="232" t="s">
        <v>436</v>
      </c>
      <c r="T123" s="232" t="s">
        <v>433</v>
      </c>
      <c r="U123" s="232" t="s">
        <v>439</v>
      </c>
      <c r="V123" s="233" t="s">
        <v>438</v>
      </c>
      <c r="W123" s="233" t="s">
        <v>424</v>
      </c>
      <c r="X123" s="233" t="s">
        <v>456</v>
      </c>
      <c r="Y123" s="233" t="s">
        <v>425</v>
      </c>
      <c r="Z123" s="233" t="s">
        <v>427</v>
      </c>
      <c r="AA123" s="233" t="s">
        <v>426</v>
      </c>
      <c r="AB123" s="233" t="s">
        <v>484</v>
      </c>
      <c r="AC123" s="235" t="s">
        <v>422</v>
      </c>
      <c r="AD123" s="235" t="s">
        <v>552</v>
      </c>
      <c r="AE123" s="233" t="s">
        <v>421</v>
      </c>
      <c r="AF123" s="231" t="s">
        <v>423</v>
      </c>
      <c r="AG123" s="233" t="s">
        <v>515</v>
      </c>
      <c r="AH123" s="233" t="s">
        <v>517</v>
      </c>
      <c r="AI123" s="233" t="s">
        <v>445</v>
      </c>
      <c r="AJ123" s="233" t="s">
        <v>446</v>
      </c>
      <c r="AK123" s="233" t="s">
        <v>447</v>
      </c>
      <c r="AL123" s="233" t="s">
        <v>457</v>
      </c>
      <c r="AQ123" s="230"/>
      <c r="BL123" s="52"/>
      <c r="BM123" s="52"/>
    </row>
    <row r="124" spans="2:66" x14ac:dyDescent="0.2">
      <c r="B124" s="132" t="s">
        <v>325</v>
      </c>
      <c r="C124" s="234"/>
      <c r="D124" s="234"/>
      <c r="E124" s="234"/>
      <c r="F124" s="234"/>
      <c r="G124" s="234"/>
      <c r="H124" s="234"/>
      <c r="I124" s="234"/>
      <c r="J124" s="234"/>
      <c r="K124" s="234"/>
      <c r="L124" s="234">
        <f>Ore_to_PI!U42</f>
        <v>1011.7674660019052</v>
      </c>
      <c r="M124" s="234">
        <f>Ore_to_PI!$AN$63</f>
        <v>32.219926549044033</v>
      </c>
      <c r="N124" s="234"/>
      <c r="O124" s="234"/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234"/>
      <c r="AI124" s="234"/>
      <c r="AJ124" s="234"/>
      <c r="AK124" s="234"/>
      <c r="AL124" s="234"/>
      <c r="AM124" s="243">
        <f>SUM(C124:AL124)</f>
        <v>1043.9873925509492</v>
      </c>
      <c r="BL124" s="52"/>
      <c r="BM124" s="52"/>
    </row>
    <row r="125" spans="2:66" x14ac:dyDescent="0.2">
      <c r="B125" s="132" t="s">
        <v>326</v>
      </c>
      <c r="C125" s="234"/>
      <c r="D125" s="234"/>
      <c r="E125" s="234"/>
      <c r="F125" s="234"/>
      <c r="G125" s="234"/>
      <c r="H125" s="234"/>
      <c r="I125" s="234"/>
      <c r="J125" s="234"/>
      <c r="K125" s="234"/>
      <c r="L125" s="234"/>
      <c r="M125" s="234"/>
      <c r="N125" s="234">
        <f>Ore_to_PI!AO126</f>
        <v>208.55560337725498</v>
      </c>
      <c r="O125" s="234">
        <f>Ore_to_PI!$AO$142</f>
        <v>9.658257192857822E-2</v>
      </c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43">
        <f>SUM(C125:AL125)</f>
        <v>208.65218594918355</v>
      </c>
    </row>
    <row r="126" spans="2:66" x14ac:dyDescent="0.2">
      <c r="B126" s="132" t="s">
        <v>327</v>
      </c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>
        <f>Ore_to_PI!$AO$206</f>
        <v>298.6148747230165</v>
      </c>
      <c r="Q126" s="234">
        <f>Ore_to_PI!$AO$227</f>
        <v>7.9771214256715108</v>
      </c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43">
        <f t="shared" ref="AM126:AM138" si="84">SUM(C126:AL126)</f>
        <v>306.591996148688</v>
      </c>
    </row>
    <row r="127" spans="2:66" x14ac:dyDescent="0.2">
      <c r="B127" s="132" t="s">
        <v>455</v>
      </c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/>
      <c r="Q127" s="234"/>
      <c r="R127" s="234">
        <f>Ore_to_PI!$BG$42</f>
        <v>1011.7674660019052</v>
      </c>
      <c r="S127" s="234"/>
      <c r="T127" s="234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4"/>
      <c r="AI127" s="234"/>
      <c r="AJ127" s="234"/>
      <c r="AK127" s="234"/>
      <c r="AL127" s="234"/>
      <c r="AM127" s="243">
        <f t="shared" si="84"/>
        <v>1011.7674660019052</v>
      </c>
    </row>
    <row r="128" spans="2:66" x14ac:dyDescent="0.2">
      <c r="B128" s="132" t="s">
        <v>435</v>
      </c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/>
      <c r="S128" s="234">
        <f>Ore_to_PI!$BH$126</f>
        <v>208.55560337725498</v>
      </c>
      <c r="T128" s="234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234"/>
      <c r="AI128" s="234"/>
      <c r="AJ128" s="234"/>
      <c r="AK128" s="234"/>
      <c r="AL128" s="234"/>
      <c r="AM128" s="243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2" t="s">
        <v>434</v>
      </c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>
        <f>Ore_to_PI!$BH$206</f>
        <v>298.6148747230165</v>
      </c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234"/>
      <c r="AI129" s="234"/>
      <c r="AJ129" s="234"/>
      <c r="AK129" s="234"/>
      <c r="AL129" s="234"/>
      <c r="AM129" s="243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2" t="s">
        <v>351</v>
      </c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>
        <f>Ore_to_PI!$BZ$42</f>
        <v>1000.0000000000001</v>
      </c>
      <c r="V130" s="234">
        <f>Beneficiation_Iron_waste</f>
        <v>11.767466001905108</v>
      </c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234"/>
      <c r="AI130" s="234"/>
      <c r="AJ130" s="234"/>
      <c r="AK130" s="234"/>
      <c r="AL130" s="234"/>
      <c r="AM130" s="243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2" t="s">
        <v>348</v>
      </c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>
        <f>Ore_to_PI!$CA$126</f>
        <v>208.55560337725498</v>
      </c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234"/>
      <c r="AI131" s="234"/>
      <c r="AJ131" s="234"/>
      <c r="AK131" s="234"/>
      <c r="AL131" s="234"/>
      <c r="AM131" s="243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2" t="s">
        <v>362</v>
      </c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>
        <f>Ore_to_PI!$CA$206</f>
        <v>298.6148747230165</v>
      </c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43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2" t="s">
        <v>349</v>
      </c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>
        <f>Ore_to_PI!$CV$126</f>
        <v>111.00813284002646</v>
      </c>
      <c r="Z133" s="234">
        <f>Kiln_SolidWaste</f>
        <v>4.9847525450981189</v>
      </c>
      <c r="AA133" s="234">
        <f>Ore_to_PI!$CV$138</f>
        <v>774.43493010294708</v>
      </c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43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2" t="s">
        <v>344</v>
      </c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  <c r="AA134" s="234"/>
      <c r="AB134" s="234">
        <f>Ore_to_PI!$CV$206</f>
        <v>203.27980063725872</v>
      </c>
      <c r="AC134" s="234">
        <f>Ore_to_PI!$CV$234</f>
        <v>46.0998047134687</v>
      </c>
      <c r="AD134" s="234">
        <f>Ore_to_PI!CV267</f>
        <v>23.982067525572877</v>
      </c>
      <c r="AE134" s="234">
        <f>Beneficiation_CoalWaste</f>
        <v>25.253201846716312</v>
      </c>
      <c r="AF134" s="234">
        <f>Ore_to_PI!$CV$251</f>
        <v>3698.8733194995434</v>
      </c>
      <c r="AG134" s="234"/>
      <c r="AH134" s="234"/>
      <c r="AI134" s="234"/>
      <c r="AJ134" s="234"/>
      <c r="AK134" s="234"/>
      <c r="AL134" s="234"/>
      <c r="AM134" s="243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2" t="s">
        <v>514</v>
      </c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>
        <f>Ore_to_PI!$DP$233</f>
        <v>46.099804713468714</v>
      </c>
      <c r="AH135" s="234"/>
      <c r="AI135" s="234"/>
      <c r="AJ135" s="234"/>
      <c r="AK135" s="234"/>
      <c r="AL135" s="234"/>
      <c r="AM135" s="243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2" t="s">
        <v>516</v>
      </c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>
        <f>Ore_to_PI!$EK$233</f>
        <v>46.099804713468714</v>
      </c>
      <c r="AI136" s="234"/>
      <c r="AJ136" s="234"/>
      <c r="AK136" s="234"/>
      <c r="AL136" s="234"/>
      <c r="AM136" s="243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2" t="s">
        <v>76</v>
      </c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6"/>
      <c r="AG137" s="234"/>
      <c r="AH137" s="234"/>
      <c r="AI137" s="236">
        <f>Ore_to_PI!$EL$126</f>
        <v>1314.2879334772852</v>
      </c>
      <c r="AJ137" s="234"/>
      <c r="AK137" s="234"/>
      <c r="AL137" s="234"/>
      <c r="AM137" s="243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2" t="s">
        <v>337</v>
      </c>
      <c r="C138" s="234"/>
      <c r="D138" s="234"/>
      <c r="E138" s="234"/>
      <c r="F138" s="236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40"/>
      <c r="AB138" s="234"/>
      <c r="AC138" s="234"/>
      <c r="AD138" s="234"/>
      <c r="AE138" s="234"/>
      <c r="AF138" s="234"/>
      <c r="AG138" s="234"/>
      <c r="AH138" s="234"/>
      <c r="AI138" s="234"/>
      <c r="AJ138" s="234">
        <f>Ore_to_PI!$FL$126</f>
        <v>616.23583583508366</v>
      </c>
      <c r="AK138" s="234">
        <f>Ore_to_PI!$FL$141</f>
        <v>3402.2651449800928</v>
      </c>
      <c r="AL138" s="234">
        <f>BF_SolidWaste</f>
        <v>229.94813284002646</v>
      </c>
      <c r="AM138" s="243">
        <f t="shared" si="84"/>
        <v>4248.4491136552024</v>
      </c>
    </row>
    <row r="139" spans="2:65" x14ac:dyDescent="0.2">
      <c r="B139" s="132"/>
      <c r="C139" s="379" t="s">
        <v>329</v>
      </c>
      <c r="D139" s="379"/>
      <c r="E139" s="379"/>
      <c r="F139" s="379"/>
      <c r="G139" s="379"/>
      <c r="H139" s="379"/>
      <c r="I139" s="379"/>
      <c r="J139" s="379"/>
      <c r="K139" s="379"/>
      <c r="L139" s="379"/>
      <c r="M139" s="379"/>
      <c r="N139" s="379"/>
      <c r="O139" s="379"/>
      <c r="P139" s="379"/>
      <c r="Q139" s="379"/>
      <c r="R139" s="379"/>
      <c r="S139" s="379"/>
      <c r="T139" s="379"/>
      <c r="U139" s="379"/>
      <c r="V139" s="379"/>
      <c r="W139" s="379"/>
      <c r="X139" s="379"/>
      <c r="Y139" s="379"/>
      <c r="Z139" s="379"/>
      <c r="AA139" s="379"/>
      <c r="AB139" s="379"/>
      <c r="AC139" s="379"/>
      <c r="AD139" s="379"/>
      <c r="AE139" s="379"/>
      <c r="AF139" s="379"/>
      <c r="AG139" s="379"/>
      <c r="AH139" s="379"/>
      <c r="AI139" s="379"/>
      <c r="AJ139" s="379"/>
      <c r="AK139" s="379"/>
      <c r="AL139" s="379"/>
      <c r="AM139" s="52" t="s">
        <v>365</v>
      </c>
      <c r="AN139" s="52"/>
    </row>
    <row r="140" spans="2:65" x14ac:dyDescent="0.2">
      <c r="B140" s="132"/>
      <c r="C140" s="243">
        <f t="shared" ref="C140:AL140" si="85">SUM(C124:C138)</f>
        <v>0</v>
      </c>
      <c r="D140" s="243">
        <f t="shared" si="85"/>
        <v>0</v>
      </c>
      <c r="E140" s="243">
        <f t="shared" si="85"/>
        <v>0</v>
      </c>
      <c r="F140" s="243">
        <f t="shared" si="85"/>
        <v>0</v>
      </c>
      <c r="G140" s="243">
        <f t="shared" si="85"/>
        <v>0</v>
      </c>
      <c r="H140" s="243">
        <f t="shared" si="85"/>
        <v>0</v>
      </c>
      <c r="I140" s="243">
        <f t="shared" si="85"/>
        <v>0</v>
      </c>
      <c r="J140" s="243">
        <f t="shared" si="85"/>
        <v>0</v>
      </c>
      <c r="K140" s="243">
        <f t="shared" si="85"/>
        <v>0</v>
      </c>
      <c r="L140" s="243">
        <f t="shared" si="85"/>
        <v>1011.7674660019052</v>
      </c>
      <c r="M140" s="243">
        <f t="shared" si="85"/>
        <v>32.219926549044033</v>
      </c>
      <c r="N140" s="243">
        <f t="shared" si="85"/>
        <v>208.55560337725498</v>
      </c>
      <c r="O140" s="243">
        <f t="shared" si="85"/>
        <v>9.658257192857822E-2</v>
      </c>
      <c r="P140" s="243">
        <f t="shared" si="85"/>
        <v>298.6148747230165</v>
      </c>
      <c r="Q140" s="243">
        <f t="shared" si="85"/>
        <v>7.9771214256715108</v>
      </c>
      <c r="R140" s="243">
        <f t="shared" si="85"/>
        <v>1011.7674660019052</v>
      </c>
      <c r="S140" s="243">
        <f t="shared" si="85"/>
        <v>208.55560337725498</v>
      </c>
      <c r="T140" s="243">
        <f t="shared" si="85"/>
        <v>298.6148747230165</v>
      </c>
      <c r="U140" s="243">
        <f t="shared" si="85"/>
        <v>1000.0000000000001</v>
      </c>
      <c r="V140" s="243">
        <f t="shared" si="85"/>
        <v>11.767466001905108</v>
      </c>
      <c r="W140" s="243">
        <f t="shared" si="85"/>
        <v>208.55560337725498</v>
      </c>
      <c r="X140" s="243">
        <f t="shared" si="85"/>
        <v>298.6148747230165</v>
      </c>
      <c r="Y140" s="243">
        <f t="shared" si="85"/>
        <v>111.00813284002646</v>
      </c>
      <c r="Z140" s="243">
        <f t="shared" si="85"/>
        <v>4.9847525450981189</v>
      </c>
      <c r="AA140" s="243">
        <f t="shared" si="85"/>
        <v>774.43493010294708</v>
      </c>
      <c r="AB140" s="243">
        <f t="shared" si="85"/>
        <v>203.27980063725872</v>
      </c>
      <c r="AC140" s="243">
        <f t="shared" si="85"/>
        <v>46.0998047134687</v>
      </c>
      <c r="AD140" s="243">
        <f t="shared" si="85"/>
        <v>23.982067525572877</v>
      </c>
      <c r="AE140" s="243">
        <f t="shared" si="85"/>
        <v>25.253201846716312</v>
      </c>
      <c r="AF140" s="243">
        <f t="shared" si="85"/>
        <v>3698.8733194995434</v>
      </c>
      <c r="AG140" s="243">
        <f t="shared" si="85"/>
        <v>46.099804713468714</v>
      </c>
      <c r="AH140" s="243">
        <f t="shared" si="85"/>
        <v>46.099804713468714</v>
      </c>
      <c r="AI140" s="243">
        <f t="shared" si="85"/>
        <v>1314.2879334772852</v>
      </c>
      <c r="AJ140" s="243">
        <f t="shared" si="85"/>
        <v>616.23583583508366</v>
      </c>
      <c r="AK140" s="243">
        <f t="shared" si="85"/>
        <v>3402.2651449800928</v>
      </c>
      <c r="AL140" s="243">
        <f t="shared" si="85"/>
        <v>229.94813284002646</v>
      </c>
    </row>
    <row r="141" spans="2:65" x14ac:dyDescent="0.2">
      <c r="B141" s="132"/>
      <c r="C141" s="379" t="s">
        <v>366</v>
      </c>
      <c r="D141" s="379"/>
      <c r="E141" s="379"/>
      <c r="F141" s="379"/>
      <c r="G141" s="379"/>
      <c r="H141" s="379"/>
      <c r="I141" s="379"/>
      <c r="J141" s="379"/>
      <c r="K141" s="379"/>
      <c r="L141" s="379"/>
      <c r="M141" s="379"/>
      <c r="N141" s="379"/>
      <c r="O141" s="379"/>
      <c r="P141" s="379"/>
      <c r="Q141" s="379"/>
      <c r="R141" s="379"/>
      <c r="S141" s="379"/>
      <c r="T141" s="379"/>
      <c r="U141" s="379"/>
      <c r="V141" s="379"/>
      <c r="W141" s="379"/>
      <c r="X141" s="379"/>
      <c r="Y141" s="379"/>
      <c r="Z141" s="379"/>
      <c r="AA141" s="379"/>
      <c r="AB141" s="379"/>
      <c r="AC141" s="379"/>
      <c r="AD141" s="379"/>
      <c r="AE141" s="379"/>
      <c r="AF141" s="379"/>
      <c r="AG141" s="379"/>
      <c r="AH141" s="379"/>
      <c r="AI141" s="379"/>
      <c r="AJ141" s="379"/>
      <c r="AK141" s="379"/>
      <c r="AL141" s="379"/>
    </row>
    <row r="142" spans="2:65" x14ac:dyDescent="0.2">
      <c r="B142" s="132"/>
    </row>
    <row r="143" spans="2:65" x14ac:dyDescent="0.2">
      <c r="B143" s="132"/>
    </row>
    <row r="144" spans="2:65" x14ac:dyDescent="0.2">
      <c r="B144" s="132"/>
    </row>
    <row r="145" spans="2:44" x14ac:dyDescent="0.2">
      <c r="B145" s="132"/>
    </row>
    <row r="146" spans="2:44" x14ac:dyDescent="0.2">
      <c r="B146" s="132"/>
    </row>
    <row r="147" spans="2:44" x14ac:dyDescent="0.2">
      <c r="B147" s="132"/>
    </row>
    <row r="148" spans="2:44" x14ac:dyDescent="0.2">
      <c r="B148" s="132"/>
    </row>
    <row r="149" spans="2:44" x14ac:dyDescent="0.2">
      <c r="B149" s="132"/>
    </row>
    <row r="150" spans="2:44" x14ac:dyDescent="0.2">
      <c r="B150" s="132"/>
    </row>
    <row r="151" spans="2:44" x14ac:dyDescent="0.2">
      <c r="B151" s="132"/>
    </row>
    <row r="152" spans="2:44" ht="236" customHeight="1" x14ac:dyDescent="0.2">
      <c r="B152" s="132"/>
      <c r="C152" s="231" t="s">
        <v>333</v>
      </c>
      <c r="D152" s="231" t="s">
        <v>335</v>
      </c>
      <c r="E152" s="231" t="s">
        <v>336</v>
      </c>
      <c r="F152" s="231" t="s">
        <v>355</v>
      </c>
      <c r="G152" s="231" t="s">
        <v>377</v>
      </c>
      <c r="H152" s="231" t="s">
        <v>407</v>
      </c>
      <c r="I152" s="231" t="s">
        <v>466</v>
      </c>
      <c r="J152" s="231" t="s">
        <v>467</v>
      </c>
      <c r="K152" s="231" t="s">
        <v>459</v>
      </c>
      <c r="L152" s="232" t="s">
        <v>442</v>
      </c>
      <c r="M152" s="231" t="s">
        <v>409</v>
      </c>
      <c r="N152" s="232" t="s">
        <v>412</v>
      </c>
      <c r="O152" s="231" t="s">
        <v>437</v>
      </c>
      <c r="P152" s="233" t="s">
        <v>430</v>
      </c>
      <c r="Q152" s="231" t="s">
        <v>416</v>
      </c>
      <c r="R152" s="232" t="s">
        <v>441</v>
      </c>
      <c r="S152" s="232" t="s">
        <v>436</v>
      </c>
      <c r="T152" s="232" t="s">
        <v>433</v>
      </c>
      <c r="U152" s="232" t="s">
        <v>439</v>
      </c>
      <c r="V152" s="233" t="s">
        <v>438</v>
      </c>
      <c r="W152" s="233" t="s">
        <v>424</v>
      </c>
      <c r="X152" s="233" t="s">
        <v>456</v>
      </c>
      <c r="Y152" s="233" t="s">
        <v>425</v>
      </c>
      <c r="Z152" s="233" t="s">
        <v>427</v>
      </c>
      <c r="AA152" s="233" t="s">
        <v>426</v>
      </c>
      <c r="AB152" s="233" t="s">
        <v>484</v>
      </c>
      <c r="AC152" s="235" t="s">
        <v>422</v>
      </c>
      <c r="AD152" s="235" t="s">
        <v>552</v>
      </c>
      <c r="AE152" s="233" t="s">
        <v>421</v>
      </c>
      <c r="AF152" s="231" t="s">
        <v>423</v>
      </c>
      <c r="AG152" s="233" t="s">
        <v>515</v>
      </c>
      <c r="AH152" s="233" t="s">
        <v>517</v>
      </c>
      <c r="AI152" s="233" t="s">
        <v>445</v>
      </c>
      <c r="AJ152" s="233" t="s">
        <v>446</v>
      </c>
      <c r="AK152" s="233" t="s">
        <v>447</v>
      </c>
      <c r="AL152" s="233" t="s">
        <v>457</v>
      </c>
      <c r="AM152" s="233"/>
      <c r="AN152" s="233"/>
    </row>
    <row r="153" spans="2:44" x14ac:dyDescent="0.2">
      <c r="B153" s="132" t="s">
        <v>332</v>
      </c>
      <c r="C153" s="237">
        <f>Ore_to_PI!U42</f>
        <v>1011.7674660019052</v>
      </c>
      <c r="D153" s="237"/>
      <c r="E153" s="237"/>
      <c r="F153" s="237"/>
      <c r="G153" s="237"/>
      <c r="H153" s="237"/>
      <c r="I153" s="237"/>
      <c r="J153" s="237"/>
      <c r="K153" s="237"/>
      <c r="L153" s="237"/>
      <c r="M153" s="237"/>
      <c r="N153" s="237"/>
      <c r="O153" s="237"/>
      <c r="P153" s="237"/>
      <c r="Q153" s="237"/>
      <c r="R153" s="237"/>
      <c r="S153" s="237"/>
      <c r="T153" s="237"/>
      <c r="U153" s="237"/>
      <c r="V153" s="237"/>
      <c r="W153" s="237"/>
      <c r="X153" s="237"/>
      <c r="Y153" s="237"/>
      <c r="Z153" s="237"/>
      <c r="AA153" s="237"/>
      <c r="AB153" s="237"/>
      <c r="AC153" s="237"/>
      <c r="AD153" s="237"/>
      <c r="AE153" s="237"/>
      <c r="AF153" s="237"/>
      <c r="AG153" s="237"/>
      <c r="AH153" s="237"/>
      <c r="AI153" s="237"/>
      <c r="AJ153" s="237"/>
      <c r="AK153" s="237"/>
      <c r="AL153" s="237"/>
    </row>
    <row r="154" spans="2:44" ht="16" customHeight="1" x14ac:dyDescent="0.2">
      <c r="B154" s="229" t="s">
        <v>334</v>
      </c>
      <c r="C154" s="237"/>
      <c r="D154" s="237">
        <f>Ore_to_PI!U126</f>
        <v>208.55560337725498</v>
      </c>
      <c r="E154" s="237"/>
      <c r="F154" s="237"/>
      <c r="G154" s="237"/>
      <c r="H154" s="237"/>
      <c r="I154" s="237"/>
      <c r="J154" s="237"/>
      <c r="K154" s="237"/>
      <c r="L154" s="237"/>
      <c r="M154" s="237"/>
      <c r="N154" s="237"/>
      <c r="O154" s="237"/>
      <c r="P154" s="237"/>
      <c r="Q154" s="237"/>
      <c r="R154" s="237"/>
      <c r="S154" s="237"/>
      <c r="T154" s="237"/>
      <c r="U154" s="237"/>
      <c r="V154" s="237"/>
      <c r="W154" s="237"/>
      <c r="X154" s="237"/>
      <c r="Y154" s="237"/>
      <c r="Z154" s="237"/>
      <c r="AA154" s="237"/>
      <c r="AB154" s="237"/>
      <c r="AC154" s="237"/>
      <c r="AD154" s="237"/>
      <c r="AE154" s="237"/>
      <c r="AF154" s="237"/>
      <c r="AG154" s="237"/>
      <c r="AH154" s="237"/>
      <c r="AI154" s="237"/>
      <c r="AJ154" s="237"/>
      <c r="AK154" s="237"/>
      <c r="AL154" s="237"/>
    </row>
    <row r="155" spans="2:44" x14ac:dyDescent="0.2">
      <c r="B155" s="230" t="s">
        <v>356</v>
      </c>
      <c r="C155" s="237"/>
      <c r="D155" s="237"/>
      <c r="E155" s="237">
        <f>Ore_to_PI!U206</f>
        <v>298.6148747230165</v>
      </c>
      <c r="F155" s="237"/>
      <c r="G155" s="237"/>
      <c r="H155" s="237"/>
      <c r="I155" s="237"/>
      <c r="J155" s="237"/>
      <c r="K155" s="237"/>
      <c r="L155" s="237"/>
      <c r="M155" s="237"/>
      <c r="N155" s="237"/>
      <c r="O155" s="237"/>
      <c r="P155" s="237"/>
      <c r="Q155" s="237"/>
      <c r="R155" s="237"/>
      <c r="S155" s="237"/>
      <c r="T155" s="237"/>
      <c r="U155" s="237"/>
      <c r="V155" s="237"/>
      <c r="W155" s="237"/>
      <c r="X155" s="237"/>
      <c r="Y155" s="237"/>
      <c r="Z155" s="237"/>
      <c r="AA155" s="237"/>
      <c r="AB155" s="237"/>
      <c r="AC155" s="237"/>
      <c r="AD155" s="237"/>
      <c r="AE155" s="237"/>
      <c r="AF155" s="237"/>
      <c r="AG155" s="237"/>
      <c r="AH155" s="237"/>
      <c r="AI155" s="237"/>
      <c r="AJ155" s="237"/>
      <c r="AK155" s="237"/>
      <c r="AL155" s="237"/>
    </row>
    <row r="156" spans="2:44" x14ac:dyDescent="0.2">
      <c r="B156" s="132" t="s">
        <v>380</v>
      </c>
      <c r="C156" s="237"/>
      <c r="D156" s="237"/>
      <c r="E156" s="237"/>
      <c r="F156" s="242">
        <f>Ore_to_PI!EL140+Ore_to_PI!CA140+Ore_to_PI!U163+Ore_to_PI!U72+Ore_to_PI!CA232+Ore_to_PI!U236</f>
        <v>7028.7429099762057</v>
      </c>
      <c r="G156" s="237"/>
      <c r="H156" s="237"/>
      <c r="I156" s="237"/>
      <c r="J156" s="237"/>
      <c r="K156" s="237"/>
      <c r="L156" s="237"/>
      <c r="M156" s="237"/>
      <c r="N156" s="237"/>
      <c r="O156" s="237"/>
      <c r="P156" s="237"/>
      <c r="Q156" s="237"/>
      <c r="R156" s="237"/>
      <c r="S156" s="237"/>
      <c r="T156" s="237"/>
      <c r="U156" s="237"/>
      <c r="V156" s="237"/>
      <c r="W156" s="237"/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37"/>
      <c r="AI156" s="237"/>
      <c r="AJ156" s="237"/>
      <c r="AK156" s="237"/>
      <c r="AL156" s="237"/>
    </row>
    <row r="157" spans="2:44" x14ac:dyDescent="0.2">
      <c r="B157" s="132" t="s">
        <v>376</v>
      </c>
      <c r="C157" s="237"/>
      <c r="D157" s="237"/>
      <c r="E157" s="237"/>
      <c r="F157" s="237"/>
      <c r="G157" s="237">
        <f>Ore_to_PI!EL114+Ore_to_PI!CA152+Ore_to_PI!CA244</f>
        <v>286.68478984220775</v>
      </c>
      <c r="H157" s="237"/>
      <c r="I157" s="237"/>
      <c r="J157" s="237"/>
      <c r="K157" s="237"/>
      <c r="L157" s="237"/>
      <c r="M157" s="237"/>
      <c r="N157" s="237"/>
      <c r="O157" s="237"/>
      <c r="P157" s="237"/>
      <c r="Q157" s="237"/>
      <c r="R157" s="237"/>
      <c r="S157" s="237"/>
      <c r="T157" s="237"/>
      <c r="U157" s="237"/>
      <c r="V157" s="237"/>
      <c r="W157" s="237"/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37"/>
      <c r="AI157" s="237"/>
      <c r="AJ157" s="237"/>
      <c r="AK157" s="237"/>
      <c r="AL157" s="237"/>
    </row>
    <row r="158" spans="2:44" x14ac:dyDescent="0.2">
      <c r="B158" s="132" t="s">
        <v>469</v>
      </c>
      <c r="C158" s="237"/>
      <c r="D158" s="237"/>
      <c r="E158" s="237"/>
      <c r="F158" s="237"/>
      <c r="G158" s="237"/>
      <c r="H158" s="237">
        <f>Ore_to_PI!U222+Ore_to_PI!U140+Ore_to_PI!U59</f>
        <v>2.5875439035128025</v>
      </c>
      <c r="I158" s="237"/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</row>
    <row r="159" spans="2:44" x14ac:dyDescent="0.2">
      <c r="B159" s="132" t="s">
        <v>468</v>
      </c>
      <c r="C159" s="237"/>
      <c r="D159" s="237"/>
      <c r="E159" s="237"/>
      <c r="F159" s="237"/>
      <c r="G159" s="237"/>
      <c r="H159" s="237"/>
      <c r="I159" s="237">
        <f>Ore_to_PI!U151</f>
        <v>5.1714158616864253E-4</v>
      </c>
      <c r="J159" s="237"/>
      <c r="K159" s="237"/>
      <c r="L159" s="237"/>
      <c r="M159" s="237"/>
      <c r="N159" s="237"/>
      <c r="O159" s="237"/>
      <c r="P159" s="237"/>
      <c r="Q159" s="237"/>
      <c r="R159" s="237"/>
      <c r="S159" s="237"/>
      <c r="T159" s="237"/>
      <c r="U159" s="237"/>
      <c r="V159" s="237"/>
      <c r="W159" s="237"/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37"/>
      <c r="AI159" s="237"/>
      <c r="AJ159" s="237"/>
      <c r="AK159" s="237"/>
      <c r="AL159" s="237"/>
    </row>
    <row r="160" spans="2:44" x14ac:dyDescent="0.2">
      <c r="B160" s="132" t="s">
        <v>410</v>
      </c>
      <c r="C160" s="237"/>
      <c r="D160" s="237"/>
      <c r="E160" s="237"/>
      <c r="F160" s="237"/>
      <c r="G160" s="237"/>
      <c r="H160" s="237"/>
      <c r="I160" s="237"/>
      <c r="J160" s="237">
        <f>Ore_to_PI!$EL$101</f>
        <v>4.914718171980665</v>
      </c>
      <c r="K160" s="237"/>
      <c r="L160" s="237"/>
      <c r="M160" s="237"/>
      <c r="N160" s="237"/>
      <c r="O160" s="237"/>
      <c r="P160" s="237"/>
      <c r="Q160" s="237"/>
      <c r="R160" s="237"/>
      <c r="S160" s="237"/>
      <c r="T160" s="237"/>
      <c r="U160" s="237"/>
      <c r="V160" s="237"/>
      <c r="W160" s="237"/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37"/>
      <c r="AI160" s="237"/>
      <c r="AJ160" s="237"/>
      <c r="AK160" s="237"/>
      <c r="AL160" s="237"/>
      <c r="AR160" s="235"/>
    </row>
    <row r="161" spans="2:40" x14ac:dyDescent="0.2">
      <c r="B161" s="132" t="s">
        <v>458</v>
      </c>
      <c r="C161" s="237"/>
      <c r="D161" s="237"/>
      <c r="E161" s="237"/>
      <c r="F161" s="237"/>
      <c r="G161" s="237"/>
      <c r="H161" s="237"/>
      <c r="I161" s="237"/>
      <c r="J161" s="237"/>
      <c r="K161" s="237">
        <v>0</v>
      </c>
      <c r="L161" s="237"/>
      <c r="M161" s="237"/>
      <c r="N161" s="237"/>
      <c r="O161" s="237"/>
      <c r="P161" s="237"/>
      <c r="Q161" s="237"/>
      <c r="R161" s="237"/>
      <c r="S161" s="237"/>
      <c r="T161" s="237"/>
      <c r="U161" s="237"/>
      <c r="V161" s="237"/>
      <c r="W161" s="237"/>
      <c r="X161" s="237"/>
      <c r="Y161" s="237"/>
      <c r="Z161" s="237"/>
      <c r="AA161" s="237"/>
      <c r="AB161" s="237"/>
      <c r="AC161" s="237"/>
      <c r="AD161" s="237"/>
      <c r="AE161" s="237"/>
      <c r="AF161" s="237"/>
      <c r="AG161" s="237"/>
      <c r="AH161" s="237"/>
      <c r="AI161" s="237"/>
      <c r="AJ161" s="237"/>
      <c r="AK161" s="237"/>
      <c r="AL161" s="237"/>
    </row>
    <row r="162" spans="2:40" x14ac:dyDescent="0.2">
      <c r="C162" s="379" t="s">
        <v>56</v>
      </c>
      <c r="D162" s="379"/>
      <c r="E162" s="379"/>
      <c r="F162" s="379"/>
      <c r="G162" s="379"/>
      <c r="H162" s="379"/>
      <c r="I162" s="379"/>
      <c r="J162" s="379"/>
      <c r="K162" s="379"/>
      <c r="L162" s="379"/>
      <c r="M162" s="379"/>
      <c r="N162" s="379"/>
      <c r="O162" s="379"/>
      <c r="P162" s="379"/>
      <c r="Q162" s="379"/>
      <c r="R162" s="379"/>
      <c r="S162" s="379"/>
      <c r="T162" s="379"/>
      <c r="U162" s="379"/>
      <c r="V162" s="379"/>
      <c r="W162" s="379"/>
      <c r="X162" s="379"/>
      <c r="Y162" s="379"/>
      <c r="Z162" s="379"/>
      <c r="AA162" s="379"/>
      <c r="AB162" s="379"/>
      <c r="AC162" s="379"/>
      <c r="AD162" s="379"/>
      <c r="AE162" s="379"/>
      <c r="AF162" s="379"/>
      <c r="AG162" s="379"/>
      <c r="AH162" s="379"/>
      <c r="AI162" s="379"/>
      <c r="AJ162" s="379"/>
      <c r="AK162" s="379"/>
      <c r="AL162" s="379"/>
      <c r="AM162" s="52"/>
      <c r="AN162" s="52"/>
    </row>
    <row r="163" spans="2:40" x14ac:dyDescent="0.2">
      <c r="C163" s="243">
        <f>SUM(C153:C161)</f>
        <v>1011.7674660019052</v>
      </c>
      <c r="D163" s="243">
        <f t="shared" ref="D163:AL163" si="86">SUM(D153:D161)</f>
        <v>208.55560337725498</v>
      </c>
      <c r="E163" s="243">
        <f t="shared" si="86"/>
        <v>298.6148747230165</v>
      </c>
      <c r="F163" s="243">
        <f t="shared" si="86"/>
        <v>7028.7429099762057</v>
      </c>
      <c r="G163" s="243">
        <f t="shared" si="86"/>
        <v>286.68478984220775</v>
      </c>
      <c r="H163" s="243">
        <f t="shared" si="86"/>
        <v>2.5875439035128025</v>
      </c>
      <c r="I163" s="243">
        <f t="shared" si="86"/>
        <v>5.1714158616864253E-4</v>
      </c>
      <c r="J163" s="243">
        <f t="shared" si="86"/>
        <v>4.914718171980665</v>
      </c>
      <c r="K163" s="243">
        <f t="shared" si="86"/>
        <v>0</v>
      </c>
      <c r="L163" s="243">
        <f t="shared" si="86"/>
        <v>0</v>
      </c>
      <c r="M163" s="243">
        <f t="shared" si="86"/>
        <v>0</v>
      </c>
      <c r="N163" s="243">
        <f t="shared" si="86"/>
        <v>0</v>
      </c>
      <c r="O163" s="243">
        <f t="shared" si="86"/>
        <v>0</v>
      </c>
      <c r="P163" s="243">
        <f t="shared" si="86"/>
        <v>0</v>
      </c>
      <c r="Q163" s="243">
        <f t="shared" si="86"/>
        <v>0</v>
      </c>
      <c r="R163" s="243">
        <f t="shared" si="86"/>
        <v>0</v>
      </c>
      <c r="S163" s="243">
        <f t="shared" si="86"/>
        <v>0</v>
      </c>
      <c r="T163" s="243">
        <f t="shared" si="86"/>
        <v>0</v>
      </c>
      <c r="U163" s="243">
        <f t="shared" si="86"/>
        <v>0</v>
      </c>
      <c r="V163" s="243">
        <f t="shared" si="86"/>
        <v>0</v>
      </c>
      <c r="W163" s="243">
        <f t="shared" si="86"/>
        <v>0</v>
      </c>
      <c r="X163" s="243">
        <f t="shared" si="86"/>
        <v>0</v>
      </c>
      <c r="Y163" s="243">
        <f t="shared" si="86"/>
        <v>0</v>
      </c>
      <c r="Z163" s="243">
        <f t="shared" si="86"/>
        <v>0</v>
      </c>
      <c r="AA163" s="243">
        <f t="shared" si="86"/>
        <v>0</v>
      </c>
      <c r="AB163" s="243">
        <f t="shared" si="86"/>
        <v>0</v>
      </c>
      <c r="AC163" s="243">
        <f t="shared" si="86"/>
        <v>0</v>
      </c>
      <c r="AD163" s="243">
        <f t="shared" si="86"/>
        <v>0</v>
      </c>
      <c r="AE163" s="243">
        <f t="shared" si="86"/>
        <v>0</v>
      </c>
      <c r="AF163" s="243">
        <f t="shared" si="86"/>
        <v>0</v>
      </c>
      <c r="AG163" s="243">
        <f t="shared" si="86"/>
        <v>0</v>
      </c>
      <c r="AH163" s="243">
        <f t="shared" si="86"/>
        <v>0</v>
      </c>
      <c r="AI163" s="243">
        <f t="shared" si="86"/>
        <v>0</v>
      </c>
      <c r="AJ163" s="243">
        <f t="shared" si="86"/>
        <v>0</v>
      </c>
      <c r="AK163" s="243">
        <f t="shared" si="86"/>
        <v>0</v>
      </c>
      <c r="AL163" s="243">
        <f t="shared" si="86"/>
        <v>0</v>
      </c>
    </row>
    <row r="164" spans="2:40" x14ac:dyDescent="0.2">
      <c r="C164" s="379" t="s">
        <v>367</v>
      </c>
      <c r="D164" s="379"/>
      <c r="E164" s="379"/>
      <c r="F164" s="379"/>
      <c r="G164" s="379"/>
      <c r="H164" s="379"/>
      <c r="I164" s="379"/>
      <c r="J164" s="379"/>
      <c r="K164" s="379"/>
      <c r="L164" s="379"/>
      <c r="M164" s="379"/>
      <c r="N164" s="379"/>
      <c r="O164" s="379"/>
      <c r="P164" s="379"/>
      <c r="Q164" s="379"/>
      <c r="R164" s="379"/>
      <c r="S164" s="379"/>
      <c r="T164" s="379"/>
      <c r="U164" s="379"/>
      <c r="V164" s="379"/>
      <c r="W164" s="379"/>
      <c r="X164" s="379"/>
      <c r="Y164" s="379"/>
      <c r="Z164" s="379"/>
      <c r="AA164" s="379"/>
      <c r="AB164" s="379"/>
      <c r="AC164" s="379"/>
      <c r="AD164" s="379"/>
      <c r="AE164" s="379"/>
      <c r="AF164" s="379"/>
      <c r="AG164" s="379"/>
      <c r="AH164" s="379"/>
      <c r="AI164" s="379"/>
      <c r="AJ164" s="379"/>
      <c r="AK164" s="379"/>
      <c r="AL164" s="379"/>
      <c r="AM164" s="52"/>
      <c r="AN164" s="52"/>
    </row>
    <row r="168" spans="2:40" x14ac:dyDescent="0.2">
      <c r="C168" s="379" t="s">
        <v>364</v>
      </c>
      <c r="D168" s="379"/>
      <c r="E168" s="379"/>
      <c r="F168" s="379"/>
      <c r="G168" s="379"/>
      <c r="H168" s="379"/>
      <c r="I168" s="379"/>
      <c r="J168" s="379"/>
      <c r="K168" s="379"/>
      <c r="L168" s="238"/>
      <c r="M168" s="238"/>
      <c r="N168" s="238"/>
      <c r="O168" s="238"/>
      <c r="P168" s="238"/>
      <c r="Q168" s="238"/>
      <c r="R168" s="238"/>
      <c r="S168" s="238"/>
      <c r="T168" s="238"/>
      <c r="U168" s="52"/>
      <c r="V168" s="52"/>
    </row>
    <row r="171" spans="2:40" x14ac:dyDescent="0.2">
      <c r="B171" s="132" t="s">
        <v>333</v>
      </c>
      <c r="C171" s="243">
        <f t="array" ref="C171:C206">TRANSPOSE(C163:AL163)</f>
        <v>1011.7674660019052</v>
      </c>
      <c r="E171" s="243">
        <f t="array" ref="E171:E206">TRANSPOSE(C140:AL140)</f>
        <v>0</v>
      </c>
      <c r="G171" s="243">
        <f t="shared" ref="G171:G197" si="87">BG83</f>
        <v>1011.7674660019052</v>
      </c>
      <c r="I171" s="243">
        <f t="array" ref="I171:I206">BN83:BN118</f>
        <v>0</v>
      </c>
      <c r="K171" s="247">
        <f>C171+E171-G171-I171</f>
        <v>0</v>
      </c>
    </row>
    <row r="172" spans="2:40" x14ac:dyDescent="0.2">
      <c r="B172" s="132" t="s">
        <v>335</v>
      </c>
      <c r="C172" s="243">
        <v>208.55560337725498</v>
      </c>
      <c r="E172" s="243">
        <v>0</v>
      </c>
      <c r="G172" s="243">
        <f t="shared" si="87"/>
        <v>208.55560337725498</v>
      </c>
      <c r="I172" s="243">
        <v>0</v>
      </c>
      <c r="K172" s="247">
        <f>C172+E172-G172-I172</f>
        <v>0</v>
      </c>
    </row>
    <row r="173" spans="2:40" x14ac:dyDescent="0.2">
      <c r="B173" s="132" t="s">
        <v>336</v>
      </c>
      <c r="C173" s="243">
        <v>298.6148747230165</v>
      </c>
      <c r="E173" s="243">
        <v>0</v>
      </c>
      <c r="G173" s="243">
        <f t="shared" si="87"/>
        <v>298.6148747230165</v>
      </c>
      <c r="I173" s="243">
        <v>0</v>
      </c>
      <c r="K173" s="247">
        <f>C173+E173-G173-I173</f>
        <v>0</v>
      </c>
    </row>
    <row r="174" spans="2:40" x14ac:dyDescent="0.2">
      <c r="B174" s="132" t="s">
        <v>355</v>
      </c>
      <c r="C174" s="243">
        <v>7028.7429099762057</v>
      </c>
      <c r="E174" s="243">
        <v>0</v>
      </c>
      <c r="G174" s="243">
        <f t="shared" si="87"/>
        <v>7028.7429099762066</v>
      </c>
      <c r="I174" s="243">
        <v>0</v>
      </c>
      <c r="K174" s="247">
        <f>ROUND(C174+E174-G174-I174, 10)</f>
        <v>0</v>
      </c>
    </row>
    <row r="175" spans="2:40" x14ac:dyDescent="0.2">
      <c r="B175" s="132" t="s">
        <v>377</v>
      </c>
      <c r="C175" s="243">
        <v>286.68478984220775</v>
      </c>
      <c r="E175" s="243">
        <v>0</v>
      </c>
      <c r="G175" s="243">
        <f t="shared" si="87"/>
        <v>286.68478984220775</v>
      </c>
      <c r="I175" s="243">
        <v>0</v>
      </c>
      <c r="K175" s="247">
        <f t="shared" ref="K175:K190" si="88">C175+E175-G175-I175</f>
        <v>0</v>
      </c>
    </row>
    <row r="176" spans="2:40" x14ac:dyDescent="0.2">
      <c r="B176" s="132" t="s">
        <v>407</v>
      </c>
      <c r="C176" s="243">
        <v>2.5875439035128025</v>
      </c>
      <c r="E176" s="243">
        <v>0</v>
      </c>
      <c r="G176" s="243">
        <f t="shared" si="87"/>
        <v>2.5875439035128025</v>
      </c>
      <c r="I176" s="243">
        <v>0</v>
      </c>
      <c r="K176" s="247">
        <f t="shared" si="88"/>
        <v>0</v>
      </c>
    </row>
    <row r="177" spans="2:18" x14ac:dyDescent="0.2">
      <c r="B177" s="132" t="s">
        <v>408</v>
      </c>
      <c r="C177" s="243">
        <v>5.1714158616864253E-4</v>
      </c>
      <c r="E177" s="243">
        <v>0</v>
      </c>
      <c r="G177" s="243">
        <f t="shared" si="87"/>
        <v>5.1714158616864253E-4</v>
      </c>
      <c r="I177" s="243">
        <v>0</v>
      </c>
      <c r="K177" s="247">
        <f t="shared" si="88"/>
        <v>0</v>
      </c>
    </row>
    <row r="178" spans="2:18" x14ac:dyDescent="0.2">
      <c r="B178" s="132" t="s">
        <v>411</v>
      </c>
      <c r="C178" s="243">
        <v>4.914718171980665</v>
      </c>
      <c r="E178" s="243">
        <v>0</v>
      </c>
      <c r="G178" s="243">
        <f t="shared" si="87"/>
        <v>4.914718171980665</v>
      </c>
      <c r="I178" s="243">
        <v>0</v>
      </c>
      <c r="K178" s="247">
        <f t="shared" si="88"/>
        <v>0</v>
      </c>
    </row>
    <row r="179" spans="2:18" x14ac:dyDescent="0.2">
      <c r="B179" s="132" t="s">
        <v>459</v>
      </c>
      <c r="C179" s="243">
        <v>0</v>
      </c>
      <c r="E179" s="243">
        <v>0</v>
      </c>
      <c r="G179" s="243">
        <f t="shared" si="87"/>
        <v>0</v>
      </c>
      <c r="I179" s="243">
        <v>0</v>
      </c>
      <c r="K179" s="247">
        <f t="shared" si="88"/>
        <v>0</v>
      </c>
    </row>
    <row r="180" spans="2:18" ht="16" customHeight="1" x14ac:dyDescent="0.2">
      <c r="B180" s="229" t="s">
        <v>442</v>
      </c>
      <c r="C180" s="243">
        <v>0</v>
      </c>
      <c r="E180" s="243">
        <v>1011.7674660019052</v>
      </c>
      <c r="G180" s="243">
        <f t="shared" si="87"/>
        <v>1011.7674660019052</v>
      </c>
      <c r="I180" s="243">
        <v>0</v>
      </c>
      <c r="K180" s="247">
        <f t="shared" si="88"/>
        <v>0</v>
      </c>
    </row>
    <row r="181" spans="2:18" x14ac:dyDescent="0.2">
      <c r="B181" s="132" t="s">
        <v>409</v>
      </c>
      <c r="C181" s="243">
        <v>0</v>
      </c>
      <c r="E181" s="243">
        <v>32.219926549044033</v>
      </c>
      <c r="G181" s="243">
        <f t="shared" si="87"/>
        <v>0</v>
      </c>
      <c r="I181" s="243">
        <v>32.219926549044033</v>
      </c>
      <c r="K181" s="247">
        <f t="shared" si="88"/>
        <v>0</v>
      </c>
    </row>
    <row r="182" spans="2:18" ht="16" customHeight="1" x14ac:dyDescent="0.2">
      <c r="B182" s="229" t="s">
        <v>412</v>
      </c>
      <c r="C182" s="243">
        <v>0</v>
      </c>
      <c r="E182" s="243">
        <v>208.55560337725498</v>
      </c>
      <c r="G182" s="243">
        <f t="shared" si="87"/>
        <v>208.55560337725498</v>
      </c>
      <c r="I182" s="243">
        <v>0</v>
      </c>
      <c r="K182" s="247">
        <f t="shared" si="88"/>
        <v>0</v>
      </c>
    </row>
    <row r="183" spans="2:18" x14ac:dyDescent="0.2">
      <c r="B183" s="132" t="s">
        <v>437</v>
      </c>
      <c r="C183" s="243">
        <v>0</v>
      </c>
      <c r="E183" s="243">
        <v>9.658257192857822E-2</v>
      </c>
      <c r="G183" s="243">
        <f t="shared" si="87"/>
        <v>0</v>
      </c>
      <c r="I183" s="243">
        <v>9.658257192857822E-2</v>
      </c>
      <c r="K183" s="247">
        <f t="shared" si="88"/>
        <v>0</v>
      </c>
    </row>
    <row r="184" spans="2:18" x14ac:dyDescent="0.2">
      <c r="B184" s="230" t="s">
        <v>430</v>
      </c>
      <c r="C184" s="243">
        <v>0</v>
      </c>
      <c r="D184" s="52" t="s">
        <v>371</v>
      </c>
      <c r="E184" s="243">
        <v>298.6148747230165</v>
      </c>
      <c r="F184" s="52" t="s">
        <v>373</v>
      </c>
      <c r="G184" s="243">
        <f t="shared" si="87"/>
        <v>298.6148747230165</v>
      </c>
      <c r="H184" s="52" t="s">
        <v>373</v>
      </c>
      <c r="I184" s="243">
        <v>0</v>
      </c>
      <c r="J184" s="52" t="s">
        <v>374</v>
      </c>
      <c r="K184" s="247">
        <f t="shared" si="88"/>
        <v>0</v>
      </c>
    </row>
    <row r="185" spans="2:18" x14ac:dyDescent="0.2">
      <c r="B185" s="132" t="s">
        <v>416</v>
      </c>
      <c r="C185" s="243">
        <v>0</v>
      </c>
      <c r="E185" s="243">
        <v>7.9771214256715108</v>
      </c>
      <c r="G185" s="243">
        <f t="shared" si="87"/>
        <v>0</v>
      </c>
      <c r="I185" s="243">
        <v>7.9771214256715108</v>
      </c>
      <c r="K185" s="247">
        <f t="shared" si="88"/>
        <v>0</v>
      </c>
    </row>
    <row r="186" spans="2:18" ht="16" customHeight="1" x14ac:dyDescent="0.2">
      <c r="B186" s="229" t="s">
        <v>441</v>
      </c>
      <c r="C186" s="243">
        <v>0</v>
      </c>
      <c r="E186" s="243">
        <v>1011.7674660019052</v>
      </c>
      <c r="G186" s="243">
        <f t="shared" si="87"/>
        <v>1011.7674660019052</v>
      </c>
      <c r="I186" s="243">
        <v>0</v>
      </c>
      <c r="K186" s="247">
        <f t="shared" si="88"/>
        <v>0</v>
      </c>
    </row>
    <row r="187" spans="2:18" ht="16" customHeight="1" x14ac:dyDescent="0.2">
      <c r="B187" s="229" t="s">
        <v>436</v>
      </c>
      <c r="C187" s="243">
        <v>0</v>
      </c>
      <c r="E187" s="243">
        <v>208.55560337725498</v>
      </c>
      <c r="G187" s="243">
        <f t="shared" si="87"/>
        <v>208.55560337725498</v>
      </c>
      <c r="I187" s="243">
        <v>0</v>
      </c>
      <c r="K187" s="247">
        <f t="shared" si="88"/>
        <v>0</v>
      </c>
    </row>
    <row r="188" spans="2:18" ht="16" customHeight="1" x14ac:dyDescent="0.2">
      <c r="B188" s="229" t="s">
        <v>433</v>
      </c>
      <c r="C188" s="243">
        <v>0</v>
      </c>
      <c r="E188" s="243">
        <v>298.6148747230165</v>
      </c>
      <c r="G188" s="243">
        <f t="shared" si="87"/>
        <v>298.6148747230165</v>
      </c>
      <c r="I188" s="243">
        <v>0</v>
      </c>
      <c r="K188" s="247">
        <f t="shared" si="88"/>
        <v>0</v>
      </c>
    </row>
    <row r="189" spans="2:18" ht="16" customHeight="1" x14ac:dyDescent="0.2">
      <c r="B189" s="229" t="s">
        <v>439</v>
      </c>
      <c r="C189" s="243">
        <v>0</v>
      </c>
      <c r="E189" s="243">
        <v>1000.0000000000001</v>
      </c>
      <c r="G189" s="243">
        <f t="shared" si="87"/>
        <v>1000.0000000000001</v>
      </c>
      <c r="I189" s="243">
        <v>0</v>
      </c>
      <c r="K189" s="247">
        <f t="shared" si="88"/>
        <v>0</v>
      </c>
    </row>
    <row r="190" spans="2:18" x14ac:dyDescent="0.2">
      <c r="B190" s="230" t="s">
        <v>438</v>
      </c>
      <c r="C190" s="243">
        <v>0</v>
      </c>
      <c r="E190" s="243">
        <v>11.767466001905108</v>
      </c>
      <c r="G190" s="243">
        <f t="shared" si="87"/>
        <v>0</v>
      </c>
      <c r="I190" s="243">
        <v>11.767466001905108</v>
      </c>
      <c r="K190" s="247">
        <f t="shared" si="88"/>
        <v>0</v>
      </c>
    </row>
    <row r="191" spans="2:18" x14ac:dyDescent="0.2">
      <c r="B191" s="230" t="s">
        <v>424</v>
      </c>
      <c r="C191" s="243">
        <v>0</v>
      </c>
      <c r="E191" s="243">
        <v>208.55560337725498</v>
      </c>
      <c r="G191" s="243">
        <f t="shared" si="87"/>
        <v>208.55560337725498</v>
      </c>
      <c r="I191" s="243">
        <v>0</v>
      </c>
      <c r="K191" s="247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0" t="s">
        <v>456</v>
      </c>
      <c r="C192" s="243">
        <v>0</v>
      </c>
      <c r="E192" s="243">
        <v>298.6148747230165</v>
      </c>
      <c r="G192" s="243">
        <f t="shared" si="87"/>
        <v>298.6148747230165</v>
      </c>
      <c r="I192" s="243">
        <v>0</v>
      </c>
      <c r="K192" s="247">
        <f t="shared" si="89"/>
        <v>0</v>
      </c>
      <c r="N192" s="52"/>
      <c r="P192" s="52"/>
      <c r="Q192" s="52"/>
      <c r="R192" s="52"/>
    </row>
    <row r="193" spans="2:19" x14ac:dyDescent="0.2">
      <c r="B193" s="230" t="s">
        <v>425</v>
      </c>
      <c r="C193" s="243">
        <v>0</v>
      </c>
      <c r="E193" s="243">
        <v>111.00813284002646</v>
      </c>
      <c r="G193" s="243">
        <f t="shared" si="87"/>
        <v>111.00813284002646</v>
      </c>
      <c r="I193" s="243">
        <v>0</v>
      </c>
      <c r="K193" s="247">
        <f t="shared" si="89"/>
        <v>0</v>
      </c>
      <c r="N193" s="52"/>
      <c r="P193" s="52"/>
      <c r="Q193" s="52"/>
      <c r="R193" s="52"/>
    </row>
    <row r="194" spans="2:19" x14ac:dyDescent="0.2">
      <c r="B194" s="230" t="s">
        <v>427</v>
      </c>
      <c r="C194" s="243">
        <v>0</v>
      </c>
      <c r="E194" s="243">
        <v>4.9847525450981189</v>
      </c>
      <c r="G194" s="243">
        <f t="shared" si="87"/>
        <v>0</v>
      </c>
      <c r="I194" s="243">
        <v>4.9847525450981189</v>
      </c>
      <c r="K194" s="247">
        <f t="shared" si="89"/>
        <v>0</v>
      </c>
      <c r="N194" s="52"/>
      <c r="P194" s="52"/>
      <c r="Q194" s="52"/>
      <c r="R194" s="52"/>
    </row>
    <row r="195" spans="2:19" x14ac:dyDescent="0.2">
      <c r="B195" s="230" t="s">
        <v>426</v>
      </c>
      <c r="C195" s="243">
        <v>0</v>
      </c>
      <c r="E195" s="243">
        <v>774.43493010294708</v>
      </c>
      <c r="G195" s="243">
        <f t="shared" si="87"/>
        <v>0</v>
      </c>
      <c r="I195" s="243">
        <v>774.43493010294708</v>
      </c>
      <c r="K195" s="247">
        <f t="shared" si="89"/>
        <v>0</v>
      </c>
      <c r="N195" s="52"/>
      <c r="P195" s="52"/>
      <c r="Q195" s="52"/>
      <c r="R195" s="52"/>
    </row>
    <row r="196" spans="2:19" x14ac:dyDescent="0.2">
      <c r="B196" s="230" t="s">
        <v>484</v>
      </c>
      <c r="C196" s="243">
        <v>0</v>
      </c>
      <c r="E196" s="243">
        <v>203.27980063725872</v>
      </c>
      <c r="G196" s="243">
        <f t="shared" si="87"/>
        <v>203.27980063725872</v>
      </c>
      <c r="I196" s="243">
        <v>0</v>
      </c>
      <c r="K196" s="247">
        <f t="shared" si="89"/>
        <v>0</v>
      </c>
    </row>
    <row r="197" spans="2:19" ht="16" customHeight="1" x14ac:dyDescent="0.2">
      <c r="B197" s="244" t="s">
        <v>422</v>
      </c>
      <c r="C197" s="243">
        <v>0</v>
      </c>
      <c r="E197" s="243">
        <v>46.0998047134687</v>
      </c>
      <c r="G197" s="243">
        <f t="shared" si="87"/>
        <v>46.0998047134687</v>
      </c>
      <c r="I197" s="243">
        <v>0</v>
      </c>
      <c r="K197" s="247">
        <f t="shared" si="89"/>
        <v>0</v>
      </c>
    </row>
    <row r="198" spans="2:19" ht="16" customHeight="1" x14ac:dyDescent="0.2">
      <c r="B198" s="244" t="s">
        <v>552</v>
      </c>
      <c r="C198" s="243">
        <v>0</v>
      </c>
      <c r="E198" s="243">
        <v>23.982067525572877</v>
      </c>
      <c r="G198" s="243">
        <f t="shared" ref="G198:G199" si="90">BG110</f>
        <v>0</v>
      </c>
      <c r="I198" s="243">
        <v>23.982067525572877</v>
      </c>
      <c r="K198" s="247">
        <f t="shared" si="89"/>
        <v>0</v>
      </c>
    </row>
    <row r="199" spans="2:19" x14ac:dyDescent="0.2">
      <c r="B199" s="230" t="s">
        <v>421</v>
      </c>
      <c r="C199" s="243">
        <v>0</v>
      </c>
      <c r="E199" s="243">
        <v>25.253201846716312</v>
      </c>
      <c r="G199" s="243">
        <f t="shared" si="90"/>
        <v>0</v>
      </c>
      <c r="I199" s="243">
        <v>25.253201846716312</v>
      </c>
      <c r="K199" s="247">
        <f t="shared" si="89"/>
        <v>0</v>
      </c>
      <c r="L199" s="52"/>
    </row>
    <row r="200" spans="2:19" x14ac:dyDescent="0.2">
      <c r="B200" s="132" t="s">
        <v>423</v>
      </c>
      <c r="C200" s="243">
        <v>0</v>
      </c>
      <c r="E200" s="243">
        <v>3698.8733194995434</v>
      </c>
      <c r="G200" s="243">
        <f t="shared" ref="G200:G206" si="91">BG112</f>
        <v>0</v>
      </c>
      <c r="I200" s="243">
        <v>3698.8733194995434</v>
      </c>
      <c r="K200" s="247">
        <f t="shared" si="89"/>
        <v>0</v>
      </c>
    </row>
    <row r="201" spans="2:19" x14ac:dyDescent="0.2">
      <c r="B201" s="230" t="s">
        <v>515</v>
      </c>
      <c r="C201" s="243">
        <v>0</v>
      </c>
      <c r="E201" s="243">
        <v>46.099804713468714</v>
      </c>
      <c r="G201" s="243">
        <f t="shared" si="91"/>
        <v>46.099804713468714</v>
      </c>
      <c r="I201" s="243">
        <v>0</v>
      </c>
      <c r="K201" s="247">
        <f t="shared" si="89"/>
        <v>0</v>
      </c>
    </row>
    <row r="202" spans="2:19" x14ac:dyDescent="0.2">
      <c r="B202" s="230" t="s">
        <v>517</v>
      </c>
      <c r="C202" s="243">
        <v>0</v>
      </c>
      <c r="E202" s="243">
        <v>46.099804713468714</v>
      </c>
      <c r="G202" s="243">
        <f t="shared" si="91"/>
        <v>32.269863299428096</v>
      </c>
      <c r="I202" s="243">
        <v>13.829941414040613</v>
      </c>
      <c r="K202" s="247">
        <f t="shared" si="89"/>
        <v>0</v>
      </c>
    </row>
    <row r="203" spans="2:19" x14ac:dyDescent="0.2">
      <c r="B203" s="230" t="s">
        <v>445</v>
      </c>
      <c r="C203" s="243">
        <v>0</v>
      </c>
      <c r="E203" s="243">
        <v>1314.2879334772852</v>
      </c>
      <c r="G203" s="243">
        <f t="shared" si="91"/>
        <v>1314.2879334772852</v>
      </c>
      <c r="I203" s="243">
        <v>0</v>
      </c>
      <c r="K203" s="247">
        <f t="shared" si="89"/>
        <v>0</v>
      </c>
      <c r="P203" s="238"/>
      <c r="Q203" s="238"/>
      <c r="R203" s="238"/>
      <c r="S203" s="238"/>
    </row>
    <row r="204" spans="2:19" x14ac:dyDescent="0.2">
      <c r="B204" s="230" t="s">
        <v>446</v>
      </c>
      <c r="C204" s="243">
        <v>0</v>
      </c>
      <c r="E204" s="243">
        <v>616.23583583508366</v>
      </c>
      <c r="G204" s="243">
        <f t="shared" si="91"/>
        <v>0</v>
      </c>
      <c r="I204" s="243">
        <v>616.23583583508366</v>
      </c>
      <c r="K204" s="247">
        <f t="shared" si="89"/>
        <v>0</v>
      </c>
    </row>
    <row r="205" spans="2:19" x14ac:dyDescent="0.2">
      <c r="B205" s="230" t="s">
        <v>447</v>
      </c>
      <c r="C205" s="243">
        <v>0</v>
      </c>
      <c r="E205" s="243">
        <v>3402.2651449800928</v>
      </c>
      <c r="G205" s="243">
        <f t="shared" si="91"/>
        <v>0</v>
      </c>
      <c r="I205" s="243">
        <v>3402.2651449800928</v>
      </c>
      <c r="K205" s="247">
        <f t="shared" si="89"/>
        <v>0</v>
      </c>
    </row>
    <row r="206" spans="2:19" x14ac:dyDescent="0.2">
      <c r="B206" s="230" t="s">
        <v>457</v>
      </c>
      <c r="C206" s="243">
        <v>0</v>
      </c>
      <c r="E206" s="243">
        <v>229.94813284002646</v>
      </c>
      <c r="G206" s="243">
        <f t="shared" si="91"/>
        <v>0</v>
      </c>
      <c r="I206" s="243">
        <v>229.94813284002646</v>
      </c>
      <c r="K206" s="247">
        <f t="shared" si="89"/>
        <v>0</v>
      </c>
    </row>
    <row r="207" spans="2:19" ht="17" customHeight="1" x14ac:dyDescent="0.2">
      <c r="B207" s="230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0"/>
      <c r="G208" s="52"/>
      <c r="I208" s="52"/>
    </row>
    <row r="209" spans="2:15" x14ac:dyDescent="0.2">
      <c r="B209" s="230"/>
    </row>
    <row r="210" spans="2:15" x14ac:dyDescent="0.2">
      <c r="C210" s="379" t="s">
        <v>375</v>
      </c>
      <c r="D210" s="379"/>
      <c r="E210" s="379"/>
      <c r="F210" s="379"/>
      <c r="G210" s="379"/>
      <c r="L210" s="238"/>
      <c r="M210" s="238"/>
    </row>
    <row r="213" spans="2:15" x14ac:dyDescent="0.2">
      <c r="B213" s="132" t="s">
        <v>325</v>
      </c>
      <c r="C213" s="243">
        <f t="array" ref="C213:C227">TRANSPOSE((AR120:BF120))</f>
        <v>1043.9873925509492</v>
      </c>
      <c r="E213" s="243">
        <f t="shared" ref="E213:E227" si="92">AM124</f>
        <v>1043.9873925509492</v>
      </c>
      <c r="G213" s="247">
        <f>C213-E213</f>
        <v>0</v>
      </c>
    </row>
    <row r="214" spans="2:15" x14ac:dyDescent="0.2">
      <c r="B214" s="132" t="s">
        <v>326</v>
      </c>
      <c r="C214" s="243">
        <v>208.65218594918355</v>
      </c>
      <c r="E214" s="243">
        <f t="shared" si="92"/>
        <v>208.65218594918355</v>
      </c>
      <c r="G214" s="247">
        <f t="shared" ref="G214:G227" si="93">C214-E214</f>
        <v>0</v>
      </c>
      <c r="N214" s="238"/>
      <c r="O214" s="238"/>
    </row>
    <row r="215" spans="2:15" x14ac:dyDescent="0.2">
      <c r="B215" s="132" t="s">
        <v>327</v>
      </c>
      <c r="C215" s="243">
        <v>306.591996148688</v>
      </c>
      <c r="E215" s="243">
        <f t="shared" si="92"/>
        <v>306.591996148688</v>
      </c>
      <c r="G215" s="247">
        <f t="shared" si="93"/>
        <v>0</v>
      </c>
    </row>
    <row r="216" spans="2:15" x14ac:dyDescent="0.2">
      <c r="B216" s="132" t="s">
        <v>455</v>
      </c>
      <c r="C216" s="243">
        <v>1011.7674660019052</v>
      </c>
      <c r="D216" s="14"/>
      <c r="E216" s="243">
        <f t="shared" si="92"/>
        <v>1011.7674660019052</v>
      </c>
      <c r="F216" s="14"/>
      <c r="G216" s="247">
        <f t="shared" si="93"/>
        <v>0</v>
      </c>
    </row>
    <row r="217" spans="2:15" x14ac:dyDescent="0.2">
      <c r="B217" s="132" t="s">
        <v>435</v>
      </c>
      <c r="C217" s="243">
        <v>208.55560337725498</v>
      </c>
      <c r="E217" s="243">
        <f t="shared" si="92"/>
        <v>208.55560337725498</v>
      </c>
      <c r="G217" s="247">
        <f t="shared" si="93"/>
        <v>0</v>
      </c>
      <c r="H217" s="238"/>
      <c r="I217" s="238"/>
      <c r="J217" s="238"/>
      <c r="K217" s="238"/>
    </row>
    <row r="218" spans="2:15" x14ac:dyDescent="0.2">
      <c r="B218" s="132" t="s">
        <v>434</v>
      </c>
      <c r="C218" s="243">
        <v>298.6148747230165</v>
      </c>
      <c r="E218" s="243">
        <f t="shared" si="92"/>
        <v>298.6148747230165</v>
      </c>
      <c r="G218" s="247">
        <f t="shared" si="93"/>
        <v>0</v>
      </c>
    </row>
    <row r="219" spans="2:15" x14ac:dyDescent="0.2">
      <c r="B219" s="132" t="s">
        <v>351</v>
      </c>
      <c r="C219" s="243">
        <v>1011.7674660019052</v>
      </c>
      <c r="E219" s="243">
        <f t="shared" si="92"/>
        <v>1011.7674660019052</v>
      </c>
      <c r="G219" s="247">
        <f t="shared" si="93"/>
        <v>0</v>
      </c>
    </row>
    <row r="220" spans="2:15" x14ac:dyDescent="0.2">
      <c r="B220" s="132" t="s">
        <v>348</v>
      </c>
      <c r="C220" s="243">
        <v>208.55560337725498</v>
      </c>
      <c r="D220" s="52" t="s">
        <v>378</v>
      </c>
      <c r="E220" s="243">
        <f t="shared" si="92"/>
        <v>208.55560337725498</v>
      </c>
      <c r="F220" s="52" t="s">
        <v>374</v>
      </c>
      <c r="G220" s="247">
        <f t="shared" si="93"/>
        <v>0</v>
      </c>
    </row>
    <row r="221" spans="2:15" x14ac:dyDescent="0.2">
      <c r="B221" s="132" t="s">
        <v>362</v>
      </c>
      <c r="C221" s="243">
        <v>298.6148747230165</v>
      </c>
      <c r="E221" s="243">
        <f t="shared" si="92"/>
        <v>298.6148747230165</v>
      </c>
      <c r="G221" s="247">
        <f t="shared" si="93"/>
        <v>0</v>
      </c>
    </row>
    <row r="222" spans="2:15" x14ac:dyDescent="0.2">
      <c r="B222" s="132" t="s">
        <v>349</v>
      </c>
      <c r="C222" s="243">
        <v>890.42781548807159</v>
      </c>
      <c r="E222" s="243">
        <f t="shared" si="92"/>
        <v>890.4278154880717</v>
      </c>
      <c r="G222" s="247">
        <f t="shared" si="93"/>
        <v>0</v>
      </c>
    </row>
    <row r="223" spans="2:15" x14ac:dyDescent="0.2">
      <c r="B223" s="132" t="s">
        <v>344</v>
      </c>
      <c r="C223" s="243">
        <v>3997.4881942225597</v>
      </c>
      <c r="E223" s="243">
        <f t="shared" si="92"/>
        <v>3997.4881942225602</v>
      </c>
      <c r="G223" s="247">
        <f t="shared" si="93"/>
        <v>0</v>
      </c>
    </row>
    <row r="224" spans="2:15" x14ac:dyDescent="0.2">
      <c r="B224" s="132" t="s">
        <v>514</v>
      </c>
      <c r="C224" s="243">
        <v>46.0998047134687</v>
      </c>
      <c r="E224" s="243">
        <f t="shared" si="92"/>
        <v>46.099804713468714</v>
      </c>
      <c r="G224" s="247">
        <f t="shared" si="93"/>
        <v>0</v>
      </c>
    </row>
    <row r="225" spans="2:11" x14ac:dyDescent="0.2">
      <c r="B225" s="132" t="s">
        <v>516</v>
      </c>
      <c r="C225" s="243">
        <v>46.099804713468714</v>
      </c>
      <c r="E225" s="243">
        <f t="shared" si="92"/>
        <v>46.099804713468714</v>
      </c>
      <c r="G225" s="247">
        <f t="shared" si="93"/>
        <v>0</v>
      </c>
    </row>
    <row r="226" spans="2:11" x14ac:dyDescent="0.2">
      <c r="B226" s="132" t="s">
        <v>76</v>
      </c>
      <c r="C226" s="243">
        <v>1314.2879334772852</v>
      </c>
      <c r="E226" s="243">
        <f t="shared" si="92"/>
        <v>1314.2879334772852</v>
      </c>
      <c r="G226" s="247">
        <f t="shared" si="93"/>
        <v>0</v>
      </c>
    </row>
    <row r="227" spans="2:11" x14ac:dyDescent="0.2">
      <c r="B227" s="132" t="s">
        <v>337</v>
      </c>
      <c r="C227" s="243">
        <v>4248.4491136552024</v>
      </c>
      <c r="D227" s="52"/>
      <c r="E227" s="243">
        <f t="shared" si="92"/>
        <v>4248.4491136552024</v>
      </c>
      <c r="G227" s="247">
        <f t="shared" si="93"/>
        <v>0</v>
      </c>
    </row>
    <row r="228" spans="2:11" x14ac:dyDescent="0.2">
      <c r="B228" s="230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0"/>
    </row>
    <row r="230" spans="2:11" x14ac:dyDescent="0.2">
      <c r="B230" s="230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A965-237B-CF41-9252-1318265F111B}">
  <dimension ref="B1:BY235"/>
  <sheetViews>
    <sheetView topLeftCell="A123" zoomScale="75" workbookViewId="0">
      <selection activeCell="F157" sqref="F157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1" t="s">
        <v>478</v>
      </c>
      <c r="AQ1" s="245"/>
      <c r="AR1" s="231" t="s">
        <v>325</v>
      </c>
      <c r="AS1" s="231" t="s">
        <v>326</v>
      </c>
      <c r="AT1" s="231" t="s">
        <v>327</v>
      </c>
      <c r="AU1" s="231" t="s">
        <v>455</v>
      </c>
      <c r="AV1" s="231" t="s">
        <v>435</v>
      </c>
      <c r="AW1" s="231" t="s">
        <v>434</v>
      </c>
      <c r="AX1" s="231" t="s">
        <v>351</v>
      </c>
      <c r="AY1" s="231" t="s">
        <v>348</v>
      </c>
      <c r="AZ1" s="231" t="s">
        <v>362</v>
      </c>
      <c r="BA1" s="231" t="s">
        <v>349</v>
      </c>
      <c r="BB1" s="231" t="s">
        <v>344</v>
      </c>
      <c r="BC1" s="231" t="s">
        <v>360</v>
      </c>
      <c r="BD1" s="231" t="s">
        <v>516</v>
      </c>
      <c r="BE1" s="231" t="s">
        <v>76</v>
      </c>
      <c r="BF1" s="231" t="s">
        <v>337</v>
      </c>
      <c r="BK1" s="245"/>
      <c r="BL1" s="231" t="s">
        <v>325</v>
      </c>
      <c r="BM1" s="231" t="s">
        <v>326</v>
      </c>
      <c r="BN1" s="231" t="s">
        <v>327</v>
      </c>
      <c r="BO1" s="231" t="s">
        <v>455</v>
      </c>
      <c r="BP1" s="231" t="s">
        <v>435</v>
      </c>
      <c r="BQ1" s="231" t="s">
        <v>434</v>
      </c>
      <c r="BR1" s="231" t="s">
        <v>351</v>
      </c>
      <c r="BS1" s="231" t="s">
        <v>348</v>
      </c>
      <c r="BT1" s="231" t="s">
        <v>362</v>
      </c>
      <c r="BU1" s="231" t="s">
        <v>349</v>
      </c>
      <c r="BV1" s="231" t="s">
        <v>344</v>
      </c>
      <c r="BW1" s="231" t="s">
        <v>516</v>
      </c>
      <c r="BX1" s="231" t="s">
        <v>76</v>
      </c>
      <c r="BY1" s="231" t="s">
        <v>337</v>
      </c>
    </row>
    <row r="2" spans="2:77" x14ac:dyDescent="0.2">
      <c r="B2" s="132" t="s">
        <v>333</v>
      </c>
      <c r="C2" s="246">
        <v>1</v>
      </c>
      <c r="AQ2" s="132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32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</row>
    <row r="3" spans="2:77" x14ac:dyDescent="0.2">
      <c r="B3" s="132" t="s">
        <v>335</v>
      </c>
      <c r="C3" s="246">
        <v>1</v>
      </c>
      <c r="AQ3" s="132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32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</row>
    <row r="4" spans="2:77" x14ac:dyDescent="0.2">
      <c r="B4" s="132" t="s">
        <v>336</v>
      </c>
      <c r="C4" s="246">
        <v>1</v>
      </c>
      <c r="AQ4" s="132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32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</row>
    <row r="5" spans="2:77" x14ac:dyDescent="0.2">
      <c r="B5" s="132" t="s">
        <v>355</v>
      </c>
      <c r="C5" s="246">
        <v>1</v>
      </c>
      <c r="AQ5" s="132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32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</row>
    <row r="6" spans="2:77" x14ac:dyDescent="0.2">
      <c r="B6" s="132" t="s">
        <v>377</v>
      </c>
      <c r="C6" s="246">
        <v>1</v>
      </c>
      <c r="AQ6" s="132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32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</row>
    <row r="7" spans="2:77" x14ac:dyDescent="0.2">
      <c r="B7" s="132" t="s">
        <v>466</v>
      </c>
      <c r="C7" s="246">
        <v>1</v>
      </c>
      <c r="AQ7" s="132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32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</row>
    <row r="8" spans="2:77" x14ac:dyDescent="0.2">
      <c r="B8" s="132" t="s">
        <v>467</v>
      </c>
      <c r="C8" s="246">
        <v>1</v>
      </c>
      <c r="AQ8" s="132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32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</row>
    <row r="9" spans="2:77" x14ac:dyDescent="0.2">
      <c r="B9" s="132" t="s">
        <v>411</v>
      </c>
      <c r="C9" s="246">
        <v>1</v>
      </c>
      <c r="AQ9" s="132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32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</row>
    <row r="10" spans="2:77" x14ac:dyDescent="0.2">
      <c r="B10" s="132" t="s">
        <v>459</v>
      </c>
      <c r="C10" s="246">
        <v>1</v>
      </c>
      <c r="AQ10" s="132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32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</row>
    <row r="11" spans="2:77" ht="16" customHeight="1" x14ac:dyDescent="0.2">
      <c r="B11" s="229" t="s">
        <v>442</v>
      </c>
      <c r="C11" s="246">
        <v>1</v>
      </c>
      <c r="AQ11" s="229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229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</row>
    <row r="12" spans="2:77" x14ac:dyDescent="0.2">
      <c r="B12" s="132" t="s">
        <v>409</v>
      </c>
      <c r="C12" s="246">
        <v>1</v>
      </c>
      <c r="AQ12" s="132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32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</row>
    <row r="13" spans="2:77" ht="16" customHeight="1" x14ac:dyDescent="0.2">
      <c r="B13" s="229" t="s">
        <v>412</v>
      </c>
      <c r="C13" s="246">
        <v>1</v>
      </c>
      <c r="AQ13" s="229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229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</row>
    <row r="14" spans="2:77" x14ac:dyDescent="0.2">
      <c r="B14" s="132" t="s">
        <v>437</v>
      </c>
      <c r="C14" s="246">
        <v>1</v>
      </c>
      <c r="AQ14" s="132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32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</row>
    <row r="15" spans="2:77" x14ac:dyDescent="0.2">
      <c r="B15" s="230" t="s">
        <v>430</v>
      </c>
      <c r="C15" s="246">
        <v>1</v>
      </c>
      <c r="AQ15" s="230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230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</row>
    <row r="16" spans="2:77" x14ac:dyDescent="0.2">
      <c r="B16" s="132" t="s">
        <v>416</v>
      </c>
      <c r="C16" s="246">
        <v>1</v>
      </c>
      <c r="AQ16" s="132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32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</row>
    <row r="17" spans="2:77" ht="16" customHeight="1" x14ac:dyDescent="0.2">
      <c r="B17" s="229" t="s">
        <v>441</v>
      </c>
      <c r="C17" s="246">
        <v>1</v>
      </c>
      <c r="AQ17" s="229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229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</row>
    <row r="18" spans="2:77" ht="16" customHeight="1" x14ac:dyDescent="0.2">
      <c r="B18" s="229" t="s">
        <v>436</v>
      </c>
      <c r="C18" s="246">
        <v>1</v>
      </c>
      <c r="AQ18" s="229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229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</row>
    <row r="19" spans="2:77" ht="16" customHeight="1" x14ac:dyDescent="0.2">
      <c r="B19" s="229" t="s">
        <v>433</v>
      </c>
      <c r="C19" s="246">
        <v>1</v>
      </c>
      <c r="AQ19" s="229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229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</row>
    <row r="20" spans="2:77" ht="16" customHeight="1" x14ac:dyDescent="0.2">
      <c r="B20" s="229" t="s">
        <v>439</v>
      </c>
      <c r="C20" s="246">
        <v>1</v>
      </c>
      <c r="AQ20" s="229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229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</row>
    <row r="21" spans="2:77" x14ac:dyDescent="0.2">
      <c r="B21" s="230" t="s">
        <v>438</v>
      </c>
      <c r="C21" s="246">
        <v>1</v>
      </c>
      <c r="AQ21" s="230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230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</row>
    <row r="22" spans="2:77" x14ac:dyDescent="0.2">
      <c r="B22" s="230" t="s">
        <v>424</v>
      </c>
      <c r="C22" s="246">
        <v>1</v>
      </c>
      <c r="AQ22" s="230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230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</row>
    <row r="23" spans="2:77" x14ac:dyDescent="0.2">
      <c r="B23" s="230" t="s">
        <v>456</v>
      </c>
      <c r="C23" s="246">
        <v>1</v>
      </c>
      <c r="AQ23" s="230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230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</row>
    <row r="24" spans="2:77" x14ac:dyDescent="0.2">
      <c r="B24" s="230" t="s">
        <v>425</v>
      </c>
      <c r="C24" s="246">
        <v>1</v>
      </c>
      <c r="AQ24" s="230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230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</row>
    <row r="25" spans="2:77" x14ac:dyDescent="0.2">
      <c r="B25" s="230" t="s">
        <v>427</v>
      </c>
      <c r="C25" s="246">
        <v>1</v>
      </c>
      <c r="AQ25" s="230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230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</row>
    <row r="26" spans="2:77" x14ac:dyDescent="0.2">
      <c r="B26" s="230" t="s">
        <v>426</v>
      </c>
      <c r="C26" s="246">
        <v>1</v>
      </c>
      <c r="AQ26" s="230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230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</row>
    <row r="27" spans="2:77" x14ac:dyDescent="0.2">
      <c r="B27" s="230" t="s">
        <v>484</v>
      </c>
      <c r="C27" s="246">
        <v>1</v>
      </c>
      <c r="AQ27" s="230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230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</row>
    <row r="28" spans="2:77" ht="16" customHeight="1" x14ac:dyDescent="0.2">
      <c r="B28" s="244" t="s">
        <v>422</v>
      </c>
      <c r="C28" s="246">
        <v>1</v>
      </c>
      <c r="AQ28" s="244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44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</row>
    <row r="29" spans="2:77" ht="16" customHeight="1" x14ac:dyDescent="0.2">
      <c r="B29" s="244"/>
      <c r="C29" s="246"/>
      <c r="AQ29" s="244" t="s">
        <v>552</v>
      </c>
      <c r="AR29" s="246"/>
      <c r="AS29" s="246"/>
      <c r="AT29" s="246"/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K29" s="244" t="s">
        <v>552</v>
      </c>
      <c r="BL29" s="246"/>
      <c r="BM29" s="246"/>
      <c r="BN29" s="246"/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</row>
    <row r="30" spans="2:77" x14ac:dyDescent="0.2">
      <c r="B30" s="230" t="s">
        <v>421</v>
      </c>
      <c r="C30" s="246">
        <v>1</v>
      </c>
      <c r="AQ30" s="230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230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</row>
    <row r="31" spans="2:77" x14ac:dyDescent="0.2">
      <c r="B31" s="132" t="s">
        <v>423</v>
      </c>
      <c r="C31" s="246">
        <v>1</v>
      </c>
      <c r="AQ31" s="132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32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</row>
    <row r="32" spans="2:77" x14ac:dyDescent="0.2">
      <c r="B32" s="230" t="s">
        <v>419</v>
      </c>
      <c r="C32" s="246">
        <v>1</v>
      </c>
      <c r="AQ32" s="230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230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</row>
    <row r="33" spans="2:77" x14ac:dyDescent="0.2">
      <c r="B33" s="230" t="s">
        <v>445</v>
      </c>
      <c r="C33" s="246">
        <v>1</v>
      </c>
      <c r="AQ33" s="230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230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</row>
    <row r="34" spans="2:77" x14ac:dyDescent="0.2">
      <c r="B34" s="230" t="s">
        <v>446</v>
      </c>
      <c r="C34" s="246">
        <v>1</v>
      </c>
      <c r="AQ34" s="230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230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</row>
    <row r="35" spans="2:77" x14ac:dyDescent="0.2">
      <c r="B35" s="230" t="s">
        <v>447</v>
      </c>
      <c r="C35" s="246">
        <v>1</v>
      </c>
      <c r="AQ35" s="230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230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</row>
    <row r="36" spans="2:77" x14ac:dyDescent="0.2">
      <c r="B36" s="230" t="s">
        <v>457</v>
      </c>
      <c r="C36" s="246">
        <v>1</v>
      </c>
      <c r="AQ36" s="230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230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</row>
    <row r="37" spans="2:77" x14ac:dyDescent="0.2">
      <c r="C37" s="52" t="s">
        <v>473</v>
      </c>
      <c r="AQ37" s="230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230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</row>
    <row r="38" spans="2:77" x14ac:dyDescent="0.2">
      <c r="AQ38" s="230"/>
      <c r="AR38" s="379" t="s">
        <v>470</v>
      </c>
      <c r="AS38" s="379"/>
      <c r="AT38" s="379"/>
      <c r="AU38" s="379"/>
      <c r="AV38" s="379"/>
      <c r="AW38" s="379"/>
      <c r="AX38" s="379"/>
      <c r="AY38" s="379"/>
      <c r="AZ38" s="379"/>
      <c r="BA38" s="379"/>
      <c r="BB38" s="379"/>
      <c r="BC38" s="379"/>
      <c r="BD38" s="379"/>
      <c r="BE38" s="379"/>
      <c r="BF38" s="379"/>
      <c r="BK38" s="230"/>
      <c r="BL38" s="379" t="s">
        <v>471</v>
      </c>
      <c r="BM38" s="379"/>
      <c r="BN38" s="379"/>
      <c r="BO38" s="379"/>
      <c r="BP38" s="379"/>
      <c r="BQ38" s="379"/>
      <c r="BR38" s="379"/>
      <c r="BS38" s="379"/>
      <c r="BT38" s="379"/>
      <c r="BU38" s="379"/>
      <c r="BV38" s="379"/>
      <c r="BW38" s="379"/>
      <c r="BX38" s="379"/>
      <c r="BY38" s="379"/>
    </row>
    <row r="39" spans="2:77" x14ac:dyDescent="0.2">
      <c r="AQ39" s="230"/>
      <c r="BK39" s="230"/>
    </row>
    <row r="40" spans="2:77" x14ac:dyDescent="0.2">
      <c r="AQ40" s="230"/>
    </row>
    <row r="41" spans="2:77" ht="112" customHeight="1" x14ac:dyDescent="0.2">
      <c r="AQ41" s="245"/>
      <c r="AR41" s="231" t="s">
        <v>325</v>
      </c>
      <c r="AS41" s="231" t="s">
        <v>326</v>
      </c>
      <c r="AT41" s="231" t="s">
        <v>327</v>
      </c>
      <c r="AU41" s="231" t="s">
        <v>455</v>
      </c>
      <c r="AV41" s="231" t="s">
        <v>435</v>
      </c>
      <c r="AW41" s="231" t="s">
        <v>434</v>
      </c>
      <c r="AX41" s="231" t="s">
        <v>351</v>
      </c>
      <c r="AY41" s="231" t="s">
        <v>348</v>
      </c>
      <c r="AZ41" s="231" t="s">
        <v>362</v>
      </c>
      <c r="BA41" s="231" t="s">
        <v>349</v>
      </c>
      <c r="BB41" s="231" t="s">
        <v>344</v>
      </c>
      <c r="BC41" s="231" t="s">
        <v>514</v>
      </c>
      <c r="BD41" s="231" t="s">
        <v>516</v>
      </c>
      <c r="BE41" s="231" t="s">
        <v>76</v>
      </c>
      <c r="BF41" s="231" t="s">
        <v>337</v>
      </c>
    </row>
    <row r="42" spans="2:77" x14ac:dyDescent="0.2">
      <c r="AQ42" s="132" t="s">
        <v>333</v>
      </c>
      <c r="AR42" s="246">
        <f>AR83</f>
        <v>106.92660448984697</v>
      </c>
      <c r="AS42" s="246">
        <f t="shared" ref="AS42:BF57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7" x14ac:dyDescent="0.2">
      <c r="AQ43" s="132" t="s">
        <v>335</v>
      </c>
      <c r="AR43" s="246">
        <f t="shared" ref="AR43:BF58" si="1">AR84</f>
        <v>0</v>
      </c>
      <c r="AS43" s="246">
        <f t="shared" si="1"/>
        <v>121.29643829987386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si="0"/>
        <v>0</v>
      </c>
      <c r="BA43" s="246">
        <f t="shared" si="0"/>
        <v>0</v>
      </c>
      <c r="BB43" s="246">
        <f t="shared" si="0"/>
        <v>0</v>
      </c>
      <c r="BC43" s="246">
        <f t="shared" si="0"/>
        <v>0</v>
      </c>
      <c r="BD43" s="246">
        <f t="shared" si="0"/>
        <v>0</v>
      </c>
      <c r="BE43" s="246">
        <f t="shared" si="0"/>
        <v>0</v>
      </c>
      <c r="BF43" s="246">
        <f t="shared" si="0"/>
        <v>0</v>
      </c>
    </row>
    <row r="44" spans="2:77" x14ac:dyDescent="0.2">
      <c r="AQ44" s="132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29640.155629634577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si="0"/>
        <v>0</v>
      </c>
      <c r="BA44" s="246">
        <f t="shared" si="0"/>
        <v>0</v>
      </c>
      <c r="BB44" s="246">
        <f t="shared" si="0"/>
        <v>0</v>
      </c>
      <c r="BC44" s="246">
        <f t="shared" si="0"/>
        <v>0</v>
      </c>
      <c r="BD44" s="246">
        <f t="shared" si="0"/>
        <v>0</v>
      </c>
      <c r="BE44" s="246">
        <f t="shared" si="0"/>
        <v>0</v>
      </c>
      <c r="BF44" s="246">
        <f t="shared" si="0"/>
        <v>0</v>
      </c>
    </row>
    <row r="45" spans="2:77" x14ac:dyDescent="0.2">
      <c r="AQ45" s="132" t="s">
        <v>355</v>
      </c>
      <c r="AR45" s="246">
        <f t="shared" si="1"/>
        <v>4.1467529598807173</v>
      </c>
      <c r="AS45" s="246">
        <f t="shared" si="1"/>
        <v>4.1467529598807173</v>
      </c>
      <c r="AT45" s="246">
        <f t="shared" si="1"/>
        <v>4.1467529598807173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si="0"/>
        <v>0</v>
      </c>
      <c r="BA45" s="246">
        <f t="shared" si="0"/>
        <v>4.1467529598807173</v>
      </c>
      <c r="BB45" s="246">
        <f t="shared" si="0"/>
        <v>4.1467529598807173</v>
      </c>
      <c r="BC45" s="246">
        <f t="shared" si="0"/>
        <v>0</v>
      </c>
      <c r="BD45" s="246">
        <f t="shared" si="0"/>
        <v>0</v>
      </c>
      <c r="BE45" s="246">
        <f t="shared" si="0"/>
        <v>0</v>
      </c>
      <c r="BF45" s="246">
        <f t="shared" si="0"/>
        <v>4.1467529598807324</v>
      </c>
    </row>
    <row r="46" spans="2:77" x14ac:dyDescent="0.2">
      <c r="AQ46" s="132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si="0"/>
        <v>0</v>
      </c>
      <c r="BA46" s="246">
        <f t="shared" si="0"/>
        <v>51848.933724620947</v>
      </c>
      <c r="BB46" s="246">
        <f t="shared" si="0"/>
        <v>51848.933724620947</v>
      </c>
      <c r="BC46" s="246">
        <f t="shared" si="0"/>
        <v>0</v>
      </c>
      <c r="BD46" s="246">
        <f t="shared" si="0"/>
        <v>0</v>
      </c>
      <c r="BE46" s="246">
        <f t="shared" si="0"/>
        <v>0</v>
      </c>
      <c r="BF46" s="246">
        <f t="shared" si="0"/>
        <v>51848.933724620954</v>
      </c>
    </row>
    <row r="47" spans="2:77" x14ac:dyDescent="0.2">
      <c r="AQ47" s="132" t="s">
        <v>466</v>
      </c>
      <c r="AR47" s="246">
        <f t="shared" si="1"/>
        <v>45492.270191724252</v>
      </c>
      <c r="AS47" s="246">
        <f t="shared" si="1"/>
        <v>45492.270191724252</v>
      </c>
      <c r="AT47" s="246">
        <f t="shared" si="1"/>
        <v>45492.270191724252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si="0"/>
        <v>0</v>
      </c>
      <c r="BA47" s="246">
        <f t="shared" si="0"/>
        <v>0</v>
      </c>
      <c r="BB47" s="246">
        <f t="shared" si="0"/>
        <v>0</v>
      </c>
      <c r="BC47" s="246">
        <f t="shared" si="0"/>
        <v>0</v>
      </c>
      <c r="BD47" s="246">
        <f t="shared" si="0"/>
        <v>0</v>
      </c>
      <c r="BE47" s="246">
        <f t="shared" si="0"/>
        <v>0</v>
      </c>
      <c r="BF47" s="246">
        <f t="shared" si="0"/>
        <v>0</v>
      </c>
    </row>
    <row r="48" spans="2:77" x14ac:dyDescent="0.2">
      <c r="AQ48" s="132" t="s">
        <v>467</v>
      </c>
      <c r="AR48" s="246">
        <f t="shared" si="1"/>
        <v>0</v>
      </c>
      <c r="AS48" s="246">
        <f t="shared" si="1"/>
        <v>46556.366885754731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si="0"/>
        <v>0</v>
      </c>
      <c r="BA48" s="246">
        <f t="shared" si="0"/>
        <v>0</v>
      </c>
      <c r="BB48" s="246">
        <f t="shared" si="0"/>
        <v>0</v>
      </c>
      <c r="BC48" s="246">
        <f t="shared" si="0"/>
        <v>0</v>
      </c>
      <c r="BD48" s="246">
        <f t="shared" si="0"/>
        <v>0</v>
      </c>
      <c r="BE48" s="246">
        <f t="shared" si="0"/>
        <v>0</v>
      </c>
      <c r="BF48" s="246">
        <f t="shared" si="0"/>
        <v>0</v>
      </c>
    </row>
    <row r="49" spans="43:58" x14ac:dyDescent="0.2">
      <c r="AQ49" s="132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si="0"/>
        <v>0</v>
      </c>
      <c r="BA49" s="246">
        <f t="shared" si="0"/>
        <v>0</v>
      </c>
      <c r="BB49" s="246">
        <f t="shared" si="0"/>
        <v>0</v>
      </c>
      <c r="BC49" s="246">
        <f t="shared" si="0"/>
        <v>0</v>
      </c>
      <c r="BD49" s="246">
        <f t="shared" si="0"/>
        <v>0</v>
      </c>
      <c r="BE49" s="246">
        <f t="shared" si="0"/>
        <v>0</v>
      </c>
      <c r="BF49" s="246">
        <f t="shared" si="0"/>
        <v>5923.4858380648811</v>
      </c>
    </row>
    <row r="50" spans="43:58" x14ac:dyDescent="0.2">
      <c r="AQ50" s="132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1</v>
      </c>
      <c r="AU50" s="246">
        <f t="shared" si="1"/>
        <v>1</v>
      </c>
      <c r="AV50" s="246">
        <f t="shared" si="1"/>
        <v>1</v>
      </c>
      <c r="AW50" s="246">
        <f t="shared" si="1"/>
        <v>1</v>
      </c>
      <c r="AX50" s="246">
        <f t="shared" si="1"/>
        <v>1</v>
      </c>
      <c r="AY50" s="246">
        <f t="shared" si="1"/>
        <v>1</v>
      </c>
      <c r="AZ50" s="246">
        <f t="shared" si="0"/>
        <v>1</v>
      </c>
      <c r="BA50" s="246">
        <f t="shared" si="0"/>
        <v>0</v>
      </c>
      <c r="BB50" s="246">
        <f t="shared" si="0"/>
        <v>0</v>
      </c>
      <c r="BC50" s="246">
        <f t="shared" si="0"/>
        <v>1</v>
      </c>
      <c r="BD50" s="246">
        <f t="shared" si="0"/>
        <v>0</v>
      </c>
      <c r="BE50" s="246">
        <f t="shared" si="0"/>
        <v>0</v>
      </c>
      <c r="BF50" s="246">
        <f t="shared" si="0"/>
        <v>1</v>
      </c>
    </row>
    <row r="51" spans="43:58" ht="16" customHeight="1" x14ac:dyDescent="0.2">
      <c r="AQ51" s="229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106.92660448984697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si="0"/>
        <v>0</v>
      </c>
      <c r="BA51" s="246">
        <f t="shared" si="0"/>
        <v>0</v>
      </c>
      <c r="BB51" s="246">
        <f t="shared" si="0"/>
        <v>0</v>
      </c>
      <c r="BC51" s="246">
        <f t="shared" si="0"/>
        <v>0</v>
      </c>
      <c r="BD51" s="246">
        <f t="shared" si="0"/>
        <v>0</v>
      </c>
      <c r="BE51" s="246">
        <f t="shared" si="0"/>
        <v>0</v>
      </c>
      <c r="BF51" s="246">
        <f t="shared" si="0"/>
        <v>0</v>
      </c>
    </row>
    <row r="52" spans="43:58" x14ac:dyDescent="0.2">
      <c r="AQ52" s="132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si="0"/>
        <v>0</v>
      </c>
      <c r="BA52" s="246">
        <f t="shared" si="0"/>
        <v>0</v>
      </c>
      <c r="BB52" s="246">
        <f t="shared" si="0"/>
        <v>0</v>
      </c>
      <c r="BC52" s="246">
        <f t="shared" si="0"/>
        <v>0</v>
      </c>
      <c r="BD52" s="246">
        <f t="shared" si="0"/>
        <v>0</v>
      </c>
      <c r="BE52" s="246">
        <f t="shared" si="0"/>
        <v>0</v>
      </c>
      <c r="BF52" s="246">
        <f t="shared" si="0"/>
        <v>0</v>
      </c>
    </row>
    <row r="53" spans="43:58" ht="16" customHeight="1" x14ac:dyDescent="0.2">
      <c r="AQ53" s="229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121.29643829987386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si="0"/>
        <v>0</v>
      </c>
      <c r="BA53" s="246">
        <f t="shared" si="0"/>
        <v>0</v>
      </c>
      <c r="BB53" s="246">
        <f t="shared" si="0"/>
        <v>0</v>
      </c>
      <c r="BC53" s="246">
        <f t="shared" si="0"/>
        <v>0</v>
      </c>
      <c r="BD53" s="246">
        <f t="shared" si="0"/>
        <v>0</v>
      </c>
      <c r="BE53" s="246">
        <f t="shared" si="0"/>
        <v>0</v>
      </c>
      <c r="BF53" s="246">
        <f t="shared" si="0"/>
        <v>0</v>
      </c>
    </row>
    <row r="54" spans="43:58" x14ac:dyDescent="0.2">
      <c r="AQ54" s="132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si="0"/>
        <v>0</v>
      </c>
      <c r="BA54" s="246">
        <f t="shared" si="0"/>
        <v>0</v>
      </c>
      <c r="BB54" s="246">
        <f t="shared" si="0"/>
        <v>0</v>
      </c>
      <c r="BC54" s="246">
        <f t="shared" si="0"/>
        <v>0</v>
      </c>
      <c r="BD54" s="246">
        <f t="shared" si="0"/>
        <v>0</v>
      </c>
      <c r="BE54" s="246">
        <f t="shared" si="0"/>
        <v>0</v>
      </c>
      <c r="BF54" s="246">
        <f t="shared" si="0"/>
        <v>0</v>
      </c>
    </row>
    <row r="55" spans="43:58" x14ac:dyDescent="0.2">
      <c r="AQ55" s="230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29656.273246774046</v>
      </c>
      <c r="AX55" s="246">
        <f t="shared" si="1"/>
        <v>0</v>
      </c>
      <c r="AY55" s="246">
        <f t="shared" si="1"/>
        <v>0</v>
      </c>
      <c r="AZ55" s="246">
        <f t="shared" si="0"/>
        <v>0</v>
      </c>
      <c r="BA55" s="246">
        <f t="shared" si="0"/>
        <v>0</v>
      </c>
      <c r="BB55" s="246">
        <f t="shared" si="0"/>
        <v>0</v>
      </c>
      <c r="BC55" s="246">
        <f t="shared" si="0"/>
        <v>0</v>
      </c>
      <c r="BD55" s="246">
        <f t="shared" si="0"/>
        <v>0</v>
      </c>
      <c r="BE55" s="246">
        <f t="shared" si="0"/>
        <v>0</v>
      </c>
      <c r="BF55" s="246">
        <f t="shared" si="0"/>
        <v>0</v>
      </c>
    </row>
    <row r="56" spans="43:58" x14ac:dyDescent="0.2">
      <c r="AQ56" s="132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si="0"/>
        <v>0</v>
      </c>
      <c r="BA56" s="246">
        <f t="shared" si="0"/>
        <v>0</v>
      </c>
      <c r="BB56" s="246">
        <f t="shared" si="0"/>
        <v>0</v>
      </c>
      <c r="BC56" s="246">
        <f t="shared" si="0"/>
        <v>0</v>
      </c>
      <c r="BD56" s="246">
        <f t="shared" si="0"/>
        <v>0</v>
      </c>
      <c r="BE56" s="246">
        <f t="shared" si="0"/>
        <v>0</v>
      </c>
      <c r="BF56" s="246">
        <f t="shared" si="0"/>
        <v>0</v>
      </c>
    </row>
    <row r="57" spans="43:58" ht="16" customHeight="1" x14ac:dyDescent="0.2">
      <c r="AQ57" s="229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106.92660448984697</v>
      </c>
      <c r="AY57" s="246">
        <f t="shared" si="1"/>
        <v>0</v>
      </c>
      <c r="AZ57" s="246">
        <f t="shared" si="0"/>
        <v>0</v>
      </c>
      <c r="BA57" s="246">
        <f t="shared" si="0"/>
        <v>0</v>
      </c>
      <c r="BB57" s="246">
        <f t="shared" si="0"/>
        <v>0</v>
      </c>
      <c r="BC57" s="246">
        <f t="shared" si="0"/>
        <v>0</v>
      </c>
      <c r="BD57" s="246">
        <f t="shared" si="0"/>
        <v>0</v>
      </c>
      <c r="BE57" s="246">
        <f t="shared" si="0"/>
        <v>0</v>
      </c>
      <c r="BF57" s="246">
        <f t="shared" si="0"/>
        <v>0</v>
      </c>
    </row>
    <row r="58" spans="43:58" ht="16" customHeight="1" x14ac:dyDescent="0.2">
      <c r="AQ58" s="229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121.29643829987386</v>
      </c>
      <c r="AZ58" s="246">
        <f t="shared" si="1"/>
        <v>0</v>
      </c>
      <c r="BA58" s="246">
        <f t="shared" si="1"/>
        <v>0</v>
      </c>
      <c r="BB58" s="246">
        <f t="shared" si="1"/>
        <v>0</v>
      </c>
      <c r="BC58" s="246">
        <f t="shared" si="1"/>
        <v>0</v>
      </c>
      <c r="BD58" s="246">
        <f t="shared" si="1"/>
        <v>0</v>
      </c>
      <c r="BE58" s="246">
        <f t="shared" si="1"/>
        <v>0</v>
      </c>
      <c r="BF58" s="246">
        <f t="shared" si="1"/>
        <v>0</v>
      </c>
    </row>
    <row r="59" spans="43:58" ht="16" customHeight="1" x14ac:dyDescent="0.2">
      <c r="AQ59" s="229" t="s">
        <v>433</v>
      </c>
      <c r="AR59" s="246">
        <f t="shared" ref="AR59:BF68" si="2">AR100</f>
        <v>0</v>
      </c>
      <c r="AS59" s="246">
        <f t="shared" si="2"/>
        <v>0</v>
      </c>
      <c r="AT59" s="246">
        <f t="shared" si="2"/>
        <v>0</v>
      </c>
      <c r="AU59" s="246">
        <f t="shared" si="2"/>
        <v>0</v>
      </c>
      <c r="AV59" s="246">
        <f t="shared" si="2"/>
        <v>0</v>
      </c>
      <c r="AW59" s="246">
        <f t="shared" si="2"/>
        <v>0</v>
      </c>
      <c r="AX59" s="246">
        <f t="shared" si="2"/>
        <v>0</v>
      </c>
      <c r="AY59" s="246">
        <f t="shared" si="2"/>
        <v>0</v>
      </c>
      <c r="AZ59" s="246">
        <f t="shared" si="2"/>
        <v>29656.273246774046</v>
      </c>
      <c r="BA59" s="246">
        <f t="shared" si="2"/>
        <v>0</v>
      </c>
      <c r="BB59" s="246">
        <f t="shared" si="2"/>
        <v>0</v>
      </c>
      <c r="BC59" s="246">
        <f t="shared" si="2"/>
        <v>0</v>
      </c>
      <c r="BD59" s="246">
        <f t="shared" si="2"/>
        <v>0</v>
      </c>
      <c r="BE59" s="246">
        <f t="shared" si="2"/>
        <v>0</v>
      </c>
      <c r="BF59" s="246">
        <f t="shared" si="2"/>
        <v>0</v>
      </c>
    </row>
    <row r="60" spans="43:58" ht="16" customHeight="1" x14ac:dyDescent="0.2">
      <c r="AQ60" s="229" t="s">
        <v>439</v>
      </c>
      <c r="AR60" s="246">
        <f t="shared" si="2"/>
        <v>0</v>
      </c>
      <c r="AS60" s="246">
        <f t="shared" si="2"/>
        <v>0</v>
      </c>
      <c r="AT60" s="246">
        <f t="shared" si="2"/>
        <v>0</v>
      </c>
      <c r="AU60" s="246">
        <f t="shared" si="2"/>
        <v>0</v>
      </c>
      <c r="AV60" s="246">
        <f t="shared" si="2"/>
        <v>0</v>
      </c>
      <c r="AW60" s="246">
        <f t="shared" si="2"/>
        <v>0</v>
      </c>
      <c r="AX60" s="246">
        <f t="shared" si="2"/>
        <v>0</v>
      </c>
      <c r="AY60" s="246">
        <f t="shared" si="2"/>
        <v>0</v>
      </c>
      <c r="AZ60" s="246">
        <f t="shared" si="2"/>
        <v>0</v>
      </c>
      <c r="BA60" s="246">
        <f t="shared" si="2"/>
        <v>0</v>
      </c>
      <c r="BB60" s="246">
        <f t="shared" si="2"/>
        <v>0</v>
      </c>
      <c r="BC60" s="246">
        <f t="shared" si="2"/>
        <v>0</v>
      </c>
      <c r="BD60" s="246">
        <f t="shared" si="2"/>
        <v>0</v>
      </c>
      <c r="BE60" s="246">
        <f t="shared" si="2"/>
        <v>88.071706245154459</v>
      </c>
      <c r="BF60" s="246">
        <f t="shared" si="2"/>
        <v>0</v>
      </c>
    </row>
    <row r="61" spans="43:58" x14ac:dyDescent="0.2">
      <c r="AQ61" s="230" t="s">
        <v>438</v>
      </c>
      <c r="AR61" s="246">
        <f t="shared" si="2"/>
        <v>0</v>
      </c>
      <c r="AS61" s="246">
        <f t="shared" si="2"/>
        <v>0</v>
      </c>
      <c r="AT61" s="246">
        <f t="shared" si="2"/>
        <v>0</v>
      </c>
      <c r="AU61" s="246">
        <f t="shared" si="2"/>
        <v>0</v>
      </c>
      <c r="AV61" s="246">
        <f t="shared" si="2"/>
        <v>0</v>
      </c>
      <c r="AW61" s="246">
        <f t="shared" si="2"/>
        <v>0</v>
      </c>
      <c r="AX61" s="246">
        <f t="shared" si="2"/>
        <v>0</v>
      </c>
      <c r="AY61" s="246">
        <f t="shared" si="2"/>
        <v>0</v>
      </c>
      <c r="AZ61" s="246">
        <f t="shared" si="2"/>
        <v>0</v>
      </c>
      <c r="BA61" s="246">
        <f t="shared" si="2"/>
        <v>0</v>
      </c>
      <c r="BB61" s="246">
        <f t="shared" si="2"/>
        <v>0</v>
      </c>
      <c r="BC61" s="246">
        <f t="shared" si="2"/>
        <v>0</v>
      </c>
      <c r="BD61" s="246">
        <f t="shared" si="2"/>
        <v>0</v>
      </c>
      <c r="BE61" s="246">
        <f t="shared" si="2"/>
        <v>0</v>
      </c>
      <c r="BF61" s="246">
        <f t="shared" si="2"/>
        <v>0</v>
      </c>
    </row>
    <row r="62" spans="43:58" x14ac:dyDescent="0.2">
      <c r="AQ62" s="230" t="s">
        <v>424</v>
      </c>
      <c r="AR62" s="246">
        <f t="shared" si="2"/>
        <v>0</v>
      </c>
      <c r="AS62" s="246">
        <f t="shared" si="2"/>
        <v>0</v>
      </c>
      <c r="AT62" s="246">
        <f t="shared" si="2"/>
        <v>0</v>
      </c>
      <c r="AU62" s="246">
        <f t="shared" si="2"/>
        <v>0</v>
      </c>
      <c r="AV62" s="246">
        <f t="shared" si="2"/>
        <v>0</v>
      </c>
      <c r="AW62" s="246">
        <f t="shared" si="2"/>
        <v>0</v>
      </c>
      <c r="AX62" s="246">
        <f t="shared" si="2"/>
        <v>0</v>
      </c>
      <c r="AY62" s="246">
        <f t="shared" si="2"/>
        <v>0</v>
      </c>
      <c r="AZ62" s="246">
        <f t="shared" si="2"/>
        <v>0</v>
      </c>
      <c r="BA62" s="246">
        <f t="shared" si="2"/>
        <v>121.29643829987386</v>
      </c>
      <c r="BB62" s="246">
        <f t="shared" si="2"/>
        <v>0</v>
      </c>
      <c r="BC62" s="246">
        <f t="shared" si="2"/>
        <v>0</v>
      </c>
      <c r="BD62" s="246">
        <f t="shared" si="2"/>
        <v>0</v>
      </c>
      <c r="BE62" s="246">
        <f t="shared" si="2"/>
        <v>0</v>
      </c>
      <c r="BF62" s="246">
        <f t="shared" si="2"/>
        <v>0</v>
      </c>
    </row>
    <row r="63" spans="43:58" x14ac:dyDescent="0.2">
      <c r="AQ63" s="230" t="s">
        <v>456</v>
      </c>
      <c r="AR63" s="246">
        <f t="shared" si="2"/>
        <v>0</v>
      </c>
      <c r="AS63" s="246">
        <f t="shared" si="2"/>
        <v>0</v>
      </c>
      <c r="AT63" s="246">
        <f t="shared" si="2"/>
        <v>0</v>
      </c>
      <c r="AU63" s="246">
        <f t="shared" si="2"/>
        <v>0</v>
      </c>
      <c r="AV63" s="246">
        <f t="shared" si="2"/>
        <v>0</v>
      </c>
      <c r="AW63" s="246">
        <f t="shared" si="2"/>
        <v>0</v>
      </c>
      <c r="AX63" s="246">
        <f t="shared" si="2"/>
        <v>0</v>
      </c>
      <c r="AY63" s="246">
        <f t="shared" si="2"/>
        <v>0</v>
      </c>
      <c r="AZ63" s="246">
        <f t="shared" si="2"/>
        <v>0</v>
      </c>
      <c r="BA63" s="246">
        <f t="shared" si="2"/>
        <v>0</v>
      </c>
      <c r="BB63" s="246">
        <f t="shared" si="2"/>
        <v>29656.273246774046</v>
      </c>
      <c r="BC63" s="246">
        <f t="shared" si="2"/>
        <v>0</v>
      </c>
      <c r="BD63" s="246">
        <f t="shared" si="2"/>
        <v>0</v>
      </c>
      <c r="BE63" s="246">
        <f t="shared" si="2"/>
        <v>0</v>
      </c>
      <c r="BF63" s="246">
        <f t="shared" si="2"/>
        <v>0</v>
      </c>
    </row>
    <row r="64" spans="43:58" x14ac:dyDescent="0.2">
      <c r="AQ64" s="230" t="s">
        <v>425</v>
      </c>
      <c r="AR64" s="246">
        <f t="shared" si="2"/>
        <v>0</v>
      </c>
      <c r="AS64" s="246">
        <f t="shared" si="2"/>
        <v>0</v>
      </c>
      <c r="AT64" s="246">
        <f t="shared" si="2"/>
        <v>0</v>
      </c>
      <c r="AU64" s="246">
        <f t="shared" si="2"/>
        <v>0</v>
      </c>
      <c r="AV64" s="246">
        <f t="shared" si="2"/>
        <v>0</v>
      </c>
      <c r="AW64" s="246">
        <f t="shared" si="2"/>
        <v>0</v>
      </c>
      <c r="AX64" s="246">
        <f t="shared" si="2"/>
        <v>0</v>
      </c>
      <c r="AY64" s="246">
        <f t="shared" si="2"/>
        <v>0</v>
      </c>
      <c r="AZ64" s="246">
        <f t="shared" si="2"/>
        <v>0</v>
      </c>
      <c r="BA64" s="246">
        <f t="shared" si="2"/>
        <v>0</v>
      </c>
      <c r="BB64" s="246">
        <f t="shared" si="2"/>
        <v>0</v>
      </c>
      <c r="BC64" s="246">
        <f t="shared" si="2"/>
        <v>0</v>
      </c>
      <c r="BD64" s="246">
        <f t="shared" si="2"/>
        <v>0</v>
      </c>
      <c r="BE64" s="246">
        <f t="shared" si="2"/>
        <v>2180.165271571077</v>
      </c>
      <c r="BF64" s="246">
        <f t="shared" si="2"/>
        <v>0</v>
      </c>
    </row>
    <row r="65" spans="43:58" x14ac:dyDescent="0.2">
      <c r="AQ65" s="230" t="s">
        <v>427</v>
      </c>
      <c r="AR65" s="246">
        <f t="shared" si="2"/>
        <v>0</v>
      </c>
      <c r="AS65" s="246">
        <f t="shared" si="2"/>
        <v>0</v>
      </c>
      <c r="AT65" s="246">
        <f t="shared" si="2"/>
        <v>0</v>
      </c>
      <c r="AU65" s="246">
        <f t="shared" si="2"/>
        <v>0</v>
      </c>
      <c r="AV65" s="246">
        <f t="shared" si="2"/>
        <v>0</v>
      </c>
      <c r="AW65" s="246">
        <f t="shared" si="2"/>
        <v>0</v>
      </c>
      <c r="AX65" s="246">
        <f t="shared" si="2"/>
        <v>0</v>
      </c>
      <c r="AY65" s="246">
        <f t="shared" si="2"/>
        <v>0</v>
      </c>
      <c r="AZ65" s="246">
        <f t="shared" si="2"/>
        <v>0</v>
      </c>
      <c r="BA65" s="246">
        <f t="shared" si="2"/>
        <v>0</v>
      </c>
      <c r="BB65" s="246">
        <f t="shared" si="2"/>
        <v>0</v>
      </c>
      <c r="BC65" s="246">
        <f t="shared" si="2"/>
        <v>0</v>
      </c>
      <c r="BD65" s="246">
        <f t="shared" si="2"/>
        <v>0</v>
      </c>
      <c r="BE65" s="246">
        <f t="shared" si="2"/>
        <v>0</v>
      </c>
      <c r="BF65" s="246">
        <f t="shared" si="2"/>
        <v>0</v>
      </c>
    </row>
    <row r="66" spans="43:58" x14ac:dyDescent="0.2">
      <c r="AQ66" s="230" t="s">
        <v>426</v>
      </c>
      <c r="AR66" s="246">
        <f t="shared" si="2"/>
        <v>0</v>
      </c>
      <c r="AS66" s="246">
        <f t="shared" si="2"/>
        <v>0</v>
      </c>
      <c r="AT66" s="246">
        <f t="shared" si="2"/>
        <v>0</v>
      </c>
      <c r="AU66" s="246">
        <f t="shared" si="2"/>
        <v>0</v>
      </c>
      <c r="AV66" s="246">
        <f t="shared" si="2"/>
        <v>0</v>
      </c>
      <c r="AW66" s="246">
        <f t="shared" si="2"/>
        <v>0</v>
      </c>
      <c r="AX66" s="246">
        <f t="shared" si="2"/>
        <v>0</v>
      </c>
      <c r="AY66" s="246">
        <f t="shared" si="2"/>
        <v>0</v>
      </c>
      <c r="AZ66" s="246">
        <f t="shared" si="2"/>
        <v>0</v>
      </c>
      <c r="BA66" s="246">
        <f t="shared" si="2"/>
        <v>0</v>
      </c>
      <c r="BB66" s="246">
        <f t="shared" si="2"/>
        <v>0</v>
      </c>
      <c r="BC66" s="246">
        <f t="shared" si="2"/>
        <v>0</v>
      </c>
      <c r="BD66" s="246">
        <f t="shared" si="2"/>
        <v>0</v>
      </c>
      <c r="BE66" s="246">
        <f t="shared" si="2"/>
        <v>0</v>
      </c>
      <c r="BF66" s="246">
        <f t="shared" si="2"/>
        <v>0</v>
      </c>
    </row>
    <row r="67" spans="43:58" x14ac:dyDescent="0.2">
      <c r="AQ67" s="230" t="s">
        <v>484</v>
      </c>
      <c r="AR67" s="246">
        <f t="shared" si="2"/>
        <v>0</v>
      </c>
      <c r="AS67" s="246">
        <f t="shared" si="2"/>
        <v>0</v>
      </c>
      <c r="AT67" s="246">
        <f t="shared" si="2"/>
        <v>0</v>
      </c>
      <c r="AU67" s="246">
        <f t="shared" si="2"/>
        <v>0</v>
      </c>
      <c r="AV67" s="246">
        <f t="shared" si="2"/>
        <v>0</v>
      </c>
      <c r="AW67" s="246">
        <f t="shared" si="2"/>
        <v>0</v>
      </c>
      <c r="AX67" s="246">
        <f t="shared" si="2"/>
        <v>0</v>
      </c>
      <c r="AY67" s="246">
        <f t="shared" si="2"/>
        <v>0</v>
      </c>
      <c r="AZ67" s="246">
        <f t="shared" si="2"/>
        <v>0</v>
      </c>
      <c r="BA67" s="246">
        <f t="shared" si="2"/>
        <v>0</v>
      </c>
      <c r="BB67" s="246">
        <f t="shared" si="2"/>
        <v>0</v>
      </c>
      <c r="BC67" s="246">
        <f t="shared" si="2"/>
        <v>0</v>
      </c>
      <c r="BD67" s="246">
        <f t="shared" si="2"/>
        <v>0</v>
      </c>
      <c r="BE67" s="246">
        <f t="shared" si="2"/>
        <v>31524.473169734149</v>
      </c>
      <c r="BF67" s="246">
        <f t="shared" si="2"/>
        <v>0</v>
      </c>
    </row>
    <row r="68" spans="43:58" ht="16" customHeight="1" x14ac:dyDescent="0.2">
      <c r="AQ68" s="244" t="s">
        <v>422</v>
      </c>
      <c r="AR68" s="246">
        <f t="shared" si="2"/>
        <v>0</v>
      </c>
      <c r="AS68" s="246">
        <f t="shared" si="2"/>
        <v>0</v>
      </c>
      <c r="AT68" s="246">
        <f t="shared" si="2"/>
        <v>0</v>
      </c>
      <c r="AU68" s="246">
        <f t="shared" si="2"/>
        <v>0</v>
      </c>
      <c r="AV68" s="246">
        <f t="shared" si="2"/>
        <v>0</v>
      </c>
      <c r="AW68" s="246">
        <f t="shared" si="2"/>
        <v>0</v>
      </c>
      <c r="AX68" s="246">
        <f t="shared" si="2"/>
        <v>0</v>
      </c>
      <c r="AY68" s="246">
        <f t="shared" si="2"/>
        <v>0</v>
      </c>
      <c r="AZ68" s="246">
        <f t="shared" si="2"/>
        <v>0</v>
      </c>
      <c r="BA68" s="246">
        <f t="shared" si="2"/>
        <v>0</v>
      </c>
      <c r="BB68" s="246">
        <f t="shared" si="2"/>
        <v>0</v>
      </c>
      <c r="BC68" s="246">
        <f t="shared" si="2"/>
        <v>87336.121293783799</v>
      </c>
      <c r="BD68" s="246">
        <f t="shared" si="2"/>
        <v>0</v>
      </c>
      <c r="BE68" s="246">
        <f t="shared" si="2"/>
        <v>0</v>
      </c>
      <c r="BF68" s="246">
        <f t="shared" si="2"/>
        <v>0</v>
      </c>
    </row>
    <row r="69" spans="43:58" ht="16" customHeight="1" x14ac:dyDescent="0.2">
      <c r="AQ69" s="244" t="s">
        <v>552</v>
      </c>
      <c r="AR69" s="246"/>
      <c r="AS69" s="246"/>
      <c r="AT69" s="246"/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</row>
    <row r="70" spans="43:58" x14ac:dyDescent="0.2">
      <c r="AQ70" s="230" t="s">
        <v>421</v>
      </c>
      <c r="AR70" s="246">
        <f t="shared" ref="AR70:BC77" si="3">AR111</f>
        <v>0</v>
      </c>
      <c r="AS70" s="246">
        <f t="shared" si="3"/>
        <v>0</v>
      </c>
      <c r="AT70" s="246">
        <f t="shared" si="3"/>
        <v>0</v>
      </c>
      <c r="AU70" s="246">
        <f t="shared" si="3"/>
        <v>0</v>
      </c>
      <c r="AV70" s="246">
        <f t="shared" si="3"/>
        <v>0</v>
      </c>
      <c r="AW70" s="246">
        <f t="shared" si="3"/>
        <v>0</v>
      </c>
      <c r="AX70" s="246">
        <f t="shared" si="3"/>
        <v>0</v>
      </c>
      <c r="AY70" s="246">
        <f t="shared" si="3"/>
        <v>0</v>
      </c>
      <c r="AZ70" s="246">
        <f t="shared" si="3"/>
        <v>0</v>
      </c>
      <c r="BA70" s="246">
        <f t="shared" si="3"/>
        <v>0</v>
      </c>
      <c r="BB70" s="246">
        <f t="shared" si="3"/>
        <v>0</v>
      </c>
      <c r="BC70" s="246">
        <f t="shared" si="3"/>
        <v>0</v>
      </c>
      <c r="BD70" s="246">
        <f>BD111</f>
        <v>0</v>
      </c>
      <c r="BE70" s="246">
        <f t="shared" ref="BE70:BF77" si="4">BE111</f>
        <v>0</v>
      </c>
      <c r="BF70" s="246">
        <f t="shared" si="4"/>
        <v>0</v>
      </c>
    </row>
    <row r="71" spans="43:58" x14ac:dyDescent="0.2">
      <c r="AQ71" s="132" t="s">
        <v>423</v>
      </c>
      <c r="AR71" s="246">
        <f t="shared" si="3"/>
        <v>0</v>
      </c>
      <c r="AS71" s="246">
        <f t="shared" si="3"/>
        <v>0</v>
      </c>
      <c r="AT71" s="246">
        <f t="shared" si="3"/>
        <v>0</v>
      </c>
      <c r="AU71" s="246">
        <f t="shared" si="3"/>
        <v>0</v>
      </c>
      <c r="AV71" s="246">
        <f t="shared" si="3"/>
        <v>0</v>
      </c>
      <c r="AW71" s="246">
        <f t="shared" si="3"/>
        <v>0</v>
      </c>
      <c r="AX71" s="246">
        <f t="shared" si="3"/>
        <v>0</v>
      </c>
      <c r="AY71" s="246">
        <f t="shared" si="3"/>
        <v>0</v>
      </c>
      <c r="AZ71" s="246">
        <f t="shared" si="3"/>
        <v>0</v>
      </c>
      <c r="BA71" s="246">
        <f t="shared" si="3"/>
        <v>0</v>
      </c>
      <c r="BB71" s="246">
        <f t="shared" si="3"/>
        <v>0</v>
      </c>
      <c r="BC71" s="246">
        <f t="shared" si="3"/>
        <v>0</v>
      </c>
      <c r="BD71" s="246">
        <f>BD112</f>
        <v>0</v>
      </c>
      <c r="BE71" s="246">
        <f t="shared" si="4"/>
        <v>0</v>
      </c>
      <c r="BF71" s="246">
        <f t="shared" si="4"/>
        <v>0</v>
      </c>
    </row>
    <row r="72" spans="43:58" x14ac:dyDescent="0.2">
      <c r="AQ72" s="230" t="s">
        <v>515</v>
      </c>
      <c r="AR72" s="246">
        <f t="shared" si="3"/>
        <v>0</v>
      </c>
      <c r="AS72" s="246">
        <f t="shared" si="3"/>
        <v>0</v>
      </c>
      <c r="AT72" s="246">
        <f t="shared" si="3"/>
        <v>0</v>
      </c>
      <c r="AU72" s="246">
        <f t="shared" si="3"/>
        <v>0</v>
      </c>
      <c r="AV72" s="246">
        <f t="shared" si="3"/>
        <v>0</v>
      </c>
      <c r="AW72" s="246">
        <f t="shared" si="3"/>
        <v>0</v>
      </c>
      <c r="AX72" s="246">
        <f t="shared" si="3"/>
        <v>0</v>
      </c>
      <c r="AY72" s="246">
        <f t="shared" si="3"/>
        <v>0</v>
      </c>
      <c r="AZ72" s="246">
        <f t="shared" si="3"/>
        <v>0</v>
      </c>
      <c r="BA72" s="246">
        <f t="shared" si="3"/>
        <v>0</v>
      </c>
      <c r="BB72" s="246">
        <f t="shared" si="3"/>
        <v>0</v>
      </c>
      <c r="BC72" s="246">
        <f t="shared" si="3"/>
        <v>0</v>
      </c>
      <c r="BD72" s="246"/>
      <c r="BE72" s="246">
        <f t="shared" si="4"/>
        <v>0</v>
      </c>
      <c r="BF72" s="246">
        <f t="shared" si="4"/>
        <v>0</v>
      </c>
    </row>
    <row r="73" spans="43:58" x14ac:dyDescent="0.2">
      <c r="AQ73" s="230" t="s">
        <v>517</v>
      </c>
      <c r="AR73" s="246">
        <f t="shared" si="3"/>
        <v>0</v>
      </c>
      <c r="AS73" s="246">
        <f t="shared" si="3"/>
        <v>0</v>
      </c>
      <c r="AT73" s="246">
        <f t="shared" si="3"/>
        <v>0</v>
      </c>
      <c r="AU73" s="246">
        <f t="shared" si="3"/>
        <v>0</v>
      </c>
      <c r="AV73" s="246">
        <f t="shared" si="3"/>
        <v>0</v>
      </c>
      <c r="AW73" s="246">
        <f t="shared" si="3"/>
        <v>0</v>
      </c>
      <c r="AX73" s="246">
        <f t="shared" si="3"/>
        <v>0</v>
      </c>
      <c r="AY73" s="246">
        <f t="shared" si="3"/>
        <v>0</v>
      </c>
      <c r="AZ73" s="246">
        <f t="shared" si="3"/>
        <v>0</v>
      </c>
      <c r="BA73" s="246">
        <f t="shared" si="3"/>
        <v>0</v>
      </c>
      <c r="BB73" s="246">
        <f t="shared" si="3"/>
        <v>0</v>
      </c>
      <c r="BC73" s="246">
        <f t="shared" si="3"/>
        <v>0</v>
      </c>
      <c r="BD73" s="246">
        <f t="shared" ref="BD73:BD77" si="5">BD113</f>
        <v>87708.990277872479</v>
      </c>
      <c r="BE73" s="246">
        <f t="shared" si="4"/>
        <v>0</v>
      </c>
      <c r="BF73" s="246">
        <f t="shared" si="4"/>
        <v>87708.99027787245</v>
      </c>
    </row>
    <row r="74" spans="43:58" x14ac:dyDescent="0.2">
      <c r="AQ74" s="230" t="s">
        <v>445</v>
      </c>
      <c r="AR74" s="246">
        <f t="shared" si="3"/>
        <v>0</v>
      </c>
      <c r="AS74" s="246">
        <f t="shared" si="3"/>
        <v>0</v>
      </c>
      <c r="AT74" s="246">
        <f t="shared" si="3"/>
        <v>0</v>
      </c>
      <c r="AU74" s="246">
        <f t="shared" si="3"/>
        <v>0</v>
      </c>
      <c r="AV74" s="246">
        <f t="shared" si="3"/>
        <v>0</v>
      </c>
      <c r="AW74" s="246">
        <f t="shared" si="3"/>
        <v>0</v>
      </c>
      <c r="AX74" s="246">
        <f t="shared" si="3"/>
        <v>0</v>
      </c>
      <c r="AY74" s="246">
        <f t="shared" si="3"/>
        <v>0</v>
      </c>
      <c r="AZ74" s="246">
        <f t="shared" si="3"/>
        <v>0</v>
      </c>
      <c r="BA74" s="246">
        <f t="shared" si="3"/>
        <v>0</v>
      </c>
      <c r="BB74" s="246">
        <f t="shared" si="3"/>
        <v>0</v>
      </c>
      <c r="BC74" s="246">
        <f t="shared" si="3"/>
        <v>0</v>
      </c>
      <c r="BD74" s="246">
        <f t="shared" si="5"/>
        <v>0</v>
      </c>
      <c r="BE74" s="246">
        <f t="shared" si="4"/>
        <v>0</v>
      </c>
      <c r="BF74" s="246">
        <f t="shared" si="4"/>
        <v>5085.687305415624</v>
      </c>
    </row>
    <row r="75" spans="43:58" x14ac:dyDescent="0.2">
      <c r="AQ75" s="230" t="s">
        <v>446</v>
      </c>
      <c r="AR75" s="246">
        <f t="shared" si="3"/>
        <v>0</v>
      </c>
      <c r="AS75" s="246">
        <f t="shared" si="3"/>
        <v>0</v>
      </c>
      <c r="AT75" s="246">
        <f t="shared" si="3"/>
        <v>0</v>
      </c>
      <c r="AU75" s="246">
        <f t="shared" si="3"/>
        <v>0</v>
      </c>
      <c r="AV75" s="246">
        <f t="shared" si="3"/>
        <v>0</v>
      </c>
      <c r="AW75" s="246">
        <f t="shared" si="3"/>
        <v>0</v>
      </c>
      <c r="AX75" s="246">
        <f t="shared" si="3"/>
        <v>0</v>
      </c>
      <c r="AY75" s="246">
        <f t="shared" si="3"/>
        <v>0</v>
      </c>
      <c r="AZ75" s="246">
        <f t="shared" si="3"/>
        <v>0</v>
      </c>
      <c r="BA75" s="246">
        <f t="shared" si="3"/>
        <v>0</v>
      </c>
      <c r="BB75" s="246">
        <f t="shared" si="3"/>
        <v>0</v>
      </c>
      <c r="BC75" s="246">
        <f t="shared" si="3"/>
        <v>0</v>
      </c>
      <c r="BD75" s="246">
        <f t="shared" si="5"/>
        <v>0</v>
      </c>
      <c r="BE75" s="246">
        <f t="shared" si="4"/>
        <v>0</v>
      </c>
      <c r="BF75" s="246">
        <f t="shared" si="4"/>
        <v>0</v>
      </c>
    </row>
    <row r="76" spans="43:58" x14ac:dyDescent="0.2">
      <c r="AQ76" s="230" t="s">
        <v>447</v>
      </c>
      <c r="AR76" s="246">
        <f t="shared" si="3"/>
        <v>0</v>
      </c>
      <c r="AS76" s="246">
        <f t="shared" si="3"/>
        <v>0</v>
      </c>
      <c r="AT76" s="246">
        <f t="shared" si="3"/>
        <v>0</v>
      </c>
      <c r="AU76" s="246">
        <f t="shared" si="3"/>
        <v>0</v>
      </c>
      <c r="AV76" s="246">
        <f t="shared" si="3"/>
        <v>0</v>
      </c>
      <c r="AW76" s="246">
        <f t="shared" si="3"/>
        <v>0</v>
      </c>
      <c r="AX76" s="246">
        <f t="shared" si="3"/>
        <v>0</v>
      </c>
      <c r="AY76" s="246">
        <f t="shared" si="3"/>
        <v>0</v>
      </c>
      <c r="AZ76" s="246">
        <f t="shared" si="3"/>
        <v>0</v>
      </c>
      <c r="BA76" s="246">
        <f t="shared" si="3"/>
        <v>0</v>
      </c>
      <c r="BB76" s="246">
        <f t="shared" si="3"/>
        <v>0</v>
      </c>
      <c r="BC76" s="246">
        <f t="shared" si="3"/>
        <v>0</v>
      </c>
      <c r="BD76" s="246">
        <f t="shared" si="5"/>
        <v>0</v>
      </c>
      <c r="BE76" s="246">
        <f t="shared" si="4"/>
        <v>0</v>
      </c>
      <c r="BF76" s="246">
        <f t="shared" si="4"/>
        <v>0</v>
      </c>
    </row>
    <row r="77" spans="43:58" x14ac:dyDescent="0.2">
      <c r="AQ77" s="230" t="s">
        <v>457</v>
      </c>
      <c r="AR77" s="246">
        <f t="shared" si="3"/>
        <v>0</v>
      </c>
      <c r="AS77" s="246">
        <f t="shared" si="3"/>
        <v>0</v>
      </c>
      <c r="AT77" s="246">
        <f t="shared" si="3"/>
        <v>0</v>
      </c>
      <c r="AU77" s="246">
        <f t="shared" si="3"/>
        <v>0</v>
      </c>
      <c r="AV77" s="246">
        <f t="shared" si="3"/>
        <v>0</v>
      </c>
      <c r="AW77" s="246">
        <f t="shared" si="3"/>
        <v>0</v>
      </c>
      <c r="AX77" s="246">
        <f t="shared" si="3"/>
        <v>0</v>
      </c>
      <c r="AY77" s="246">
        <f t="shared" si="3"/>
        <v>0</v>
      </c>
      <c r="AZ77" s="246">
        <f t="shared" si="3"/>
        <v>0</v>
      </c>
      <c r="BA77" s="246">
        <f t="shared" si="3"/>
        <v>0</v>
      </c>
      <c r="BB77" s="246">
        <f t="shared" si="3"/>
        <v>0</v>
      </c>
      <c r="BC77" s="246">
        <f t="shared" si="3"/>
        <v>0</v>
      </c>
      <c r="BD77" s="246">
        <f t="shared" si="5"/>
        <v>0</v>
      </c>
      <c r="BE77" s="246">
        <f t="shared" si="4"/>
        <v>0</v>
      </c>
      <c r="BF77" s="246">
        <f t="shared" si="4"/>
        <v>0</v>
      </c>
    </row>
    <row r="78" spans="43:58" x14ac:dyDescent="0.2">
      <c r="AQ78" s="230"/>
      <c r="AR78" s="379" t="s">
        <v>472</v>
      </c>
      <c r="AS78" s="379"/>
      <c r="AT78" s="379"/>
      <c r="AU78" s="379"/>
      <c r="AV78" s="379"/>
      <c r="AW78" s="379"/>
      <c r="AX78" s="379"/>
      <c r="AY78" s="379"/>
      <c r="AZ78" s="379"/>
      <c r="BA78" s="379"/>
      <c r="BB78" s="379"/>
      <c r="BC78" s="379"/>
      <c r="BD78" s="379"/>
      <c r="BE78" s="379"/>
      <c r="BF78" s="379"/>
    </row>
    <row r="82" spans="33:66" ht="112" customHeight="1" x14ac:dyDescent="0.2">
      <c r="AG82" s="132"/>
      <c r="AH82" s="132"/>
      <c r="AQ82" s="245"/>
      <c r="AR82" s="231" t="s">
        <v>325</v>
      </c>
      <c r="AS82" s="231" t="s">
        <v>326</v>
      </c>
      <c r="AT82" s="231" t="s">
        <v>327</v>
      </c>
      <c r="AU82" s="231" t="s">
        <v>455</v>
      </c>
      <c r="AV82" s="231" t="s">
        <v>435</v>
      </c>
      <c r="AW82" s="231" t="s">
        <v>434</v>
      </c>
      <c r="AX82" s="231" t="s">
        <v>351</v>
      </c>
      <c r="AY82" s="231" t="s">
        <v>348</v>
      </c>
      <c r="AZ82" s="231" t="s">
        <v>362</v>
      </c>
      <c r="BA82" s="231" t="s">
        <v>349</v>
      </c>
      <c r="BB82" s="231" t="s">
        <v>344</v>
      </c>
      <c r="BC82" s="231" t="s">
        <v>514</v>
      </c>
      <c r="BD82" s="231" t="s">
        <v>516</v>
      </c>
      <c r="BE82" s="231" t="s">
        <v>76</v>
      </c>
      <c r="BF82" s="231" t="s">
        <v>337</v>
      </c>
      <c r="BK82" s="231"/>
      <c r="BL82" s="231" t="s">
        <v>331</v>
      </c>
      <c r="BM82" s="231" t="s">
        <v>793</v>
      </c>
    </row>
    <row r="83" spans="33:66" x14ac:dyDescent="0.2">
      <c r="AG83" s="132"/>
      <c r="AH83" s="132"/>
      <c r="AQ83" s="132" t="s">
        <v>333</v>
      </c>
      <c r="AR83" s="234">
        <f>Ore_to_PI!AM42</f>
        <v>106.92660448984697</v>
      </c>
      <c r="AS83" s="234"/>
      <c r="AT83" s="234"/>
      <c r="AU83" s="234"/>
      <c r="AV83" s="234"/>
      <c r="AW83" s="234"/>
      <c r="AX83" s="234"/>
      <c r="AY83" s="234"/>
      <c r="AZ83" s="234"/>
      <c r="BA83" s="234"/>
      <c r="BB83" s="234"/>
      <c r="BC83" s="234"/>
      <c r="BD83" s="234"/>
      <c r="BE83" s="234"/>
      <c r="BF83" s="234"/>
      <c r="BG83" s="243">
        <f t="shared" ref="BG83:BG118" si="6">SUM(AR83:BF83)</f>
        <v>106.92660448984697</v>
      </c>
      <c r="BK83" s="132" t="s">
        <v>333</v>
      </c>
      <c r="BL83" s="237"/>
      <c r="BM83" s="237"/>
      <c r="BN83" s="243">
        <f>SUM(BL83:BM83)</f>
        <v>0</v>
      </c>
    </row>
    <row r="84" spans="33:66" x14ac:dyDescent="0.2">
      <c r="AG84" s="132"/>
      <c r="AH84" s="132"/>
      <c r="AQ84" s="132" t="s">
        <v>335</v>
      </c>
      <c r="AR84" s="234"/>
      <c r="AS84" s="234">
        <f>Ore_to_PI!T126</f>
        <v>121.29643829987386</v>
      </c>
      <c r="AT84" s="234"/>
      <c r="AU84" s="234"/>
      <c r="AV84" s="234"/>
      <c r="AW84" s="234"/>
      <c r="AX84" s="234"/>
      <c r="AY84" s="234"/>
      <c r="AZ84" s="234"/>
      <c r="BA84" s="234"/>
      <c r="BB84" s="234"/>
      <c r="BC84" s="234"/>
      <c r="BD84" s="234"/>
      <c r="BE84" s="234"/>
      <c r="BF84" s="234"/>
      <c r="BG84" s="243">
        <f t="shared" si="6"/>
        <v>121.29643829987386</v>
      </c>
      <c r="BK84" s="132" t="s">
        <v>335</v>
      </c>
      <c r="BL84" s="237"/>
      <c r="BM84" s="237"/>
      <c r="BN84" s="243">
        <f>SUM(BL84:BM84)</f>
        <v>0</v>
      </c>
    </row>
    <row r="85" spans="33:66" x14ac:dyDescent="0.2">
      <c r="AG85" s="132"/>
      <c r="AH85" s="132"/>
      <c r="AQ85" s="132" t="s">
        <v>336</v>
      </c>
      <c r="AR85" s="234"/>
      <c r="AS85" s="234"/>
      <c r="AT85" s="234">
        <f>Ore_to_PI!T206</f>
        <v>29640.155629634577</v>
      </c>
      <c r="AU85" s="234"/>
      <c r="AV85" s="234"/>
      <c r="AW85" s="234"/>
      <c r="AX85" s="234"/>
      <c r="AY85" s="234"/>
      <c r="AZ85" s="234"/>
      <c r="BA85" s="234"/>
      <c r="BB85" s="234"/>
      <c r="BC85" s="234"/>
      <c r="BD85" s="234"/>
      <c r="BE85" s="234"/>
      <c r="BF85" s="234"/>
      <c r="BG85" s="243">
        <f t="shared" si="6"/>
        <v>29640.155629634577</v>
      </c>
      <c r="BK85" s="132" t="s">
        <v>336</v>
      </c>
      <c r="BL85" s="237"/>
      <c r="BM85" s="237"/>
      <c r="BN85" s="243">
        <f>SUM(BL85:BM85)</f>
        <v>0</v>
      </c>
    </row>
    <row r="86" spans="33:66" x14ac:dyDescent="0.2">
      <c r="AG86" s="132"/>
      <c r="AH86" s="132"/>
      <c r="AQ86" s="132" t="s">
        <v>355</v>
      </c>
      <c r="AR86" s="234">
        <f>Ore_to_PI!T72</f>
        <v>4.1467529598807173</v>
      </c>
      <c r="AS86" s="234">
        <f>Ore_to_PI!T163</f>
        <v>4.1467529598807173</v>
      </c>
      <c r="AT86" s="234">
        <f>Ore_to_PI!T236</f>
        <v>4.1467529598807173</v>
      </c>
      <c r="AU86" s="234"/>
      <c r="AV86" s="234"/>
      <c r="AW86" s="234"/>
      <c r="AX86" s="234"/>
      <c r="AY86" s="234"/>
      <c r="AZ86" s="234"/>
      <c r="BA86" s="234">
        <f>Ore_to_PI!BZ140</f>
        <v>4.1467529598807173</v>
      </c>
      <c r="BB86" s="234">
        <f>Ore_to_PI!BZ232</f>
        <v>4.1467529598807173</v>
      </c>
      <c r="BC86" s="234"/>
      <c r="BD86" s="234"/>
      <c r="BE86" s="234"/>
      <c r="BF86" s="236">
        <f>Ore_to_PI!EK140</f>
        <v>4.1467529598807324</v>
      </c>
      <c r="BG86" s="243">
        <f t="shared" si="6"/>
        <v>24.88051775928432</v>
      </c>
      <c r="BK86" s="132" t="s">
        <v>355</v>
      </c>
      <c r="BL86" s="237"/>
      <c r="BM86" s="237"/>
      <c r="BN86" s="243">
        <f t="shared" ref="BN86:BN118" si="7">SUM(BL86:BM86)</f>
        <v>0</v>
      </c>
    </row>
    <row r="87" spans="33:66" x14ac:dyDescent="0.2">
      <c r="AG87" s="132"/>
      <c r="AH87" s="132"/>
      <c r="AQ87" s="132" t="s">
        <v>377</v>
      </c>
      <c r="AR87" s="234"/>
      <c r="AS87" s="234"/>
      <c r="AT87" s="234"/>
      <c r="AU87" s="234"/>
      <c r="AV87" s="234"/>
      <c r="AW87" s="234"/>
      <c r="AX87" s="234"/>
      <c r="AY87" s="234"/>
      <c r="AZ87" s="234"/>
      <c r="BA87" s="234">
        <f>Ore_to_PI!BZ152</f>
        <v>51848.933724620947</v>
      </c>
      <c r="BB87" s="234">
        <f>Ore_to_PI!BZ244</f>
        <v>51848.933724620947</v>
      </c>
      <c r="BC87" s="234"/>
      <c r="BD87" s="234"/>
      <c r="BE87" s="234"/>
      <c r="BF87" s="234">
        <f>Ore_to_PI!EK114</f>
        <v>51848.933724620954</v>
      </c>
      <c r="BG87" s="243">
        <f t="shared" si="6"/>
        <v>155546.80117386286</v>
      </c>
      <c r="BK87" s="132" t="s">
        <v>377</v>
      </c>
      <c r="BL87" s="237"/>
      <c r="BM87" s="237"/>
      <c r="BN87" s="243">
        <f t="shared" si="7"/>
        <v>0</v>
      </c>
    </row>
    <row r="88" spans="33:66" x14ac:dyDescent="0.2">
      <c r="AG88" s="132"/>
      <c r="AH88" s="132"/>
      <c r="AQ88" s="132" t="s">
        <v>466</v>
      </c>
      <c r="AR88" s="234">
        <f>Ore_to_PI!T59</f>
        <v>45492.270191724252</v>
      </c>
      <c r="AS88" s="234">
        <f>Ore_to_PI!T140</f>
        <v>45492.270191724252</v>
      </c>
      <c r="AT88" s="234">
        <f>Ore_to_PI!T222</f>
        <v>45492.270191724252</v>
      </c>
      <c r="AU88" s="234"/>
      <c r="AV88" s="234"/>
      <c r="AW88" s="234"/>
      <c r="AX88" s="234"/>
      <c r="AY88" s="234"/>
      <c r="AZ88" s="234"/>
      <c r="BA88" s="234"/>
      <c r="BB88" s="234"/>
      <c r="BC88" s="234"/>
      <c r="BD88" s="234"/>
      <c r="BE88" s="234"/>
      <c r="BF88" s="234"/>
      <c r="BG88" s="243">
        <f t="shared" si="6"/>
        <v>136476.81057517277</v>
      </c>
      <c r="BK88" s="132" t="s">
        <v>466</v>
      </c>
      <c r="BL88" s="237"/>
      <c r="BM88" s="237"/>
      <c r="BN88" s="243">
        <f t="shared" si="7"/>
        <v>0</v>
      </c>
    </row>
    <row r="89" spans="33:66" x14ac:dyDescent="0.2">
      <c r="AG89" s="132"/>
      <c r="AH89" s="132"/>
      <c r="AQ89" s="132" t="s">
        <v>467</v>
      </c>
      <c r="AR89" s="234"/>
      <c r="AS89" s="234">
        <f>Ore_to_PI!T151</f>
        <v>46556.366885754731</v>
      </c>
      <c r="AT89" s="234"/>
      <c r="AU89" s="234"/>
      <c r="AV89" s="234"/>
      <c r="AW89" s="234"/>
      <c r="AX89" s="234"/>
      <c r="AY89" s="234"/>
      <c r="AZ89" s="234"/>
      <c r="BA89" s="234"/>
      <c r="BB89" s="234"/>
      <c r="BC89" s="234"/>
      <c r="BD89" s="234"/>
      <c r="BE89" s="234"/>
      <c r="BF89" s="234"/>
      <c r="BG89" s="243">
        <f t="shared" si="6"/>
        <v>46556.366885754731</v>
      </c>
      <c r="BK89" s="132" t="s">
        <v>467</v>
      </c>
      <c r="BL89" s="237"/>
      <c r="BM89" s="237"/>
      <c r="BN89" s="243">
        <f t="shared" si="7"/>
        <v>0</v>
      </c>
    </row>
    <row r="90" spans="33:66" x14ac:dyDescent="0.2">
      <c r="AG90" s="132"/>
      <c r="AH90" s="132"/>
      <c r="AQ90" s="132" t="s">
        <v>411</v>
      </c>
      <c r="AR90" s="234"/>
      <c r="AS90" s="234"/>
      <c r="AT90" s="234"/>
      <c r="AU90" s="234"/>
      <c r="AV90" s="234"/>
      <c r="AW90" s="234"/>
      <c r="AX90" s="234"/>
      <c r="AY90" s="234"/>
      <c r="AZ90" s="234"/>
      <c r="BA90" s="234"/>
      <c r="BB90" s="234"/>
      <c r="BC90" s="234"/>
      <c r="BD90" s="234"/>
      <c r="BE90" s="234"/>
      <c r="BF90" s="234">
        <f>Ore_to_PI!EK101</f>
        <v>5923.4858380648811</v>
      </c>
      <c r="BG90" s="243">
        <f t="shared" si="6"/>
        <v>5923.4858380648811</v>
      </c>
      <c r="BK90" s="132" t="s">
        <v>411</v>
      </c>
      <c r="BL90" s="237"/>
      <c r="BM90" s="237"/>
      <c r="BN90" s="243">
        <f t="shared" si="7"/>
        <v>0</v>
      </c>
    </row>
    <row r="91" spans="33:66" x14ac:dyDescent="0.2">
      <c r="AG91" s="239"/>
      <c r="AH91" s="239"/>
      <c r="AQ91" s="132" t="s">
        <v>459</v>
      </c>
      <c r="AR91" s="234"/>
      <c r="AS91" s="234"/>
      <c r="AT91" s="234">
        <v>1</v>
      </c>
      <c r="AU91" s="234">
        <v>1</v>
      </c>
      <c r="AV91" s="234">
        <v>1</v>
      </c>
      <c r="AW91" s="234">
        <v>1</v>
      </c>
      <c r="AX91" s="234">
        <v>1</v>
      </c>
      <c r="AY91" s="234">
        <v>1</v>
      </c>
      <c r="AZ91" s="234">
        <v>1</v>
      </c>
      <c r="BA91" s="234"/>
      <c r="BB91" s="234"/>
      <c r="BC91" s="234">
        <v>1</v>
      </c>
      <c r="BD91" s="234"/>
      <c r="BE91" s="234"/>
      <c r="BF91" s="234">
        <v>1</v>
      </c>
      <c r="BG91" s="243">
        <f t="shared" si="6"/>
        <v>9</v>
      </c>
      <c r="BK91" s="132" t="s">
        <v>459</v>
      </c>
      <c r="BL91" s="237"/>
      <c r="BM91" s="237"/>
      <c r="BN91" s="243">
        <f t="shared" si="7"/>
        <v>0</v>
      </c>
    </row>
    <row r="92" spans="33:66" ht="16" customHeight="1" x14ac:dyDescent="0.2">
      <c r="AG92" s="229"/>
      <c r="AH92" s="229"/>
      <c r="AQ92" s="229" t="s">
        <v>442</v>
      </c>
      <c r="AR92" s="234"/>
      <c r="AS92" s="234"/>
      <c r="AT92" s="234"/>
      <c r="AU92" s="234">
        <f>Ore_to_PI!AM42</f>
        <v>106.92660448984697</v>
      </c>
      <c r="AV92" s="234"/>
      <c r="AW92" s="234"/>
      <c r="AX92" s="234"/>
      <c r="AY92" s="234"/>
      <c r="AZ92" s="234"/>
      <c r="BA92" s="234"/>
      <c r="BB92" s="234"/>
      <c r="BC92" s="234"/>
      <c r="BD92" s="234"/>
      <c r="BE92" s="234"/>
      <c r="BF92" s="234"/>
      <c r="BG92" s="243">
        <f t="shared" si="6"/>
        <v>106.92660448984697</v>
      </c>
      <c r="BK92" s="229" t="s">
        <v>442</v>
      </c>
      <c r="BL92" s="237"/>
      <c r="BM92" s="237"/>
      <c r="BN92" s="243">
        <f t="shared" si="7"/>
        <v>0</v>
      </c>
    </row>
    <row r="93" spans="33:66" x14ac:dyDescent="0.2">
      <c r="AG93" s="230"/>
      <c r="AH93" s="230"/>
      <c r="AQ93" s="132" t="s">
        <v>409</v>
      </c>
      <c r="AR93" s="234"/>
      <c r="AS93" s="234"/>
      <c r="AT93" s="234"/>
      <c r="AU93" s="234"/>
      <c r="AV93" s="234"/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43">
        <f t="shared" si="6"/>
        <v>0</v>
      </c>
      <c r="BK93" s="132" t="s">
        <v>409</v>
      </c>
      <c r="BL93" s="237"/>
      <c r="BM93" s="237">
        <f>Ore_to_PI!AM63</f>
        <v>69.671049151828498</v>
      </c>
      <c r="BN93" s="243">
        <f t="shared" si="7"/>
        <v>69.671049151828498</v>
      </c>
    </row>
    <row r="94" spans="33:66" ht="16" customHeight="1" x14ac:dyDescent="0.2">
      <c r="AG94" s="230"/>
      <c r="AH94" s="230"/>
      <c r="AQ94" s="229" t="s">
        <v>412</v>
      </c>
      <c r="AR94" s="234"/>
      <c r="AS94" s="234"/>
      <c r="AT94" s="234"/>
      <c r="AU94" s="234"/>
      <c r="AV94" s="234">
        <f>Ore_to_PI!AN126</f>
        <v>121.29643829987386</v>
      </c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43">
        <f t="shared" si="6"/>
        <v>121.29643829987386</v>
      </c>
      <c r="BK94" s="229" t="s">
        <v>412</v>
      </c>
      <c r="BL94" s="237"/>
      <c r="BM94" s="241"/>
      <c r="BN94" s="243">
        <f t="shared" si="7"/>
        <v>0</v>
      </c>
    </row>
    <row r="95" spans="33:66" x14ac:dyDescent="0.2">
      <c r="AG95" s="230"/>
      <c r="AH95" s="230"/>
      <c r="AQ95" s="132" t="s">
        <v>437</v>
      </c>
      <c r="AR95" s="234"/>
      <c r="AS95" s="234"/>
      <c r="AT95" s="234"/>
      <c r="AU95" s="234"/>
      <c r="AV95" s="234"/>
      <c r="AW95" s="234"/>
      <c r="AX95" s="234"/>
      <c r="AY95" s="234"/>
      <c r="AZ95" s="234"/>
      <c r="BA95" s="234"/>
      <c r="BB95" s="234"/>
      <c r="BC95" s="234"/>
      <c r="BD95" s="234"/>
      <c r="BE95" s="236"/>
      <c r="BF95" s="234"/>
      <c r="BG95" s="243">
        <f t="shared" si="6"/>
        <v>0</v>
      </c>
      <c r="BK95" s="132" t="s">
        <v>437</v>
      </c>
      <c r="BL95" s="237"/>
      <c r="BM95" s="237">
        <f>Ore_to_PI!AN142</f>
        <v>69.554805547582731</v>
      </c>
      <c r="BN95" s="243">
        <f t="shared" si="7"/>
        <v>69.554805547582731</v>
      </c>
    </row>
    <row r="96" spans="33:66" x14ac:dyDescent="0.2">
      <c r="AG96" s="230"/>
      <c r="AH96" s="230"/>
      <c r="AQ96" s="230" t="s">
        <v>430</v>
      </c>
      <c r="AR96" s="234"/>
      <c r="AS96" s="234"/>
      <c r="AT96" s="234"/>
      <c r="AU96" s="234"/>
      <c r="AV96" s="234"/>
      <c r="AW96" s="234">
        <f>Ore_to_PI!AN206</f>
        <v>29656.273246774046</v>
      </c>
      <c r="AX96" s="234"/>
      <c r="AY96" s="234"/>
      <c r="AZ96" s="234"/>
      <c r="BA96" s="234"/>
      <c r="BB96" s="234"/>
      <c r="BC96" s="234"/>
      <c r="BD96" s="234"/>
      <c r="BE96" s="234"/>
      <c r="BF96" s="236"/>
      <c r="BG96" s="243">
        <f t="shared" si="6"/>
        <v>29656.273246774046</v>
      </c>
      <c r="BK96" s="230" t="s">
        <v>430</v>
      </c>
      <c r="BL96" s="237"/>
      <c r="BM96" s="237"/>
      <c r="BN96" s="243">
        <f t="shared" si="7"/>
        <v>0</v>
      </c>
    </row>
    <row r="97" spans="33:71" x14ac:dyDescent="0.2">
      <c r="AG97" s="230"/>
      <c r="AH97" s="230"/>
      <c r="AQ97" s="132" t="s">
        <v>416</v>
      </c>
      <c r="AR97" s="234"/>
      <c r="AS97" s="234"/>
      <c r="AT97" s="234"/>
      <c r="AU97" s="234"/>
      <c r="AV97" s="234"/>
      <c r="AW97" s="234"/>
      <c r="AX97" s="234"/>
      <c r="AY97" s="234"/>
      <c r="AZ97" s="234"/>
      <c r="BA97" s="234"/>
      <c r="BB97" s="234"/>
      <c r="BC97" s="234"/>
      <c r="BD97" s="234"/>
      <c r="BE97" s="234"/>
      <c r="BF97" s="234"/>
      <c r="BG97" s="243">
        <f t="shared" si="6"/>
        <v>0</v>
      </c>
      <c r="BK97" s="132" t="s">
        <v>416</v>
      </c>
      <c r="BL97" s="237"/>
      <c r="BM97" s="237">
        <f>Ore_to_PI!AN227</f>
        <v>69.671049151828498</v>
      </c>
      <c r="BN97" s="243">
        <f t="shared" si="7"/>
        <v>69.671049151828498</v>
      </c>
      <c r="BO97" s="52"/>
      <c r="BP97" s="52"/>
      <c r="BQ97" s="52"/>
      <c r="BR97" s="52"/>
      <c r="BS97" s="52"/>
    </row>
    <row r="98" spans="33:71" ht="16" customHeight="1" x14ac:dyDescent="0.2">
      <c r="AG98" s="230"/>
      <c r="AH98" s="230"/>
      <c r="AQ98" s="229" t="s">
        <v>441</v>
      </c>
      <c r="AR98" s="234"/>
      <c r="AS98" s="234"/>
      <c r="AT98" s="234"/>
      <c r="AU98" s="234"/>
      <c r="AV98" s="234"/>
      <c r="AW98" s="234"/>
      <c r="AX98" s="234">
        <f>Ore_to_PI!BF42</f>
        <v>106.92660448984697</v>
      </c>
      <c r="AY98" s="234"/>
      <c r="AZ98" s="234"/>
      <c r="BA98" s="234"/>
      <c r="BB98" s="234"/>
      <c r="BC98" s="234"/>
      <c r="BD98" s="234"/>
      <c r="BE98" s="234"/>
      <c r="BF98" s="234"/>
      <c r="BG98" s="243">
        <f t="shared" si="6"/>
        <v>106.92660448984697</v>
      </c>
      <c r="BK98" s="229" t="s">
        <v>441</v>
      </c>
      <c r="BL98" s="237"/>
      <c r="BM98" s="237"/>
      <c r="BN98" s="243">
        <f t="shared" si="7"/>
        <v>0</v>
      </c>
    </row>
    <row r="99" spans="33:71" ht="16" customHeight="1" x14ac:dyDescent="0.2">
      <c r="AG99" s="230"/>
      <c r="AH99" s="230"/>
      <c r="AQ99" s="229" t="s">
        <v>436</v>
      </c>
      <c r="AR99" s="234"/>
      <c r="AS99" s="234"/>
      <c r="AT99" s="234"/>
      <c r="AU99" s="234"/>
      <c r="AV99" s="234"/>
      <c r="AW99" s="234"/>
      <c r="AX99" s="234"/>
      <c r="AY99" s="234">
        <f>Ore_to_PI!BG126</f>
        <v>121.29643829987386</v>
      </c>
      <c r="AZ99" s="234"/>
      <c r="BA99" s="234"/>
      <c r="BB99" s="234"/>
      <c r="BC99" s="234"/>
      <c r="BD99" s="234"/>
      <c r="BE99" s="234"/>
      <c r="BF99" s="234"/>
      <c r="BG99" s="243">
        <f t="shared" si="6"/>
        <v>121.29643829987386</v>
      </c>
      <c r="BK99" s="229" t="s">
        <v>436</v>
      </c>
      <c r="BL99" s="237"/>
      <c r="BM99" s="237"/>
      <c r="BN99" s="243">
        <f t="shared" si="7"/>
        <v>0</v>
      </c>
    </row>
    <row r="100" spans="33:71" ht="16" customHeight="1" x14ac:dyDescent="0.2">
      <c r="AG100" s="244"/>
      <c r="AH100" s="244"/>
      <c r="AQ100" s="229" t="s">
        <v>433</v>
      </c>
      <c r="AR100" s="234"/>
      <c r="AS100" s="234"/>
      <c r="AT100" s="234"/>
      <c r="AU100" s="234"/>
      <c r="AV100" s="234"/>
      <c r="AW100" s="234"/>
      <c r="AX100" s="234"/>
      <c r="AY100" s="234"/>
      <c r="AZ100" s="234">
        <f>Ore_to_PI!BG206</f>
        <v>29656.273246774046</v>
      </c>
      <c r="BA100" s="234"/>
      <c r="BB100" s="234"/>
      <c r="BC100" s="234"/>
      <c r="BD100" s="234"/>
      <c r="BE100" s="234"/>
      <c r="BF100" s="234"/>
      <c r="BG100" s="243">
        <f t="shared" si="6"/>
        <v>29656.273246774046</v>
      </c>
      <c r="BK100" s="229" t="s">
        <v>433</v>
      </c>
      <c r="BL100" s="237"/>
      <c r="BM100" s="237"/>
      <c r="BN100" s="243">
        <f t="shared" si="7"/>
        <v>0</v>
      </c>
    </row>
    <row r="101" spans="33:71" ht="16" customHeight="1" x14ac:dyDescent="0.2">
      <c r="AG101" s="230"/>
      <c r="AH101" s="230"/>
      <c r="AQ101" s="229" t="s">
        <v>439</v>
      </c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4"/>
      <c r="BB101" s="234"/>
      <c r="BC101" s="234"/>
      <c r="BD101" s="234"/>
      <c r="BE101" s="234">
        <f>Ore_to_PI!BY42</f>
        <v>88.071706245154459</v>
      </c>
      <c r="BF101" s="234"/>
      <c r="BG101" s="243">
        <f t="shared" si="6"/>
        <v>88.071706245154459</v>
      </c>
      <c r="BH101" s="52"/>
      <c r="BI101" s="52"/>
      <c r="BK101" s="229" t="s">
        <v>439</v>
      </c>
      <c r="BL101" s="237"/>
      <c r="BM101" s="237"/>
      <c r="BN101" s="243">
        <f t="shared" si="7"/>
        <v>0</v>
      </c>
    </row>
    <row r="102" spans="33:71" x14ac:dyDescent="0.2">
      <c r="AG102" s="230"/>
      <c r="AH102" s="230"/>
      <c r="AQ102" s="230" t="s">
        <v>438</v>
      </c>
      <c r="AR102" s="234"/>
      <c r="AS102" s="234"/>
      <c r="AT102" s="234"/>
      <c r="AU102" s="234"/>
      <c r="AV102" s="234"/>
      <c r="AW102" s="234"/>
      <c r="AX102" s="234"/>
      <c r="AY102" s="234"/>
      <c r="AZ102" s="234"/>
      <c r="BA102" s="234"/>
      <c r="BB102" s="234"/>
      <c r="BC102" s="234"/>
      <c r="BD102" s="234"/>
      <c r="BE102" s="234"/>
      <c r="BF102" s="236"/>
      <c r="BG102" s="243">
        <f t="shared" si="6"/>
        <v>0</v>
      </c>
      <c r="BK102" s="230" t="s">
        <v>438</v>
      </c>
      <c r="BL102" s="237"/>
      <c r="BM102" s="237">
        <f>Ore_to_PI!BY55</f>
        <v>1846.0127543367071</v>
      </c>
      <c r="BN102" s="243">
        <f t="shared" si="7"/>
        <v>1846.0127543367071</v>
      </c>
    </row>
    <row r="103" spans="33:71" x14ac:dyDescent="0.2">
      <c r="AG103" s="230"/>
      <c r="AH103" s="230"/>
      <c r="AQ103" s="230" t="s">
        <v>424</v>
      </c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4">
        <f>Ore_to_PI!BZ126</f>
        <v>121.29643829987386</v>
      </c>
      <c r="BB103" s="234"/>
      <c r="BC103" s="234"/>
      <c r="BD103" s="234"/>
      <c r="BE103" s="234"/>
      <c r="BF103" s="234"/>
      <c r="BG103" s="243">
        <f t="shared" si="6"/>
        <v>121.29643829987386</v>
      </c>
      <c r="BK103" s="230" t="s">
        <v>424</v>
      </c>
      <c r="BL103" s="237"/>
      <c r="BM103" s="237"/>
      <c r="BN103" s="243">
        <f t="shared" si="7"/>
        <v>0</v>
      </c>
    </row>
    <row r="104" spans="33:71" x14ac:dyDescent="0.2">
      <c r="AG104" s="230"/>
      <c r="AH104" s="230"/>
      <c r="AQ104" s="230" t="s">
        <v>456</v>
      </c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4"/>
      <c r="BB104" s="234">
        <f>Ore_to_PI!BZ206</f>
        <v>29656.273246774046</v>
      </c>
      <c r="BC104" s="234"/>
      <c r="BD104" s="234"/>
      <c r="BE104" s="234"/>
      <c r="BF104" s="234"/>
      <c r="BG104" s="243">
        <f t="shared" si="6"/>
        <v>29656.273246774046</v>
      </c>
      <c r="BK104" s="230" t="s">
        <v>456</v>
      </c>
      <c r="BL104" s="237"/>
      <c r="BM104" s="237"/>
      <c r="BN104" s="243">
        <f t="shared" si="7"/>
        <v>0</v>
      </c>
    </row>
    <row r="105" spans="33:71" x14ac:dyDescent="0.2">
      <c r="AG105" s="230"/>
      <c r="AH105" s="230"/>
      <c r="AQ105" s="230" t="s">
        <v>425</v>
      </c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4"/>
      <c r="BB105" s="234"/>
      <c r="BC105" s="234"/>
      <c r="BD105" s="234"/>
      <c r="BE105" s="234">
        <f>Ore_to_PI!CU126</f>
        <v>2180.165271571077</v>
      </c>
      <c r="BF105" s="234"/>
      <c r="BG105" s="243">
        <f t="shared" si="6"/>
        <v>2180.165271571077</v>
      </c>
      <c r="BK105" s="230" t="s">
        <v>425</v>
      </c>
      <c r="BL105" s="237"/>
      <c r="BM105" s="237"/>
      <c r="BN105" s="243">
        <f t="shared" si="7"/>
        <v>0</v>
      </c>
    </row>
    <row r="106" spans="33:71" x14ac:dyDescent="0.2">
      <c r="AG106" s="230"/>
      <c r="AH106" s="230"/>
      <c r="AQ106" s="230" t="s">
        <v>427</v>
      </c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6"/>
      <c r="BG106" s="243">
        <f t="shared" si="6"/>
        <v>0</v>
      </c>
      <c r="BK106" s="230" t="s">
        <v>427</v>
      </c>
      <c r="BL106" s="237"/>
      <c r="BM106" s="237">
        <f>Ore_to_PI!CU114</f>
        <v>1552.5848294479019</v>
      </c>
      <c r="BN106" s="243">
        <f t="shared" si="7"/>
        <v>1552.5848294479019</v>
      </c>
    </row>
    <row r="107" spans="33:71" x14ac:dyDescent="0.2">
      <c r="AG107" s="230"/>
      <c r="AH107" s="230"/>
      <c r="AQ107" s="230" t="s">
        <v>426</v>
      </c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/>
      <c r="BE107" s="234"/>
      <c r="BF107" s="234"/>
      <c r="BG107" s="243">
        <f t="shared" si="6"/>
        <v>0</v>
      </c>
      <c r="BK107" s="230" t="s">
        <v>426</v>
      </c>
      <c r="BL107" s="237"/>
      <c r="BM107" s="237">
        <f>Ore_to_PI!CU138</f>
        <v>112.62680948523239</v>
      </c>
      <c r="BN107" s="243">
        <f t="shared" si="7"/>
        <v>112.62680948523239</v>
      </c>
    </row>
    <row r="108" spans="33:71" x14ac:dyDescent="0.2">
      <c r="AG108" s="230"/>
      <c r="AH108" s="230"/>
      <c r="AQ108" s="230" t="s">
        <v>484</v>
      </c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>
        <f>Ore_to_PI!CU206</f>
        <v>31524.473169734149</v>
      </c>
      <c r="BF108" s="234"/>
      <c r="BG108" s="243">
        <f t="shared" si="6"/>
        <v>31524.473169734149</v>
      </c>
      <c r="BK108" s="230" t="s">
        <v>484</v>
      </c>
      <c r="BL108" s="237"/>
      <c r="BM108" s="237"/>
      <c r="BN108" s="243">
        <f t="shared" si="7"/>
        <v>0</v>
      </c>
    </row>
    <row r="109" spans="33:71" ht="16" customHeight="1" x14ac:dyDescent="0.2">
      <c r="AG109" s="230"/>
      <c r="AH109" s="230"/>
      <c r="AQ109" s="244" t="s">
        <v>422</v>
      </c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4"/>
      <c r="BB109" s="234"/>
      <c r="BC109" s="234">
        <f>Ore_to_PI!CU234</f>
        <v>87336.121293783799</v>
      </c>
      <c r="BD109" s="234"/>
      <c r="BE109" s="234"/>
      <c r="BF109" s="234"/>
      <c r="BG109" s="243">
        <f t="shared" si="6"/>
        <v>87336.121293783799</v>
      </c>
      <c r="BK109" s="244" t="s">
        <v>422</v>
      </c>
      <c r="BL109" s="237"/>
      <c r="BM109" s="237"/>
      <c r="BN109" s="243">
        <f t="shared" si="7"/>
        <v>0</v>
      </c>
    </row>
    <row r="110" spans="33:71" ht="16" customHeight="1" x14ac:dyDescent="0.2">
      <c r="AG110" s="230"/>
      <c r="AH110" s="230"/>
      <c r="AQ110" s="244" t="s">
        <v>552</v>
      </c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43">
        <f t="shared" si="6"/>
        <v>0</v>
      </c>
      <c r="BK110" s="244" t="s">
        <v>552</v>
      </c>
      <c r="BL110" s="237"/>
      <c r="BM110" s="237">
        <f>Ore_to_PI!CU267</f>
        <v>39838.590959214969</v>
      </c>
      <c r="BN110" s="243">
        <f t="shared" si="7"/>
        <v>39838.590959214969</v>
      </c>
    </row>
    <row r="111" spans="33:71" x14ac:dyDescent="0.2">
      <c r="AG111" s="230"/>
      <c r="AH111" s="230"/>
      <c r="AQ111" s="230" t="s">
        <v>421</v>
      </c>
      <c r="AR111" s="234"/>
      <c r="AS111" s="234"/>
      <c r="AT111" s="234"/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43">
        <f t="shared" si="6"/>
        <v>0</v>
      </c>
      <c r="BK111" s="230" t="s">
        <v>421</v>
      </c>
      <c r="BL111" s="237"/>
      <c r="BM111" s="237">
        <f>Ore_to_PI!CU218</f>
        <v>356.05862487012041</v>
      </c>
      <c r="BN111" s="243">
        <f t="shared" si="7"/>
        <v>356.05862487012041</v>
      </c>
    </row>
    <row r="112" spans="33:71" x14ac:dyDescent="0.2">
      <c r="AG112" s="230"/>
      <c r="AH112" s="230"/>
      <c r="AQ112" s="132" t="s">
        <v>423</v>
      </c>
      <c r="AR112" s="234"/>
      <c r="AS112" s="234"/>
      <c r="AT112" s="234"/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43">
        <f t="shared" si="6"/>
        <v>0</v>
      </c>
      <c r="BK112" s="132" t="s">
        <v>423</v>
      </c>
      <c r="BL112" s="237"/>
      <c r="BM112" s="237">
        <f>Ore_to_PI!CU251</f>
        <v>82.129945880443643</v>
      </c>
      <c r="BN112" s="243">
        <f t="shared" si="7"/>
        <v>82.129945880443643</v>
      </c>
    </row>
    <row r="113" spans="2:66" x14ac:dyDescent="0.2">
      <c r="AG113" s="230"/>
      <c r="AH113" s="230"/>
      <c r="AQ113" s="230" t="s">
        <v>515</v>
      </c>
      <c r="AR113" s="234"/>
      <c r="AS113" s="234"/>
      <c r="AT113" s="234"/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>
        <f>Ore_to_PI!DO233</f>
        <v>87708.990277872479</v>
      </c>
      <c r="BE113" s="234"/>
      <c r="BF113" s="236"/>
      <c r="BG113" s="243">
        <f t="shared" si="6"/>
        <v>87708.990277872479</v>
      </c>
      <c r="BK113" s="230" t="s">
        <v>515</v>
      </c>
      <c r="BL113" s="237"/>
      <c r="BM113" s="237"/>
      <c r="BN113" s="243">
        <f t="shared" si="7"/>
        <v>0</v>
      </c>
    </row>
    <row r="114" spans="2:66" x14ac:dyDescent="0.2">
      <c r="AG114" s="230"/>
      <c r="AH114" s="230"/>
      <c r="AQ114" s="230" t="s">
        <v>517</v>
      </c>
      <c r="AR114" s="234"/>
      <c r="AS114" s="234"/>
      <c r="AT114" s="234"/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6">
        <f>Ore_to_PI!EK152</f>
        <v>87708.99027787245</v>
      </c>
      <c r="BG114" s="243">
        <f t="shared" si="6"/>
        <v>87708.99027787245</v>
      </c>
      <c r="BK114" s="230" t="s">
        <v>517</v>
      </c>
      <c r="BL114" s="237">
        <f>Ore_to_PI!$FE233</f>
        <v>87708.990277872479</v>
      </c>
      <c r="BM114" s="237"/>
      <c r="BN114" s="243">
        <f t="shared" si="7"/>
        <v>87708.990277872479</v>
      </c>
    </row>
    <row r="115" spans="2:66" x14ac:dyDescent="0.2">
      <c r="AG115" s="230"/>
      <c r="AH115" s="230"/>
      <c r="AQ115" s="230" t="s">
        <v>445</v>
      </c>
      <c r="AR115" s="234"/>
      <c r="AS115" s="234"/>
      <c r="AT115" s="234"/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6">
        <f>Ore_to_PI!EK126</f>
        <v>5085.687305415624</v>
      </c>
      <c r="BG115" s="243">
        <f t="shared" si="6"/>
        <v>5085.687305415624</v>
      </c>
      <c r="BK115" s="230" t="s">
        <v>445</v>
      </c>
      <c r="BL115" s="237"/>
      <c r="BM115" s="237"/>
      <c r="BN115" s="243">
        <f t="shared" si="7"/>
        <v>0</v>
      </c>
    </row>
    <row r="116" spans="2:66" x14ac:dyDescent="0.2">
      <c r="AG116" s="230"/>
      <c r="AH116" s="230"/>
      <c r="AQ116" s="230" t="s">
        <v>446</v>
      </c>
      <c r="AR116" s="234"/>
      <c r="AS116" s="234"/>
      <c r="AT116" s="234"/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43">
        <f t="shared" si="6"/>
        <v>0</v>
      </c>
      <c r="BK116" s="230" t="s">
        <v>446</v>
      </c>
      <c r="BL116" s="237">
        <f>Ore_to_PI!FK126</f>
        <v>6747.2468439430568</v>
      </c>
      <c r="BM116" s="237"/>
      <c r="BN116" s="243">
        <f t="shared" si="7"/>
        <v>6747.2468439430568</v>
      </c>
    </row>
    <row r="117" spans="2:66" x14ac:dyDescent="0.2">
      <c r="AG117" s="230"/>
      <c r="AH117" s="230"/>
      <c r="AQ117" s="230" t="s">
        <v>447</v>
      </c>
      <c r="AR117" s="234"/>
      <c r="AS117" s="234"/>
      <c r="AT117" s="234"/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43">
        <f t="shared" si="6"/>
        <v>0</v>
      </c>
      <c r="BK117" s="230" t="s">
        <v>447</v>
      </c>
      <c r="BL117" s="237"/>
      <c r="BM117" s="237">
        <f>Ore_to_PI!FK141</f>
        <v>118.8058957677511</v>
      </c>
      <c r="BN117" s="243">
        <f t="shared" si="7"/>
        <v>118.8058957677511</v>
      </c>
    </row>
    <row r="118" spans="2:66" x14ac:dyDescent="0.2">
      <c r="AG118" s="230"/>
      <c r="AH118" s="230"/>
      <c r="AQ118" s="230" t="s">
        <v>457</v>
      </c>
      <c r="AR118" s="234"/>
      <c r="AS118" s="234"/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43">
        <f t="shared" si="6"/>
        <v>0</v>
      </c>
      <c r="BK118" s="230" t="s">
        <v>457</v>
      </c>
      <c r="BL118" s="237"/>
      <c r="BM118" s="237">
        <f>Ore_to_PI!FK104</f>
        <v>295.17680956804259</v>
      </c>
      <c r="BN118" s="243">
        <f t="shared" si="7"/>
        <v>295.17680956804259</v>
      </c>
    </row>
    <row r="119" spans="2:66" x14ac:dyDescent="0.2">
      <c r="AG119" s="230"/>
      <c r="AH119" s="230"/>
      <c r="AQ119" s="230"/>
      <c r="AR119" s="379" t="s">
        <v>328</v>
      </c>
      <c r="AS119" s="379"/>
      <c r="AT119" s="379"/>
      <c r="AU119" s="379"/>
      <c r="AV119" s="379"/>
      <c r="AW119" s="379"/>
      <c r="AX119" s="379"/>
      <c r="AY119" s="379"/>
      <c r="AZ119" s="379"/>
      <c r="BA119" s="379"/>
      <c r="BB119" s="379"/>
      <c r="BC119" s="379"/>
      <c r="BD119" s="379"/>
      <c r="BE119" s="379"/>
      <c r="BF119" s="379"/>
      <c r="BG119" s="52" t="s">
        <v>369</v>
      </c>
      <c r="BL119" s="379" t="s">
        <v>330</v>
      </c>
      <c r="BM119" s="379"/>
      <c r="BN119" s="52" t="s">
        <v>381</v>
      </c>
    </row>
    <row r="120" spans="2:66" x14ac:dyDescent="0.2">
      <c r="AG120" s="230"/>
      <c r="AH120" s="230"/>
      <c r="AQ120" s="230"/>
      <c r="AR120" s="243">
        <f t="shared" ref="AR120:BF120" si="8">SUM(AR83:AR118)</f>
        <v>45603.34354917398</v>
      </c>
      <c r="AS120" s="243">
        <f t="shared" si="8"/>
        <v>92174.080268738733</v>
      </c>
      <c r="AT120" s="243">
        <f t="shared" si="8"/>
        <v>75137.572574318707</v>
      </c>
      <c r="AU120" s="243">
        <f t="shared" si="8"/>
        <v>107.92660448984697</v>
      </c>
      <c r="AV120" s="243">
        <f t="shared" si="8"/>
        <v>122.29643829987386</v>
      </c>
      <c r="AW120" s="243">
        <f t="shared" si="8"/>
        <v>29657.273246774046</v>
      </c>
      <c r="AX120" s="243">
        <f t="shared" si="8"/>
        <v>107.92660448984697</v>
      </c>
      <c r="AY120" s="243">
        <f t="shared" si="8"/>
        <v>122.29643829987386</v>
      </c>
      <c r="AZ120" s="243">
        <f t="shared" si="8"/>
        <v>29657.273246774046</v>
      </c>
      <c r="BA120" s="243">
        <f t="shared" si="8"/>
        <v>51974.376915880704</v>
      </c>
      <c r="BB120" s="243">
        <f t="shared" si="8"/>
        <v>81509.353724354878</v>
      </c>
      <c r="BC120" s="243">
        <f t="shared" si="8"/>
        <v>87337.121293783799</v>
      </c>
      <c r="BD120" s="243">
        <f t="shared" si="8"/>
        <v>87708.990277872479</v>
      </c>
      <c r="BE120" s="243">
        <f t="shared" si="8"/>
        <v>33792.71014755038</v>
      </c>
      <c r="BF120" s="243">
        <f t="shared" si="8"/>
        <v>150572.24389893381</v>
      </c>
      <c r="BG120" s="52"/>
      <c r="BL120" s="52"/>
      <c r="BM120" s="52"/>
      <c r="BN120" s="52"/>
    </row>
    <row r="121" spans="2:66" x14ac:dyDescent="0.2">
      <c r="AG121" s="230"/>
      <c r="AH121" s="230"/>
      <c r="AQ121" s="230"/>
      <c r="AR121" s="379" t="s">
        <v>368</v>
      </c>
      <c r="AS121" s="379"/>
      <c r="AT121" s="379"/>
      <c r="AU121" s="379"/>
      <c r="AV121" s="379"/>
      <c r="AW121" s="379"/>
      <c r="AX121" s="379"/>
      <c r="AY121" s="379"/>
      <c r="AZ121" s="379"/>
      <c r="BA121" s="379"/>
      <c r="BB121" s="379"/>
      <c r="BC121" s="379"/>
      <c r="BD121" s="379"/>
      <c r="BE121" s="379"/>
      <c r="BF121" s="379"/>
      <c r="BG121" s="52"/>
      <c r="BL121" s="52"/>
      <c r="BM121" s="52"/>
      <c r="BN121" s="52"/>
    </row>
    <row r="122" spans="2:66" ht="13" customHeight="1" x14ac:dyDescent="0.2">
      <c r="C122" s="380"/>
      <c r="D122" s="380"/>
      <c r="E122" s="136"/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  <c r="AA122" s="136"/>
      <c r="AB122" s="136"/>
      <c r="AC122" s="136"/>
      <c r="AD122" s="136"/>
      <c r="AE122" s="136"/>
      <c r="AF122" s="136"/>
      <c r="AG122" s="230"/>
      <c r="AH122" s="230"/>
      <c r="AI122" s="136"/>
      <c r="AJ122" s="136"/>
      <c r="AK122" s="136"/>
      <c r="AL122" s="136"/>
      <c r="AM122" s="136"/>
      <c r="AN122" s="136"/>
      <c r="AO122" s="136"/>
      <c r="AQ122" s="230"/>
      <c r="BL122" s="52"/>
      <c r="BM122" s="52"/>
      <c r="BN122" s="52"/>
    </row>
    <row r="123" spans="2:66" ht="236" customHeight="1" x14ac:dyDescent="0.2">
      <c r="B123" s="60"/>
      <c r="C123" s="231" t="s">
        <v>333</v>
      </c>
      <c r="D123" s="231" t="s">
        <v>335</v>
      </c>
      <c r="E123" s="231" t="s">
        <v>336</v>
      </c>
      <c r="F123" s="231" t="s">
        <v>355</v>
      </c>
      <c r="G123" s="231" t="s">
        <v>377</v>
      </c>
      <c r="H123" s="231" t="s">
        <v>407</v>
      </c>
      <c r="I123" s="231" t="s">
        <v>466</v>
      </c>
      <c r="J123" s="231" t="s">
        <v>467</v>
      </c>
      <c r="K123" s="231" t="s">
        <v>459</v>
      </c>
      <c r="L123" s="232" t="s">
        <v>442</v>
      </c>
      <c r="M123" s="231" t="s">
        <v>409</v>
      </c>
      <c r="N123" s="232" t="s">
        <v>412</v>
      </c>
      <c r="O123" s="231" t="s">
        <v>437</v>
      </c>
      <c r="P123" s="233" t="s">
        <v>430</v>
      </c>
      <c r="Q123" s="231" t="s">
        <v>416</v>
      </c>
      <c r="R123" s="232" t="s">
        <v>441</v>
      </c>
      <c r="S123" s="232" t="s">
        <v>436</v>
      </c>
      <c r="T123" s="232" t="s">
        <v>433</v>
      </c>
      <c r="U123" s="232" t="s">
        <v>439</v>
      </c>
      <c r="V123" s="233" t="s">
        <v>438</v>
      </c>
      <c r="W123" s="233" t="s">
        <v>424</v>
      </c>
      <c r="X123" s="233" t="s">
        <v>456</v>
      </c>
      <c r="Y123" s="233" t="s">
        <v>425</v>
      </c>
      <c r="Z123" s="233" t="s">
        <v>427</v>
      </c>
      <c r="AA123" s="233" t="s">
        <v>426</v>
      </c>
      <c r="AB123" s="233" t="s">
        <v>484</v>
      </c>
      <c r="AC123" s="235" t="s">
        <v>422</v>
      </c>
      <c r="AD123" s="235" t="s">
        <v>552</v>
      </c>
      <c r="AE123" s="233" t="s">
        <v>421</v>
      </c>
      <c r="AF123" s="231" t="s">
        <v>423</v>
      </c>
      <c r="AG123" s="233" t="s">
        <v>515</v>
      </c>
      <c r="AH123" s="233" t="s">
        <v>517</v>
      </c>
      <c r="AI123" s="233" t="s">
        <v>445</v>
      </c>
      <c r="AJ123" s="233" t="s">
        <v>446</v>
      </c>
      <c r="AK123" s="233" t="s">
        <v>447</v>
      </c>
      <c r="AL123" s="233" t="s">
        <v>457</v>
      </c>
      <c r="AQ123" s="230"/>
      <c r="BL123" s="52"/>
      <c r="BM123" s="52"/>
    </row>
    <row r="124" spans="2:66" x14ac:dyDescent="0.2">
      <c r="B124" s="132" t="s">
        <v>325</v>
      </c>
      <c r="C124" s="234"/>
      <c r="D124" s="234"/>
      <c r="E124" s="234"/>
      <c r="F124" s="234"/>
      <c r="G124" s="234"/>
      <c r="H124" s="234"/>
      <c r="I124" s="234"/>
      <c r="J124" s="234"/>
      <c r="K124" s="234"/>
      <c r="L124" s="234">
        <f>Ore_to_PI!T42</f>
        <v>106.92660448984697</v>
      </c>
      <c r="M124" s="234">
        <f>Ore_to_PI!AM63</f>
        <v>69.671049151828498</v>
      </c>
      <c r="N124" s="234"/>
      <c r="O124" s="234"/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234"/>
      <c r="AI124" s="234"/>
      <c r="AJ124" s="234"/>
      <c r="AK124" s="234"/>
      <c r="AL124" s="234"/>
      <c r="AM124" s="243">
        <f>SUM(C124:AL124)</f>
        <v>176.59765364167546</v>
      </c>
      <c r="BL124" s="52"/>
      <c r="BM124" s="52"/>
    </row>
    <row r="125" spans="2:66" x14ac:dyDescent="0.2">
      <c r="B125" s="132" t="s">
        <v>326</v>
      </c>
      <c r="C125" s="234"/>
      <c r="D125" s="234"/>
      <c r="E125" s="234"/>
      <c r="F125" s="234"/>
      <c r="G125" s="234"/>
      <c r="H125" s="234"/>
      <c r="I125" s="234"/>
      <c r="J125" s="234"/>
      <c r="K125" s="234"/>
      <c r="L125" s="234"/>
      <c r="M125" s="234"/>
      <c r="N125" s="234">
        <f>Ore_to_PI!AN126</f>
        <v>121.29643829987386</v>
      </c>
      <c r="O125" s="234">
        <f>Ore_to_PI!AN142</f>
        <v>69.554805547582731</v>
      </c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43">
        <f>SUM(C125:AL125)</f>
        <v>190.8512438474566</v>
      </c>
    </row>
    <row r="126" spans="2:66" x14ac:dyDescent="0.2">
      <c r="B126" s="132" t="s">
        <v>327</v>
      </c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>
        <f>Ore_to_PI!AN206</f>
        <v>29656.273246774046</v>
      </c>
      <c r="Q126" s="234">
        <f>Ore_to_PI!AN227</f>
        <v>69.671049151828498</v>
      </c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43">
        <f t="shared" ref="AM126:AM138" si="9">SUM(C126:AL126)</f>
        <v>29725.944295925874</v>
      </c>
    </row>
    <row r="127" spans="2:66" x14ac:dyDescent="0.2">
      <c r="B127" s="132" t="s">
        <v>455</v>
      </c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/>
      <c r="Q127" s="234"/>
      <c r="R127" s="234">
        <f>Ore_to_PI!BF42</f>
        <v>106.92660448984697</v>
      </c>
      <c r="S127" s="234"/>
      <c r="T127" s="234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4"/>
      <c r="AI127" s="234"/>
      <c r="AJ127" s="234"/>
      <c r="AK127" s="234"/>
      <c r="AL127" s="234"/>
      <c r="AM127" s="243">
        <f t="shared" si="9"/>
        <v>106.92660448984697</v>
      </c>
    </row>
    <row r="128" spans="2:66" x14ac:dyDescent="0.2">
      <c r="B128" s="132" t="s">
        <v>435</v>
      </c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/>
      <c r="S128" s="234">
        <f>Ore_to_PI!BG126</f>
        <v>121.29643829987386</v>
      </c>
      <c r="T128" s="234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234"/>
      <c r="AI128" s="234"/>
      <c r="AJ128" s="234"/>
      <c r="AK128" s="234"/>
      <c r="AL128" s="234"/>
      <c r="AM128" s="243">
        <f t="shared" si="9"/>
        <v>121.29643829987386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2" t="s">
        <v>434</v>
      </c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>
        <f>Ore_to_PI!BG206</f>
        <v>29656.273246774046</v>
      </c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234"/>
      <c r="AI129" s="234"/>
      <c r="AJ129" s="234"/>
      <c r="AK129" s="234"/>
      <c r="AL129" s="234"/>
      <c r="AM129" s="243">
        <f t="shared" si="9"/>
        <v>29656.273246774046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2" t="s">
        <v>351</v>
      </c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>
        <f>Ore_to_PI!BY42</f>
        <v>88.071706245154459</v>
      </c>
      <c r="V130" s="234">
        <f>Ore_to_PI!BY55</f>
        <v>1846.0127543367071</v>
      </c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234"/>
      <c r="AI130" s="234"/>
      <c r="AJ130" s="234"/>
      <c r="AK130" s="234"/>
      <c r="AL130" s="234"/>
      <c r="AM130" s="243">
        <f t="shared" si="9"/>
        <v>1934.0844605818615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2" t="s">
        <v>348</v>
      </c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>
        <f>Ore_to_PI!BZ126</f>
        <v>121.29643829987386</v>
      </c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234"/>
      <c r="AI131" s="234"/>
      <c r="AJ131" s="234"/>
      <c r="AK131" s="234"/>
      <c r="AL131" s="234"/>
      <c r="AM131" s="243">
        <f t="shared" si="9"/>
        <v>121.29643829987386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2" t="s">
        <v>362</v>
      </c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>
        <f>Ore_to_PI!BZ206</f>
        <v>29656.273246774046</v>
      </c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43">
        <f t="shared" si="9"/>
        <v>29656.273246774046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2" t="s">
        <v>349</v>
      </c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>
        <f>Ore_to_PI!CU126</f>
        <v>2180.165271571077</v>
      </c>
      <c r="Z133" s="234">
        <f>Ore_to_PI!CU114</f>
        <v>1552.5848294479019</v>
      </c>
      <c r="AA133" s="234">
        <f>Ore_to_PI!CU138</f>
        <v>112.62680948523239</v>
      </c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43">
        <f t="shared" si="9"/>
        <v>3845.3769105042115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2" t="s">
        <v>344</v>
      </c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  <c r="AA134" s="234"/>
      <c r="AB134" s="234">
        <f>Ore_to_PI!CU206</f>
        <v>31524.473169734149</v>
      </c>
      <c r="AC134" s="234">
        <f>Ore_to_PI!CU234</f>
        <v>87336.121293783799</v>
      </c>
      <c r="AD134" s="234">
        <f>Ore_to_PI!CU267</f>
        <v>39838.590959214969</v>
      </c>
      <c r="AE134" s="234">
        <f>Ore_to_PI!CU218</f>
        <v>356.05862487012041</v>
      </c>
      <c r="AF134" s="234">
        <f>Ore_to_PI!CU251</f>
        <v>82.129945880443643</v>
      </c>
      <c r="AG134" s="234"/>
      <c r="AH134" s="234"/>
      <c r="AI134" s="234"/>
      <c r="AJ134" s="234"/>
      <c r="AK134" s="234"/>
      <c r="AL134" s="234"/>
      <c r="AM134" s="243">
        <f t="shared" si="9"/>
        <v>159137.37399348346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2" t="s">
        <v>514</v>
      </c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>
        <f>Ore_to_PI!DO233</f>
        <v>87708.990277872479</v>
      </c>
      <c r="AH135" s="234"/>
      <c r="AI135" s="234"/>
      <c r="AJ135" s="234"/>
      <c r="AK135" s="234"/>
      <c r="AL135" s="234"/>
      <c r="AM135" s="243">
        <f t="shared" si="9"/>
        <v>87708.990277872479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2" t="s">
        <v>516</v>
      </c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>
        <f>Ore_to_PI!EJ233</f>
        <v>87708.990277872479</v>
      </c>
      <c r="AI136" s="234"/>
      <c r="AJ136" s="234"/>
      <c r="AK136" s="234"/>
      <c r="AL136" s="234"/>
      <c r="AM136" s="243">
        <f t="shared" si="9"/>
        <v>87708.990277872479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2" t="s">
        <v>76</v>
      </c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6"/>
      <c r="AG137" s="234"/>
      <c r="AH137" s="234"/>
      <c r="AI137" s="236">
        <f>Ore_to_PI!EK126</f>
        <v>5085.687305415624</v>
      </c>
      <c r="AJ137" s="234"/>
      <c r="AK137" s="234"/>
      <c r="AL137" s="234"/>
      <c r="AM137" s="243">
        <f t="shared" si="9"/>
        <v>5085.687305415624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2" t="s">
        <v>337</v>
      </c>
      <c r="C138" s="234"/>
      <c r="D138" s="234"/>
      <c r="E138" s="234"/>
      <c r="F138" s="236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40"/>
      <c r="AB138" s="234"/>
      <c r="AC138" s="234"/>
      <c r="AD138" s="234"/>
      <c r="AE138" s="234"/>
      <c r="AF138" s="234"/>
      <c r="AG138" s="234"/>
      <c r="AH138" s="234"/>
      <c r="AI138" s="234"/>
      <c r="AJ138" s="234">
        <f>Ore_to_PI!FK126</f>
        <v>6747.2468439430568</v>
      </c>
      <c r="AK138" s="234">
        <f>Ore_to_PI!FK141</f>
        <v>118.8058957677511</v>
      </c>
      <c r="AL138" s="234">
        <f>Ore_to_PI!FK104</f>
        <v>295.17680956804259</v>
      </c>
      <c r="AM138" s="243">
        <f t="shared" si="9"/>
        <v>7161.2295492788508</v>
      </c>
    </row>
    <row r="139" spans="2:65" x14ac:dyDescent="0.2">
      <c r="B139" s="132"/>
      <c r="C139" s="379" t="s">
        <v>329</v>
      </c>
      <c r="D139" s="379"/>
      <c r="E139" s="379"/>
      <c r="F139" s="379"/>
      <c r="G139" s="379"/>
      <c r="H139" s="379"/>
      <c r="I139" s="379"/>
      <c r="J139" s="379"/>
      <c r="K139" s="379"/>
      <c r="L139" s="379"/>
      <c r="M139" s="379"/>
      <c r="N139" s="379"/>
      <c r="O139" s="379"/>
      <c r="P139" s="379"/>
      <c r="Q139" s="379"/>
      <c r="R139" s="379"/>
      <c r="S139" s="379"/>
      <c r="T139" s="379"/>
      <c r="U139" s="379"/>
      <c r="V139" s="379"/>
      <c r="W139" s="379"/>
      <c r="X139" s="379"/>
      <c r="Y139" s="379"/>
      <c r="Z139" s="379"/>
      <c r="AA139" s="379"/>
      <c r="AB139" s="379"/>
      <c r="AC139" s="379"/>
      <c r="AD139" s="379"/>
      <c r="AE139" s="379"/>
      <c r="AF139" s="379"/>
      <c r="AG139" s="379"/>
      <c r="AH139" s="379"/>
      <c r="AI139" s="379"/>
      <c r="AJ139" s="379"/>
      <c r="AK139" s="379"/>
      <c r="AL139" s="379"/>
      <c r="AM139" s="52" t="s">
        <v>365</v>
      </c>
      <c r="AN139" s="52"/>
    </row>
    <row r="140" spans="2:65" x14ac:dyDescent="0.2">
      <c r="B140" s="132"/>
      <c r="C140" s="243">
        <f t="shared" ref="C140:AL140" si="10">SUM(C124:C138)</f>
        <v>0</v>
      </c>
      <c r="D140" s="243">
        <f t="shared" si="10"/>
        <v>0</v>
      </c>
      <c r="E140" s="243">
        <f t="shared" si="10"/>
        <v>0</v>
      </c>
      <c r="F140" s="243">
        <f t="shared" si="10"/>
        <v>0</v>
      </c>
      <c r="G140" s="243">
        <f t="shared" si="10"/>
        <v>0</v>
      </c>
      <c r="H140" s="243">
        <f t="shared" si="10"/>
        <v>0</v>
      </c>
      <c r="I140" s="243">
        <f t="shared" si="10"/>
        <v>0</v>
      </c>
      <c r="J140" s="243">
        <f t="shared" si="10"/>
        <v>0</v>
      </c>
      <c r="K140" s="243">
        <f t="shared" si="10"/>
        <v>0</v>
      </c>
      <c r="L140" s="243">
        <f t="shared" si="10"/>
        <v>106.92660448984697</v>
      </c>
      <c r="M140" s="243">
        <f t="shared" si="10"/>
        <v>69.671049151828498</v>
      </c>
      <c r="N140" s="243">
        <f t="shared" si="10"/>
        <v>121.29643829987386</v>
      </c>
      <c r="O140" s="243">
        <f t="shared" si="10"/>
        <v>69.554805547582731</v>
      </c>
      <c r="P140" s="243">
        <f t="shared" si="10"/>
        <v>29656.273246774046</v>
      </c>
      <c r="Q140" s="243">
        <f t="shared" si="10"/>
        <v>69.671049151828498</v>
      </c>
      <c r="R140" s="243">
        <f t="shared" si="10"/>
        <v>106.92660448984697</v>
      </c>
      <c r="S140" s="243">
        <f t="shared" si="10"/>
        <v>121.29643829987386</v>
      </c>
      <c r="T140" s="243">
        <f t="shared" si="10"/>
        <v>29656.273246774046</v>
      </c>
      <c r="U140" s="243">
        <f t="shared" si="10"/>
        <v>88.071706245154459</v>
      </c>
      <c r="V140" s="243">
        <f t="shared" si="10"/>
        <v>1846.0127543367071</v>
      </c>
      <c r="W140" s="243">
        <f t="shared" si="10"/>
        <v>121.29643829987386</v>
      </c>
      <c r="X140" s="243">
        <f t="shared" si="10"/>
        <v>29656.273246774046</v>
      </c>
      <c r="Y140" s="243">
        <f t="shared" si="10"/>
        <v>2180.165271571077</v>
      </c>
      <c r="Z140" s="243">
        <f t="shared" si="10"/>
        <v>1552.5848294479019</v>
      </c>
      <c r="AA140" s="243">
        <f t="shared" si="10"/>
        <v>112.62680948523239</v>
      </c>
      <c r="AB140" s="243">
        <f t="shared" si="10"/>
        <v>31524.473169734149</v>
      </c>
      <c r="AC140" s="243">
        <f t="shared" si="10"/>
        <v>87336.121293783799</v>
      </c>
      <c r="AD140" s="243">
        <f t="shared" si="10"/>
        <v>39838.590959214969</v>
      </c>
      <c r="AE140" s="243">
        <f t="shared" si="10"/>
        <v>356.05862487012041</v>
      </c>
      <c r="AF140" s="243">
        <f t="shared" si="10"/>
        <v>82.129945880443643</v>
      </c>
      <c r="AG140" s="243">
        <f t="shared" si="10"/>
        <v>87708.990277872479</v>
      </c>
      <c r="AH140" s="243">
        <f t="shared" si="10"/>
        <v>87708.990277872479</v>
      </c>
      <c r="AI140" s="243">
        <f t="shared" si="10"/>
        <v>5085.687305415624</v>
      </c>
      <c r="AJ140" s="243">
        <f t="shared" si="10"/>
        <v>6747.2468439430568</v>
      </c>
      <c r="AK140" s="243">
        <f t="shared" si="10"/>
        <v>118.8058957677511</v>
      </c>
      <c r="AL140" s="243">
        <f t="shared" si="10"/>
        <v>295.17680956804259</v>
      </c>
    </row>
    <row r="141" spans="2:65" x14ac:dyDescent="0.2">
      <c r="B141" s="132"/>
      <c r="C141" s="379" t="s">
        <v>366</v>
      </c>
      <c r="D141" s="379"/>
      <c r="E141" s="379"/>
      <c r="F141" s="379"/>
      <c r="G141" s="379"/>
      <c r="H141" s="379"/>
      <c r="I141" s="379"/>
      <c r="J141" s="379"/>
      <c r="K141" s="379"/>
      <c r="L141" s="379"/>
      <c r="M141" s="379"/>
      <c r="N141" s="379"/>
      <c r="O141" s="379"/>
      <c r="P141" s="379"/>
      <c r="Q141" s="379"/>
      <c r="R141" s="379"/>
      <c r="S141" s="379"/>
      <c r="T141" s="379"/>
      <c r="U141" s="379"/>
      <c r="V141" s="379"/>
      <c r="W141" s="379"/>
      <c r="X141" s="379"/>
      <c r="Y141" s="379"/>
      <c r="Z141" s="379"/>
      <c r="AA141" s="379"/>
      <c r="AB141" s="379"/>
      <c r="AC141" s="379"/>
      <c r="AD141" s="379"/>
      <c r="AE141" s="379"/>
      <c r="AF141" s="379"/>
      <c r="AG141" s="379"/>
      <c r="AH141" s="379"/>
      <c r="AI141" s="379"/>
      <c r="AJ141" s="379"/>
      <c r="AK141" s="379"/>
      <c r="AL141" s="379"/>
    </row>
    <row r="142" spans="2:65" x14ac:dyDescent="0.2">
      <c r="B142" s="132"/>
    </row>
    <row r="143" spans="2:65" x14ac:dyDescent="0.2">
      <c r="B143" s="132"/>
    </row>
    <row r="144" spans="2:65" x14ac:dyDescent="0.2">
      <c r="B144" s="132"/>
    </row>
    <row r="145" spans="2:44" x14ac:dyDescent="0.2">
      <c r="B145" s="132"/>
    </row>
    <row r="146" spans="2:44" x14ac:dyDescent="0.2">
      <c r="B146" s="132"/>
    </row>
    <row r="147" spans="2:44" x14ac:dyDescent="0.2">
      <c r="B147" s="132"/>
    </row>
    <row r="148" spans="2:44" x14ac:dyDescent="0.2">
      <c r="B148" s="132"/>
    </row>
    <row r="149" spans="2:44" x14ac:dyDescent="0.2">
      <c r="B149" s="132"/>
    </row>
    <row r="150" spans="2:44" x14ac:dyDescent="0.2">
      <c r="B150" s="132"/>
    </row>
    <row r="151" spans="2:44" x14ac:dyDescent="0.2">
      <c r="B151" s="132"/>
    </row>
    <row r="152" spans="2:44" ht="236" customHeight="1" x14ac:dyDescent="0.2">
      <c r="B152" s="132"/>
      <c r="C152" s="231" t="s">
        <v>333</v>
      </c>
      <c r="D152" s="231" t="s">
        <v>335</v>
      </c>
      <c r="E152" s="231" t="s">
        <v>336</v>
      </c>
      <c r="F152" s="231" t="s">
        <v>355</v>
      </c>
      <c r="G152" s="231" t="s">
        <v>377</v>
      </c>
      <c r="H152" s="231" t="s">
        <v>407</v>
      </c>
      <c r="I152" s="231" t="s">
        <v>466</v>
      </c>
      <c r="J152" s="231" t="s">
        <v>467</v>
      </c>
      <c r="K152" s="231" t="s">
        <v>459</v>
      </c>
      <c r="L152" s="232" t="s">
        <v>442</v>
      </c>
      <c r="M152" s="231" t="s">
        <v>409</v>
      </c>
      <c r="N152" s="232" t="s">
        <v>412</v>
      </c>
      <c r="O152" s="231" t="s">
        <v>437</v>
      </c>
      <c r="P152" s="233" t="s">
        <v>430</v>
      </c>
      <c r="Q152" s="231" t="s">
        <v>416</v>
      </c>
      <c r="R152" s="232" t="s">
        <v>441</v>
      </c>
      <c r="S152" s="232" t="s">
        <v>436</v>
      </c>
      <c r="T152" s="232" t="s">
        <v>433</v>
      </c>
      <c r="U152" s="232" t="s">
        <v>439</v>
      </c>
      <c r="V152" s="233" t="s">
        <v>438</v>
      </c>
      <c r="W152" s="233" t="s">
        <v>424</v>
      </c>
      <c r="X152" s="233" t="s">
        <v>456</v>
      </c>
      <c r="Y152" s="233" t="s">
        <v>425</v>
      </c>
      <c r="Z152" s="233" t="s">
        <v>427</v>
      </c>
      <c r="AA152" s="233" t="s">
        <v>426</v>
      </c>
      <c r="AB152" s="233" t="s">
        <v>484</v>
      </c>
      <c r="AC152" s="235" t="s">
        <v>422</v>
      </c>
      <c r="AD152" s="235" t="s">
        <v>552</v>
      </c>
      <c r="AE152" s="233" t="s">
        <v>421</v>
      </c>
      <c r="AF152" s="231" t="s">
        <v>423</v>
      </c>
      <c r="AG152" s="233" t="s">
        <v>515</v>
      </c>
      <c r="AH152" s="233" t="s">
        <v>517</v>
      </c>
      <c r="AI152" s="233" t="s">
        <v>445</v>
      </c>
      <c r="AJ152" s="233" t="s">
        <v>446</v>
      </c>
      <c r="AK152" s="233" t="s">
        <v>447</v>
      </c>
      <c r="AL152" s="233" t="s">
        <v>457</v>
      </c>
      <c r="AM152" s="233"/>
      <c r="AN152" s="233"/>
    </row>
    <row r="153" spans="2:44" x14ac:dyDescent="0.2">
      <c r="B153" s="132" t="s">
        <v>332</v>
      </c>
      <c r="C153" s="237">
        <f>Ore_to_PI!T42</f>
        <v>106.92660448984697</v>
      </c>
      <c r="D153" s="237"/>
      <c r="E153" s="237"/>
      <c r="F153" s="237"/>
      <c r="G153" s="237"/>
      <c r="H153" s="237"/>
      <c r="I153" s="237"/>
      <c r="J153" s="237"/>
      <c r="K153" s="237"/>
      <c r="L153" s="237"/>
      <c r="M153" s="237"/>
      <c r="N153" s="237"/>
      <c r="O153" s="237"/>
      <c r="P153" s="237"/>
      <c r="Q153" s="237"/>
      <c r="R153" s="237"/>
      <c r="S153" s="237"/>
      <c r="T153" s="237"/>
      <c r="U153" s="237"/>
      <c r="V153" s="237"/>
      <c r="W153" s="237"/>
      <c r="X153" s="237"/>
      <c r="Y153" s="237"/>
      <c r="Z153" s="237"/>
      <c r="AA153" s="237"/>
      <c r="AB153" s="237"/>
      <c r="AC153" s="237"/>
      <c r="AD153" s="237"/>
      <c r="AE153" s="237"/>
      <c r="AF153" s="237"/>
      <c r="AG153" s="237"/>
      <c r="AH153" s="237"/>
      <c r="AI153" s="237"/>
      <c r="AJ153" s="237"/>
      <c r="AK153" s="237"/>
      <c r="AL153" s="237"/>
    </row>
    <row r="154" spans="2:44" ht="16" customHeight="1" x14ac:dyDescent="0.2">
      <c r="B154" s="229" t="s">
        <v>334</v>
      </c>
      <c r="C154" s="237"/>
      <c r="D154" s="237">
        <f>Ore_to_PI!T126</f>
        <v>121.29643829987386</v>
      </c>
      <c r="E154" s="237"/>
      <c r="F154" s="237"/>
      <c r="G154" s="237"/>
      <c r="H154" s="237"/>
      <c r="I154" s="237"/>
      <c r="J154" s="237"/>
      <c r="K154" s="237"/>
      <c r="L154" s="237"/>
      <c r="M154" s="237"/>
      <c r="N154" s="237"/>
      <c r="O154" s="237"/>
      <c r="P154" s="237"/>
      <c r="Q154" s="237"/>
      <c r="R154" s="237"/>
      <c r="S154" s="237"/>
      <c r="T154" s="237"/>
      <c r="U154" s="237"/>
      <c r="V154" s="237"/>
      <c r="W154" s="237"/>
      <c r="X154" s="237"/>
      <c r="Y154" s="237"/>
      <c r="Z154" s="237"/>
      <c r="AA154" s="237"/>
      <c r="AB154" s="237"/>
      <c r="AC154" s="237"/>
      <c r="AD154" s="237"/>
      <c r="AE154" s="237"/>
      <c r="AF154" s="237"/>
      <c r="AG154" s="237"/>
      <c r="AH154" s="237"/>
      <c r="AI154" s="237"/>
      <c r="AJ154" s="237"/>
      <c r="AK154" s="237"/>
      <c r="AL154" s="237"/>
    </row>
    <row r="155" spans="2:44" x14ac:dyDescent="0.2">
      <c r="B155" s="230" t="s">
        <v>356</v>
      </c>
      <c r="C155" s="237"/>
      <c r="D155" s="237"/>
      <c r="E155" s="237">
        <f>Ore_to_PI!T206</f>
        <v>29640.155629634577</v>
      </c>
      <c r="F155" s="237"/>
      <c r="G155" s="237"/>
      <c r="H155" s="237"/>
      <c r="I155" s="237"/>
      <c r="J155" s="237"/>
      <c r="K155" s="237"/>
      <c r="L155" s="237"/>
      <c r="M155" s="237"/>
      <c r="N155" s="237"/>
      <c r="O155" s="237"/>
      <c r="P155" s="237"/>
      <c r="Q155" s="237"/>
      <c r="R155" s="237"/>
      <c r="S155" s="237"/>
      <c r="T155" s="237"/>
      <c r="U155" s="237"/>
      <c r="V155" s="237"/>
      <c r="W155" s="237"/>
      <c r="X155" s="237"/>
      <c r="Y155" s="237"/>
      <c r="Z155" s="237"/>
      <c r="AA155" s="237"/>
      <c r="AB155" s="237"/>
      <c r="AC155" s="237"/>
      <c r="AD155" s="237"/>
      <c r="AE155" s="237"/>
      <c r="AF155" s="237"/>
      <c r="AG155" s="237"/>
      <c r="AH155" s="237"/>
      <c r="AI155" s="237"/>
      <c r="AJ155" s="237"/>
      <c r="AK155" s="237"/>
      <c r="AL155" s="237"/>
    </row>
    <row r="156" spans="2:44" x14ac:dyDescent="0.2">
      <c r="B156" s="132" t="s">
        <v>380</v>
      </c>
      <c r="C156" s="237"/>
      <c r="D156" s="237"/>
      <c r="E156" s="237"/>
      <c r="F156" s="242">
        <f>Ore_to_PI!EK140</f>
        <v>4.1467529598807324</v>
      </c>
      <c r="G156" s="237"/>
      <c r="H156" s="237"/>
      <c r="I156" s="237"/>
      <c r="J156" s="237"/>
      <c r="K156" s="237"/>
      <c r="L156" s="237"/>
      <c r="M156" s="237"/>
      <c r="N156" s="237"/>
      <c r="O156" s="237"/>
      <c r="P156" s="237"/>
      <c r="Q156" s="237"/>
      <c r="R156" s="237"/>
      <c r="S156" s="237"/>
      <c r="T156" s="237"/>
      <c r="U156" s="237"/>
      <c r="V156" s="237"/>
      <c r="W156" s="237"/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37"/>
      <c r="AI156" s="237"/>
      <c r="AJ156" s="237"/>
      <c r="AK156" s="237"/>
      <c r="AL156" s="237"/>
    </row>
    <row r="157" spans="2:44" x14ac:dyDescent="0.2">
      <c r="B157" s="132" t="s">
        <v>376</v>
      </c>
      <c r="C157" s="237"/>
      <c r="D157" s="237"/>
      <c r="E157" s="237"/>
      <c r="F157" s="237"/>
      <c r="G157" s="237">
        <f>Ore_to_PI!EK114+Ore_to_PI!BZ152+Ore_to_PI!BZ244</f>
        <v>155546.80117386283</v>
      </c>
      <c r="H157" s="237"/>
      <c r="I157" s="237"/>
      <c r="J157" s="237"/>
      <c r="K157" s="237"/>
      <c r="L157" s="237"/>
      <c r="M157" s="237"/>
      <c r="N157" s="237"/>
      <c r="O157" s="237"/>
      <c r="P157" s="237"/>
      <c r="Q157" s="237"/>
      <c r="R157" s="237"/>
      <c r="S157" s="237"/>
      <c r="T157" s="237"/>
      <c r="U157" s="237"/>
      <c r="V157" s="237"/>
      <c r="W157" s="237"/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37"/>
      <c r="AI157" s="237"/>
      <c r="AJ157" s="237"/>
      <c r="AK157" s="237"/>
      <c r="AL157" s="237"/>
    </row>
    <row r="158" spans="2:44" x14ac:dyDescent="0.2">
      <c r="B158" s="132" t="s">
        <v>469</v>
      </c>
      <c r="C158" s="237"/>
      <c r="D158" s="237"/>
      <c r="E158" s="237"/>
      <c r="F158" s="237"/>
      <c r="G158" s="237"/>
      <c r="H158" s="237">
        <f>Ore_to_PI!T222+Ore_to_PI!T140+Ore_to_PI!T59</f>
        <v>136476.81057517277</v>
      </c>
      <c r="I158" s="237"/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</row>
    <row r="159" spans="2:44" x14ac:dyDescent="0.2">
      <c r="B159" s="132" t="s">
        <v>468</v>
      </c>
      <c r="C159" s="237"/>
      <c r="D159" s="237"/>
      <c r="E159" s="237"/>
      <c r="F159" s="237"/>
      <c r="G159" s="237"/>
      <c r="H159" s="237"/>
      <c r="I159" s="237">
        <f>Ore_to_PI!T151</f>
        <v>46556.366885754731</v>
      </c>
      <c r="J159" s="237"/>
      <c r="K159" s="237"/>
      <c r="L159" s="237"/>
      <c r="M159" s="237"/>
      <c r="N159" s="237"/>
      <c r="O159" s="237"/>
      <c r="P159" s="237"/>
      <c r="Q159" s="237"/>
      <c r="R159" s="237"/>
      <c r="S159" s="237"/>
      <c r="T159" s="237"/>
      <c r="U159" s="237"/>
      <c r="V159" s="237"/>
      <c r="W159" s="237"/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37"/>
      <c r="AI159" s="237"/>
      <c r="AJ159" s="237"/>
      <c r="AK159" s="237"/>
      <c r="AL159" s="237"/>
    </row>
    <row r="160" spans="2:44" x14ac:dyDescent="0.2">
      <c r="B160" s="132" t="s">
        <v>410</v>
      </c>
      <c r="C160" s="237"/>
      <c r="D160" s="237"/>
      <c r="E160" s="237"/>
      <c r="F160" s="237"/>
      <c r="G160" s="237"/>
      <c r="H160" s="237"/>
      <c r="I160" s="237"/>
      <c r="J160" s="237">
        <f>Ore_to_PI!EK101</f>
        <v>5923.4858380648811</v>
      </c>
      <c r="K160" s="237"/>
      <c r="L160" s="237"/>
      <c r="M160" s="237"/>
      <c r="N160" s="237"/>
      <c r="O160" s="237"/>
      <c r="P160" s="237"/>
      <c r="Q160" s="237"/>
      <c r="R160" s="237"/>
      <c r="S160" s="237"/>
      <c r="T160" s="237"/>
      <c r="U160" s="237"/>
      <c r="V160" s="237"/>
      <c r="W160" s="237"/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37"/>
      <c r="AI160" s="237"/>
      <c r="AJ160" s="237"/>
      <c r="AK160" s="237"/>
      <c r="AL160" s="237"/>
      <c r="AR160" s="235"/>
    </row>
    <row r="161" spans="2:40" x14ac:dyDescent="0.2">
      <c r="B161" s="132" t="s">
        <v>458</v>
      </c>
      <c r="C161" s="237"/>
      <c r="D161" s="237"/>
      <c r="E161" s="237"/>
      <c r="F161" s="237"/>
      <c r="G161" s="237"/>
      <c r="H161" s="237"/>
      <c r="I161" s="237"/>
      <c r="J161" s="237"/>
      <c r="K161" s="237">
        <f>Ore_to_PI!ET117</f>
        <v>1</v>
      </c>
      <c r="L161" s="237"/>
      <c r="M161" s="237"/>
      <c r="N161" s="237"/>
      <c r="O161" s="237"/>
      <c r="P161" s="237"/>
      <c r="Q161" s="237"/>
      <c r="R161" s="237"/>
      <c r="S161" s="237"/>
      <c r="T161" s="237"/>
      <c r="U161" s="237"/>
      <c r="V161" s="237"/>
      <c r="W161" s="237"/>
      <c r="X161" s="237"/>
      <c r="Y161" s="237"/>
      <c r="Z161" s="237"/>
      <c r="AA161" s="237"/>
      <c r="AB161" s="237"/>
      <c r="AC161" s="237"/>
      <c r="AD161" s="237"/>
      <c r="AE161" s="237"/>
      <c r="AF161" s="237"/>
      <c r="AG161" s="237"/>
      <c r="AH161" s="237"/>
      <c r="AI161" s="237"/>
      <c r="AJ161" s="237"/>
      <c r="AK161" s="237"/>
      <c r="AL161" s="237"/>
    </row>
    <row r="162" spans="2:40" x14ac:dyDescent="0.2">
      <c r="C162" s="379" t="s">
        <v>56</v>
      </c>
      <c r="D162" s="379"/>
      <c r="E162" s="379"/>
      <c r="F162" s="379"/>
      <c r="G162" s="379"/>
      <c r="H162" s="379"/>
      <c r="I162" s="379"/>
      <c r="J162" s="379"/>
      <c r="K162" s="379"/>
      <c r="L162" s="379"/>
      <c r="M162" s="379"/>
      <c r="N162" s="379"/>
      <c r="O162" s="379"/>
      <c r="P162" s="379"/>
      <c r="Q162" s="379"/>
      <c r="R162" s="379"/>
      <c r="S162" s="379"/>
      <c r="T162" s="379"/>
      <c r="U162" s="379"/>
      <c r="V162" s="379"/>
      <c r="W162" s="379"/>
      <c r="X162" s="379"/>
      <c r="Y162" s="379"/>
      <c r="Z162" s="379"/>
      <c r="AA162" s="379"/>
      <c r="AB162" s="379"/>
      <c r="AC162" s="379"/>
      <c r="AD162" s="379"/>
      <c r="AE162" s="379"/>
      <c r="AF162" s="379"/>
      <c r="AG162" s="379"/>
      <c r="AH162" s="379"/>
      <c r="AI162" s="379"/>
      <c r="AJ162" s="379"/>
      <c r="AK162" s="379"/>
      <c r="AL162" s="379"/>
      <c r="AM162" s="52"/>
      <c r="AN162" s="52"/>
    </row>
    <row r="163" spans="2:40" x14ac:dyDescent="0.2">
      <c r="C163" s="243">
        <f>SUM(C153:C161)</f>
        <v>106.92660448984697</v>
      </c>
      <c r="D163" s="243">
        <f t="shared" ref="D163:AL163" si="11">SUM(D153:D161)</f>
        <v>121.29643829987386</v>
      </c>
      <c r="E163" s="243">
        <f t="shared" si="11"/>
        <v>29640.155629634577</v>
      </c>
      <c r="F163" s="243">
        <f t="shared" si="11"/>
        <v>4.1467529598807324</v>
      </c>
      <c r="G163" s="243">
        <f t="shared" si="11"/>
        <v>155546.80117386283</v>
      </c>
      <c r="H163" s="243">
        <f t="shared" si="11"/>
        <v>136476.81057517277</v>
      </c>
      <c r="I163" s="243">
        <f t="shared" si="11"/>
        <v>46556.366885754731</v>
      </c>
      <c r="J163" s="243">
        <f t="shared" si="11"/>
        <v>5923.4858380648811</v>
      </c>
      <c r="K163" s="243">
        <f t="shared" si="11"/>
        <v>1</v>
      </c>
      <c r="L163" s="243">
        <f t="shared" si="11"/>
        <v>0</v>
      </c>
      <c r="M163" s="243">
        <f t="shared" si="11"/>
        <v>0</v>
      </c>
      <c r="N163" s="243">
        <f t="shared" si="11"/>
        <v>0</v>
      </c>
      <c r="O163" s="243">
        <f t="shared" si="11"/>
        <v>0</v>
      </c>
      <c r="P163" s="243">
        <f t="shared" si="11"/>
        <v>0</v>
      </c>
      <c r="Q163" s="243">
        <f t="shared" si="11"/>
        <v>0</v>
      </c>
      <c r="R163" s="243">
        <f t="shared" si="11"/>
        <v>0</v>
      </c>
      <c r="S163" s="243">
        <f t="shared" si="11"/>
        <v>0</v>
      </c>
      <c r="T163" s="243">
        <f t="shared" si="11"/>
        <v>0</v>
      </c>
      <c r="U163" s="243">
        <f t="shared" si="11"/>
        <v>0</v>
      </c>
      <c r="V163" s="243">
        <f t="shared" si="11"/>
        <v>0</v>
      </c>
      <c r="W163" s="243">
        <f t="shared" si="11"/>
        <v>0</v>
      </c>
      <c r="X163" s="243">
        <f t="shared" si="11"/>
        <v>0</v>
      </c>
      <c r="Y163" s="243">
        <f t="shared" si="11"/>
        <v>0</v>
      </c>
      <c r="Z163" s="243">
        <f t="shared" si="11"/>
        <v>0</v>
      </c>
      <c r="AA163" s="243">
        <f t="shared" si="11"/>
        <v>0</v>
      </c>
      <c r="AB163" s="243">
        <f t="shared" si="11"/>
        <v>0</v>
      </c>
      <c r="AC163" s="243">
        <f t="shared" si="11"/>
        <v>0</v>
      </c>
      <c r="AD163" s="243">
        <f t="shared" si="11"/>
        <v>0</v>
      </c>
      <c r="AE163" s="243">
        <f t="shared" si="11"/>
        <v>0</v>
      </c>
      <c r="AF163" s="243">
        <f t="shared" si="11"/>
        <v>0</v>
      </c>
      <c r="AG163" s="243">
        <f t="shared" si="11"/>
        <v>0</v>
      </c>
      <c r="AH163" s="243">
        <f t="shared" si="11"/>
        <v>0</v>
      </c>
      <c r="AI163" s="243">
        <f t="shared" si="11"/>
        <v>0</v>
      </c>
      <c r="AJ163" s="243">
        <f t="shared" si="11"/>
        <v>0</v>
      </c>
      <c r="AK163" s="243">
        <f t="shared" si="11"/>
        <v>0</v>
      </c>
      <c r="AL163" s="243">
        <f t="shared" si="11"/>
        <v>0</v>
      </c>
    </row>
    <row r="164" spans="2:40" x14ac:dyDescent="0.2">
      <c r="C164" s="379" t="s">
        <v>367</v>
      </c>
      <c r="D164" s="379"/>
      <c r="E164" s="379"/>
      <c r="F164" s="379"/>
      <c r="G164" s="379"/>
      <c r="H164" s="379"/>
      <c r="I164" s="379"/>
      <c r="J164" s="379"/>
      <c r="K164" s="379"/>
      <c r="L164" s="379"/>
      <c r="M164" s="379"/>
      <c r="N164" s="379"/>
      <c r="O164" s="379"/>
      <c r="P164" s="379"/>
      <c r="Q164" s="379"/>
      <c r="R164" s="379"/>
      <c r="S164" s="379"/>
      <c r="T164" s="379"/>
      <c r="U164" s="379"/>
      <c r="V164" s="379"/>
      <c r="W164" s="379"/>
      <c r="X164" s="379"/>
      <c r="Y164" s="379"/>
      <c r="Z164" s="379"/>
      <c r="AA164" s="379"/>
      <c r="AB164" s="379"/>
      <c r="AC164" s="379"/>
      <c r="AD164" s="379"/>
      <c r="AE164" s="379"/>
      <c r="AF164" s="379"/>
      <c r="AG164" s="379"/>
      <c r="AH164" s="379"/>
      <c r="AI164" s="379"/>
      <c r="AJ164" s="379"/>
      <c r="AK164" s="379"/>
      <c r="AL164" s="379"/>
      <c r="AM164" s="52"/>
      <c r="AN164" s="52"/>
    </row>
    <row r="168" spans="2:40" x14ac:dyDescent="0.2">
      <c r="C168" s="379" t="s">
        <v>364</v>
      </c>
      <c r="D168" s="379"/>
      <c r="E168" s="379"/>
      <c r="F168" s="379"/>
      <c r="G168" s="379"/>
      <c r="H168" s="379"/>
      <c r="I168" s="379"/>
      <c r="J168" s="379"/>
      <c r="K168" s="379"/>
      <c r="L168" s="238"/>
      <c r="M168" s="238"/>
      <c r="N168" s="238"/>
      <c r="O168" s="238"/>
      <c r="P168" s="238"/>
      <c r="Q168" s="238"/>
      <c r="R168" s="238"/>
      <c r="S168" s="238"/>
      <c r="T168" s="238"/>
      <c r="U168" s="52"/>
      <c r="V168" s="52"/>
    </row>
    <row r="171" spans="2:40" x14ac:dyDescent="0.2">
      <c r="B171" s="132" t="s">
        <v>333</v>
      </c>
      <c r="C171" s="243">
        <f t="array" ref="C171:C206">TRANSPOSE(C163:AL163)</f>
        <v>106.92660448984697</v>
      </c>
      <c r="E171" s="243">
        <f t="array" ref="E171:E206">TRANSPOSE(C140:AL140)</f>
        <v>0</v>
      </c>
      <c r="G171" s="243">
        <f t="shared" ref="G171:G206" si="12">BG83</f>
        <v>106.92660448984697</v>
      </c>
      <c r="I171" s="243">
        <f t="array" ref="I171:I206">BN83:BN118</f>
        <v>0</v>
      </c>
      <c r="K171" s="247">
        <f>C171+E171-G171-I171</f>
        <v>0</v>
      </c>
    </row>
    <row r="172" spans="2:40" x14ac:dyDescent="0.2">
      <c r="B172" s="132" t="s">
        <v>335</v>
      </c>
      <c r="C172" s="243">
        <v>121.29643829987386</v>
      </c>
      <c r="E172" s="243">
        <v>0</v>
      </c>
      <c r="G172" s="243">
        <f t="shared" si="12"/>
        <v>121.29643829987386</v>
      </c>
      <c r="I172" s="243">
        <v>0</v>
      </c>
      <c r="K172" s="247">
        <f>C172+E172-G172-I172</f>
        <v>0</v>
      </c>
    </row>
    <row r="173" spans="2:40" x14ac:dyDescent="0.2">
      <c r="B173" s="132" t="s">
        <v>336</v>
      </c>
      <c r="C173" s="243">
        <v>29640.155629634577</v>
      </c>
      <c r="E173" s="243">
        <v>0</v>
      </c>
      <c r="G173" s="243">
        <f t="shared" si="12"/>
        <v>29640.155629634577</v>
      </c>
      <c r="I173" s="243">
        <v>0</v>
      </c>
      <c r="K173" s="247">
        <f>C173+E173-G173-I173</f>
        <v>0</v>
      </c>
    </row>
    <row r="174" spans="2:40" x14ac:dyDescent="0.2">
      <c r="B174" s="132" t="s">
        <v>355</v>
      </c>
      <c r="C174" s="243">
        <v>4.1467529598807324</v>
      </c>
      <c r="E174" s="243">
        <v>0</v>
      </c>
      <c r="G174" s="243">
        <f t="shared" si="12"/>
        <v>24.88051775928432</v>
      </c>
      <c r="I174" s="243">
        <v>0</v>
      </c>
      <c r="K174" s="247">
        <f>ROUND(C174+E174-G174-I174, 10)</f>
        <v>-20.733764799399999</v>
      </c>
    </row>
    <row r="175" spans="2:40" x14ac:dyDescent="0.2">
      <c r="B175" s="132" t="s">
        <v>377</v>
      </c>
      <c r="C175" s="243">
        <v>155546.80117386283</v>
      </c>
      <c r="E175" s="243">
        <v>0</v>
      </c>
      <c r="G175" s="243">
        <f t="shared" si="12"/>
        <v>155546.80117386286</v>
      </c>
      <c r="I175" s="243">
        <v>0</v>
      </c>
      <c r="K175" s="247">
        <f t="shared" ref="K175:K206" si="13">C175+E175-G175-I175</f>
        <v>-2.9103830456733704E-11</v>
      </c>
    </row>
    <row r="176" spans="2:40" x14ac:dyDescent="0.2">
      <c r="B176" s="132" t="s">
        <v>407</v>
      </c>
      <c r="C176" s="243">
        <v>136476.81057517277</v>
      </c>
      <c r="E176" s="243">
        <v>0</v>
      </c>
      <c r="G176" s="243">
        <f t="shared" si="12"/>
        <v>136476.81057517277</v>
      </c>
      <c r="I176" s="243">
        <v>0</v>
      </c>
      <c r="K176" s="247">
        <f t="shared" si="13"/>
        <v>0</v>
      </c>
    </row>
    <row r="177" spans="2:18" x14ac:dyDescent="0.2">
      <c r="B177" s="132" t="s">
        <v>408</v>
      </c>
      <c r="C177" s="243">
        <v>46556.366885754731</v>
      </c>
      <c r="E177" s="243">
        <v>0</v>
      </c>
      <c r="G177" s="243">
        <f t="shared" si="12"/>
        <v>46556.366885754731</v>
      </c>
      <c r="I177" s="243">
        <v>0</v>
      </c>
      <c r="K177" s="247">
        <f t="shared" si="13"/>
        <v>0</v>
      </c>
    </row>
    <row r="178" spans="2:18" x14ac:dyDescent="0.2">
      <c r="B178" s="132" t="s">
        <v>411</v>
      </c>
      <c r="C178" s="243">
        <v>5923.4858380648811</v>
      </c>
      <c r="E178" s="243">
        <v>0</v>
      </c>
      <c r="G178" s="243">
        <f t="shared" si="12"/>
        <v>5923.4858380648811</v>
      </c>
      <c r="I178" s="243">
        <v>0</v>
      </c>
      <c r="K178" s="247">
        <f t="shared" si="13"/>
        <v>0</v>
      </c>
    </row>
    <row r="179" spans="2:18" x14ac:dyDescent="0.2">
      <c r="B179" s="132" t="s">
        <v>459</v>
      </c>
      <c r="C179" s="243">
        <v>1</v>
      </c>
      <c r="E179" s="243">
        <v>0</v>
      </c>
      <c r="G179" s="243">
        <f t="shared" si="12"/>
        <v>9</v>
      </c>
      <c r="I179" s="243">
        <v>0</v>
      </c>
      <c r="K179" s="247">
        <f t="shared" si="13"/>
        <v>-8</v>
      </c>
    </row>
    <row r="180" spans="2:18" ht="16" customHeight="1" x14ac:dyDescent="0.2">
      <c r="B180" s="229" t="s">
        <v>442</v>
      </c>
      <c r="C180" s="243">
        <v>0</v>
      </c>
      <c r="E180" s="243">
        <v>106.92660448984697</v>
      </c>
      <c r="G180" s="243">
        <f t="shared" si="12"/>
        <v>106.92660448984697</v>
      </c>
      <c r="I180" s="243">
        <v>0</v>
      </c>
      <c r="K180" s="247">
        <f t="shared" si="13"/>
        <v>0</v>
      </c>
    </row>
    <row r="181" spans="2:18" x14ac:dyDescent="0.2">
      <c r="B181" s="132" t="s">
        <v>409</v>
      </c>
      <c r="C181" s="243">
        <v>0</v>
      </c>
      <c r="E181" s="243">
        <v>69.671049151828498</v>
      </c>
      <c r="G181" s="243">
        <f t="shared" si="12"/>
        <v>0</v>
      </c>
      <c r="I181" s="243">
        <v>69.671049151828498</v>
      </c>
      <c r="K181" s="247">
        <f t="shared" si="13"/>
        <v>0</v>
      </c>
    </row>
    <row r="182" spans="2:18" ht="16" customHeight="1" x14ac:dyDescent="0.2">
      <c r="B182" s="229" t="s">
        <v>412</v>
      </c>
      <c r="C182" s="243">
        <v>0</v>
      </c>
      <c r="E182" s="243">
        <v>121.29643829987386</v>
      </c>
      <c r="G182" s="243">
        <f t="shared" si="12"/>
        <v>121.29643829987386</v>
      </c>
      <c r="I182" s="243">
        <v>0</v>
      </c>
      <c r="K182" s="247">
        <f t="shared" si="13"/>
        <v>0</v>
      </c>
    </row>
    <row r="183" spans="2:18" x14ac:dyDescent="0.2">
      <c r="B183" s="132" t="s">
        <v>437</v>
      </c>
      <c r="C183" s="243">
        <v>0</v>
      </c>
      <c r="E183" s="243">
        <v>69.554805547582731</v>
      </c>
      <c r="G183" s="243">
        <f t="shared" si="12"/>
        <v>0</v>
      </c>
      <c r="I183" s="243">
        <v>69.554805547582731</v>
      </c>
      <c r="K183" s="247">
        <f t="shared" si="13"/>
        <v>0</v>
      </c>
    </row>
    <row r="184" spans="2:18" x14ac:dyDescent="0.2">
      <c r="B184" s="230" t="s">
        <v>430</v>
      </c>
      <c r="C184" s="243">
        <v>0</v>
      </c>
      <c r="D184" s="52" t="s">
        <v>371</v>
      </c>
      <c r="E184" s="243">
        <v>29656.273246774046</v>
      </c>
      <c r="F184" s="52" t="s">
        <v>373</v>
      </c>
      <c r="G184" s="243">
        <f t="shared" si="12"/>
        <v>29656.273246774046</v>
      </c>
      <c r="H184" s="52" t="s">
        <v>373</v>
      </c>
      <c r="I184" s="243">
        <v>0</v>
      </c>
      <c r="J184" s="52" t="s">
        <v>374</v>
      </c>
      <c r="K184" s="247">
        <f t="shared" si="13"/>
        <v>0</v>
      </c>
    </row>
    <row r="185" spans="2:18" x14ac:dyDescent="0.2">
      <c r="B185" s="132" t="s">
        <v>416</v>
      </c>
      <c r="C185" s="243">
        <v>0</v>
      </c>
      <c r="E185" s="243">
        <v>69.671049151828498</v>
      </c>
      <c r="G185" s="243">
        <f t="shared" si="12"/>
        <v>0</v>
      </c>
      <c r="I185" s="243">
        <v>69.671049151828498</v>
      </c>
      <c r="K185" s="247">
        <f t="shared" si="13"/>
        <v>0</v>
      </c>
    </row>
    <row r="186" spans="2:18" ht="16" customHeight="1" x14ac:dyDescent="0.2">
      <c r="B186" s="229" t="s">
        <v>441</v>
      </c>
      <c r="C186" s="243">
        <v>0</v>
      </c>
      <c r="E186" s="243">
        <v>106.92660448984697</v>
      </c>
      <c r="G186" s="243">
        <f t="shared" si="12"/>
        <v>106.92660448984697</v>
      </c>
      <c r="I186" s="243">
        <v>0</v>
      </c>
      <c r="K186" s="247">
        <f t="shared" si="13"/>
        <v>0</v>
      </c>
    </row>
    <row r="187" spans="2:18" ht="16" customHeight="1" x14ac:dyDescent="0.2">
      <c r="B187" s="229" t="s">
        <v>436</v>
      </c>
      <c r="C187" s="243">
        <v>0</v>
      </c>
      <c r="E187" s="243">
        <v>121.29643829987386</v>
      </c>
      <c r="G187" s="243">
        <f t="shared" si="12"/>
        <v>121.29643829987386</v>
      </c>
      <c r="I187" s="243">
        <v>0</v>
      </c>
      <c r="K187" s="247">
        <f t="shared" si="13"/>
        <v>0</v>
      </c>
    </row>
    <row r="188" spans="2:18" ht="16" customHeight="1" x14ac:dyDescent="0.2">
      <c r="B188" s="229" t="s">
        <v>433</v>
      </c>
      <c r="C188" s="243">
        <v>0</v>
      </c>
      <c r="E188" s="243">
        <v>29656.273246774046</v>
      </c>
      <c r="G188" s="243">
        <f t="shared" si="12"/>
        <v>29656.273246774046</v>
      </c>
      <c r="I188" s="243">
        <v>0</v>
      </c>
      <c r="K188" s="247">
        <f t="shared" si="13"/>
        <v>0</v>
      </c>
    </row>
    <row r="189" spans="2:18" ht="16" customHeight="1" x14ac:dyDescent="0.2">
      <c r="B189" s="229" t="s">
        <v>439</v>
      </c>
      <c r="C189" s="243">
        <v>0</v>
      </c>
      <c r="E189" s="243">
        <v>88.071706245154459</v>
      </c>
      <c r="G189" s="243">
        <f t="shared" si="12"/>
        <v>88.071706245154459</v>
      </c>
      <c r="I189" s="243">
        <v>0</v>
      </c>
      <c r="K189" s="247">
        <f t="shared" si="13"/>
        <v>0</v>
      </c>
    </row>
    <row r="190" spans="2:18" x14ac:dyDescent="0.2">
      <c r="B190" s="230" t="s">
        <v>438</v>
      </c>
      <c r="C190" s="243">
        <v>0</v>
      </c>
      <c r="E190" s="243">
        <v>1846.0127543367071</v>
      </c>
      <c r="G190" s="243">
        <f t="shared" si="12"/>
        <v>0</v>
      </c>
      <c r="I190" s="243">
        <v>1846.0127543367071</v>
      </c>
      <c r="K190" s="247">
        <f t="shared" si="13"/>
        <v>0</v>
      </c>
    </row>
    <row r="191" spans="2:18" x14ac:dyDescent="0.2">
      <c r="B191" s="230" t="s">
        <v>424</v>
      </c>
      <c r="C191" s="243">
        <v>0</v>
      </c>
      <c r="E191" s="243">
        <v>121.29643829987386</v>
      </c>
      <c r="G191" s="243">
        <f t="shared" si="12"/>
        <v>121.29643829987386</v>
      </c>
      <c r="I191" s="243">
        <v>0</v>
      </c>
      <c r="K191" s="247">
        <f t="shared" si="13"/>
        <v>0</v>
      </c>
      <c r="N191" s="52"/>
      <c r="P191" s="52"/>
      <c r="Q191" s="52"/>
      <c r="R191" s="52"/>
    </row>
    <row r="192" spans="2:18" x14ac:dyDescent="0.2">
      <c r="B192" s="230" t="s">
        <v>456</v>
      </c>
      <c r="C192" s="243">
        <v>0</v>
      </c>
      <c r="E192" s="243">
        <v>29656.273246774046</v>
      </c>
      <c r="G192" s="243">
        <f t="shared" si="12"/>
        <v>29656.273246774046</v>
      </c>
      <c r="I192" s="243">
        <v>0</v>
      </c>
      <c r="K192" s="247">
        <f t="shared" si="13"/>
        <v>0</v>
      </c>
      <c r="N192" s="52"/>
      <c r="P192" s="52"/>
      <c r="Q192" s="52"/>
      <c r="R192" s="52"/>
    </row>
    <row r="193" spans="2:19" x14ac:dyDescent="0.2">
      <c r="B193" s="230" t="s">
        <v>425</v>
      </c>
      <c r="C193" s="243">
        <v>0</v>
      </c>
      <c r="E193" s="243">
        <v>2180.165271571077</v>
      </c>
      <c r="G193" s="243">
        <f t="shared" si="12"/>
        <v>2180.165271571077</v>
      </c>
      <c r="I193" s="243">
        <v>0</v>
      </c>
      <c r="K193" s="247">
        <f t="shared" si="13"/>
        <v>0</v>
      </c>
      <c r="N193" s="52"/>
      <c r="P193" s="52"/>
      <c r="Q193" s="52"/>
      <c r="R193" s="52"/>
    </row>
    <row r="194" spans="2:19" x14ac:dyDescent="0.2">
      <c r="B194" s="230" t="s">
        <v>427</v>
      </c>
      <c r="C194" s="243">
        <v>0</v>
      </c>
      <c r="E194" s="243">
        <v>1552.5848294479019</v>
      </c>
      <c r="G194" s="243">
        <f t="shared" si="12"/>
        <v>0</v>
      </c>
      <c r="I194" s="243">
        <v>1552.5848294479019</v>
      </c>
      <c r="K194" s="247">
        <f t="shared" si="13"/>
        <v>0</v>
      </c>
      <c r="N194" s="52"/>
      <c r="P194" s="52"/>
      <c r="Q194" s="52"/>
      <c r="R194" s="52"/>
    </row>
    <row r="195" spans="2:19" x14ac:dyDescent="0.2">
      <c r="B195" s="230" t="s">
        <v>426</v>
      </c>
      <c r="C195" s="243">
        <v>0</v>
      </c>
      <c r="E195" s="243">
        <v>112.62680948523239</v>
      </c>
      <c r="G195" s="243">
        <f t="shared" si="12"/>
        <v>0</v>
      </c>
      <c r="I195" s="243">
        <v>112.62680948523239</v>
      </c>
      <c r="K195" s="247">
        <f t="shared" si="13"/>
        <v>0</v>
      </c>
      <c r="N195" s="52"/>
      <c r="P195" s="52"/>
      <c r="Q195" s="52"/>
      <c r="R195" s="52"/>
    </row>
    <row r="196" spans="2:19" x14ac:dyDescent="0.2">
      <c r="B196" s="230" t="s">
        <v>484</v>
      </c>
      <c r="C196" s="243">
        <v>0</v>
      </c>
      <c r="E196" s="243">
        <v>31524.473169734149</v>
      </c>
      <c r="G196" s="243">
        <f t="shared" si="12"/>
        <v>31524.473169734149</v>
      </c>
      <c r="I196" s="243">
        <v>0</v>
      </c>
      <c r="K196" s="247">
        <f t="shared" si="13"/>
        <v>0</v>
      </c>
    </row>
    <row r="197" spans="2:19" ht="16" customHeight="1" x14ac:dyDescent="0.2">
      <c r="B197" s="244" t="s">
        <v>422</v>
      </c>
      <c r="C197" s="243">
        <v>0</v>
      </c>
      <c r="E197" s="243">
        <v>87336.121293783799</v>
      </c>
      <c r="G197" s="243">
        <f t="shared" si="12"/>
        <v>87336.121293783799</v>
      </c>
      <c r="I197" s="243">
        <v>0</v>
      </c>
      <c r="K197" s="247">
        <f t="shared" si="13"/>
        <v>0</v>
      </c>
    </row>
    <row r="198" spans="2:19" ht="16" customHeight="1" x14ac:dyDescent="0.2">
      <c r="B198" s="244" t="s">
        <v>552</v>
      </c>
      <c r="C198" s="243">
        <v>0</v>
      </c>
      <c r="E198" s="243">
        <v>39838.590959214969</v>
      </c>
      <c r="G198" s="243">
        <f t="shared" si="12"/>
        <v>0</v>
      </c>
      <c r="I198" s="243">
        <v>39838.590959214969</v>
      </c>
      <c r="K198" s="247">
        <f t="shared" si="13"/>
        <v>0</v>
      </c>
    </row>
    <row r="199" spans="2:19" x14ac:dyDescent="0.2">
      <c r="B199" s="230" t="s">
        <v>421</v>
      </c>
      <c r="C199" s="243">
        <v>0</v>
      </c>
      <c r="E199" s="243">
        <v>356.05862487012041</v>
      </c>
      <c r="G199" s="243">
        <f t="shared" si="12"/>
        <v>0</v>
      </c>
      <c r="I199" s="243">
        <v>356.05862487012041</v>
      </c>
      <c r="K199" s="247">
        <f t="shared" si="13"/>
        <v>0</v>
      </c>
      <c r="L199" s="52"/>
    </row>
    <row r="200" spans="2:19" x14ac:dyDescent="0.2">
      <c r="B200" s="132" t="s">
        <v>423</v>
      </c>
      <c r="C200" s="243">
        <v>0</v>
      </c>
      <c r="E200" s="243">
        <v>82.129945880443643</v>
      </c>
      <c r="G200" s="243">
        <f t="shared" si="12"/>
        <v>0</v>
      </c>
      <c r="I200" s="243">
        <v>82.129945880443643</v>
      </c>
      <c r="K200" s="247">
        <f t="shared" si="13"/>
        <v>0</v>
      </c>
    </row>
    <row r="201" spans="2:19" x14ac:dyDescent="0.2">
      <c r="B201" s="230" t="s">
        <v>515</v>
      </c>
      <c r="C201" s="243">
        <v>0</v>
      </c>
      <c r="E201" s="243">
        <v>87708.990277872479</v>
      </c>
      <c r="G201" s="243">
        <f t="shared" si="12"/>
        <v>87708.990277872479</v>
      </c>
      <c r="I201" s="243">
        <v>0</v>
      </c>
      <c r="K201" s="247">
        <f t="shared" si="13"/>
        <v>0</v>
      </c>
    </row>
    <row r="202" spans="2:19" x14ac:dyDescent="0.2">
      <c r="B202" s="230" t="s">
        <v>517</v>
      </c>
      <c r="C202" s="243">
        <v>0</v>
      </c>
      <c r="E202" s="243">
        <v>87708.990277872479</v>
      </c>
      <c r="G202" s="243">
        <f t="shared" si="12"/>
        <v>87708.99027787245</v>
      </c>
      <c r="I202" s="243">
        <v>87708.990277872479</v>
      </c>
      <c r="K202" s="247">
        <f t="shared" si="13"/>
        <v>-87708.99027787245</v>
      </c>
    </row>
    <row r="203" spans="2:19" x14ac:dyDescent="0.2">
      <c r="B203" s="230" t="s">
        <v>445</v>
      </c>
      <c r="C203" s="243">
        <v>0</v>
      </c>
      <c r="E203" s="243">
        <v>5085.687305415624</v>
      </c>
      <c r="G203" s="243">
        <f t="shared" si="12"/>
        <v>5085.687305415624</v>
      </c>
      <c r="I203" s="243">
        <v>0</v>
      </c>
      <c r="K203" s="247">
        <f t="shared" si="13"/>
        <v>0</v>
      </c>
      <c r="P203" s="238"/>
      <c r="Q203" s="238"/>
      <c r="R203" s="238"/>
      <c r="S203" s="238"/>
    </row>
    <row r="204" spans="2:19" x14ac:dyDescent="0.2">
      <c r="B204" s="230" t="s">
        <v>446</v>
      </c>
      <c r="C204" s="243">
        <v>0</v>
      </c>
      <c r="E204" s="243">
        <v>6747.2468439430568</v>
      </c>
      <c r="G204" s="243">
        <f t="shared" si="12"/>
        <v>0</v>
      </c>
      <c r="I204" s="243">
        <v>6747.2468439430568</v>
      </c>
      <c r="K204" s="247">
        <f t="shared" si="13"/>
        <v>0</v>
      </c>
    </row>
    <row r="205" spans="2:19" x14ac:dyDescent="0.2">
      <c r="B205" s="230" t="s">
        <v>447</v>
      </c>
      <c r="C205" s="243">
        <v>0</v>
      </c>
      <c r="E205" s="243">
        <v>118.8058957677511</v>
      </c>
      <c r="G205" s="243">
        <f t="shared" si="12"/>
        <v>0</v>
      </c>
      <c r="I205" s="243">
        <v>118.8058957677511</v>
      </c>
      <c r="K205" s="247">
        <f t="shared" si="13"/>
        <v>0</v>
      </c>
    </row>
    <row r="206" spans="2:19" x14ac:dyDescent="0.2">
      <c r="B206" s="230" t="s">
        <v>457</v>
      </c>
      <c r="C206" s="243">
        <v>0</v>
      </c>
      <c r="E206" s="243">
        <v>295.17680956804259</v>
      </c>
      <c r="G206" s="243">
        <f t="shared" si="12"/>
        <v>0</v>
      </c>
      <c r="I206" s="243">
        <v>295.17680956804259</v>
      </c>
      <c r="K206" s="247">
        <f t="shared" si="13"/>
        <v>0</v>
      </c>
    </row>
    <row r="207" spans="2:19" ht="17" customHeight="1" x14ac:dyDescent="0.2">
      <c r="B207" s="230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-87737.724042671878</v>
      </c>
    </row>
    <row r="208" spans="2:19" x14ac:dyDescent="0.2">
      <c r="B208" s="230"/>
      <c r="G208" s="52"/>
      <c r="I208" s="52"/>
    </row>
    <row r="209" spans="2:15" x14ac:dyDescent="0.2">
      <c r="B209" s="230"/>
    </row>
    <row r="210" spans="2:15" x14ac:dyDescent="0.2">
      <c r="B210" s="230"/>
      <c r="L210" s="238"/>
      <c r="M210" s="238"/>
    </row>
    <row r="211" spans="2:15" x14ac:dyDescent="0.2">
      <c r="B211" s="230"/>
    </row>
    <row r="214" spans="2:15" x14ac:dyDescent="0.2">
      <c r="N214" s="238"/>
      <c r="O214" s="238"/>
    </row>
    <row r="217" spans="2:15" x14ac:dyDescent="0.2">
      <c r="H217" s="238"/>
      <c r="I217" s="238"/>
      <c r="J217" s="238"/>
      <c r="K217" s="238"/>
    </row>
    <row r="235" spans="8:11" x14ac:dyDescent="0.2">
      <c r="H235" s="52"/>
      <c r="I235" s="52"/>
      <c r="J235" s="52"/>
      <c r="K235" s="52"/>
    </row>
  </sheetData>
  <mergeCells count="12">
    <mergeCell ref="C168:K168"/>
    <mergeCell ref="AR38:BF38"/>
    <mergeCell ref="BL38:BY38"/>
    <mergeCell ref="AR78:BF78"/>
    <mergeCell ref="AR119:BF119"/>
    <mergeCell ref="BL119:BM119"/>
    <mergeCell ref="AR121:BF121"/>
    <mergeCell ref="C122:D122"/>
    <mergeCell ref="C139:AL139"/>
    <mergeCell ref="C141:AL141"/>
    <mergeCell ref="C162:AL162"/>
    <mergeCell ref="C164:AL164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116" zoomScale="75" workbookViewId="0">
      <selection activeCell="A152" sqref="A152:A160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1" t="s">
        <v>566</v>
      </c>
      <c r="AQ1" s="245"/>
      <c r="AR1" s="231" t="s">
        <v>325</v>
      </c>
      <c r="AS1" s="231" t="s">
        <v>326</v>
      </c>
      <c r="AT1" s="231" t="s">
        <v>327</v>
      </c>
      <c r="AU1" s="231" t="s">
        <v>455</v>
      </c>
      <c r="AV1" s="231" t="s">
        <v>435</v>
      </c>
      <c r="AW1" s="231" t="s">
        <v>434</v>
      </c>
      <c r="AX1" s="231" t="s">
        <v>351</v>
      </c>
      <c r="AY1" s="231" t="s">
        <v>348</v>
      </c>
      <c r="AZ1" s="231" t="s">
        <v>362</v>
      </c>
      <c r="BA1" s="231" t="s">
        <v>349</v>
      </c>
      <c r="BB1" s="231" t="s">
        <v>344</v>
      </c>
      <c r="BC1" s="231" t="s">
        <v>514</v>
      </c>
      <c r="BD1" s="231" t="s">
        <v>516</v>
      </c>
      <c r="BE1" s="231" t="s">
        <v>76</v>
      </c>
      <c r="BF1" s="231" t="s">
        <v>337</v>
      </c>
      <c r="BK1" s="245"/>
      <c r="BL1" s="231" t="s">
        <v>325</v>
      </c>
      <c r="BM1" s="231" t="s">
        <v>326</v>
      </c>
      <c r="BN1" s="231" t="s">
        <v>327</v>
      </c>
      <c r="BO1" s="231" t="s">
        <v>455</v>
      </c>
      <c r="BP1" s="231" t="s">
        <v>435</v>
      </c>
      <c r="BQ1" s="231" t="s">
        <v>434</v>
      </c>
      <c r="BR1" s="231" t="s">
        <v>351</v>
      </c>
      <c r="BS1" s="231" t="s">
        <v>348</v>
      </c>
      <c r="BT1" s="231" t="s">
        <v>362</v>
      </c>
      <c r="BU1" s="231" t="s">
        <v>349</v>
      </c>
      <c r="BV1" s="231" t="s">
        <v>344</v>
      </c>
      <c r="BW1" s="231" t="s">
        <v>514</v>
      </c>
      <c r="BX1" s="231" t="s">
        <v>516</v>
      </c>
      <c r="BY1" s="231" t="s">
        <v>76</v>
      </c>
      <c r="BZ1" s="231" t="s">
        <v>337</v>
      </c>
    </row>
    <row r="2" spans="2:78" x14ac:dyDescent="0.2">
      <c r="B2" s="132" t="s">
        <v>333</v>
      </c>
      <c r="C2" s="246">
        <v>1</v>
      </c>
      <c r="AQ2" s="132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32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</row>
    <row r="3" spans="2:78" x14ac:dyDescent="0.2">
      <c r="B3" s="132" t="s">
        <v>335</v>
      </c>
      <c r="C3" s="246">
        <v>1</v>
      </c>
      <c r="AQ3" s="132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32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</row>
    <row r="4" spans="2:78" x14ac:dyDescent="0.2">
      <c r="B4" s="132" t="s">
        <v>336</v>
      </c>
      <c r="C4" s="246">
        <v>1</v>
      </c>
      <c r="AQ4" s="132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32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</row>
    <row r="5" spans="2:78" x14ac:dyDescent="0.2">
      <c r="B5" s="132" t="s">
        <v>355</v>
      </c>
      <c r="C5" s="246">
        <v>1</v>
      </c>
      <c r="AQ5" s="132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32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</row>
    <row r="6" spans="2:78" x14ac:dyDescent="0.2">
      <c r="B6" s="132" t="s">
        <v>377</v>
      </c>
      <c r="C6" s="246">
        <v>1</v>
      </c>
      <c r="AQ6" s="132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32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</row>
    <row r="7" spans="2:78" x14ac:dyDescent="0.2">
      <c r="B7" s="132" t="s">
        <v>466</v>
      </c>
      <c r="C7" s="246">
        <v>1</v>
      </c>
      <c r="AQ7" s="132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32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</row>
    <row r="8" spans="2:78" x14ac:dyDescent="0.2">
      <c r="B8" s="132" t="s">
        <v>467</v>
      </c>
      <c r="C8" s="246">
        <v>1</v>
      </c>
      <c r="AQ8" s="132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32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</row>
    <row r="9" spans="2:78" x14ac:dyDescent="0.2">
      <c r="B9" s="132" t="s">
        <v>411</v>
      </c>
      <c r="C9" s="246">
        <v>1</v>
      </c>
      <c r="AQ9" s="132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32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</row>
    <row r="10" spans="2:78" x14ac:dyDescent="0.2">
      <c r="B10" s="132" t="s">
        <v>459</v>
      </c>
      <c r="C10" s="246">
        <v>1</v>
      </c>
      <c r="AQ10" s="132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32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</row>
    <row r="11" spans="2:78" ht="16" customHeight="1" x14ac:dyDescent="0.2">
      <c r="B11" s="229" t="s">
        <v>442</v>
      </c>
      <c r="C11" s="246">
        <v>1</v>
      </c>
      <c r="AQ11" s="229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229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</row>
    <row r="12" spans="2:78" x14ac:dyDescent="0.2">
      <c r="B12" s="132" t="s">
        <v>409</v>
      </c>
      <c r="C12" s="246">
        <v>1</v>
      </c>
      <c r="AQ12" s="132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32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</row>
    <row r="13" spans="2:78" ht="16" customHeight="1" x14ac:dyDescent="0.2">
      <c r="B13" s="229" t="s">
        <v>412</v>
      </c>
      <c r="C13" s="246">
        <v>1</v>
      </c>
      <c r="AQ13" s="229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229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</row>
    <row r="14" spans="2:78" x14ac:dyDescent="0.2">
      <c r="B14" s="132" t="s">
        <v>437</v>
      </c>
      <c r="C14" s="246">
        <v>1</v>
      </c>
      <c r="AQ14" s="132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32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</row>
    <row r="15" spans="2:78" x14ac:dyDescent="0.2">
      <c r="B15" s="230" t="s">
        <v>430</v>
      </c>
      <c r="C15" s="246">
        <v>1</v>
      </c>
      <c r="AQ15" s="230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230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</row>
    <row r="16" spans="2:78" x14ac:dyDescent="0.2">
      <c r="B16" s="132" t="s">
        <v>416</v>
      </c>
      <c r="C16" s="246">
        <v>1</v>
      </c>
      <c r="AQ16" s="132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32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</row>
    <row r="17" spans="2:78" ht="16" customHeight="1" x14ac:dyDescent="0.2">
      <c r="B17" s="229" t="s">
        <v>441</v>
      </c>
      <c r="C17" s="246">
        <v>1</v>
      </c>
      <c r="AQ17" s="229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229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</row>
    <row r="18" spans="2:78" ht="16" customHeight="1" x14ac:dyDescent="0.2">
      <c r="B18" s="229" t="s">
        <v>436</v>
      </c>
      <c r="C18" s="246">
        <v>1</v>
      </c>
      <c r="AQ18" s="229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229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</row>
    <row r="19" spans="2:78" ht="16" customHeight="1" x14ac:dyDescent="0.2">
      <c r="B19" s="229" t="s">
        <v>433</v>
      </c>
      <c r="C19" s="246">
        <v>1</v>
      </c>
      <c r="AQ19" s="229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229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</row>
    <row r="20" spans="2:78" ht="16" customHeight="1" x14ac:dyDescent="0.2">
      <c r="B20" s="229" t="s">
        <v>439</v>
      </c>
      <c r="C20" s="246">
        <v>1</v>
      </c>
      <c r="AQ20" s="229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229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</row>
    <row r="21" spans="2:78" x14ac:dyDescent="0.2">
      <c r="B21" s="230" t="s">
        <v>438</v>
      </c>
      <c r="C21" s="246">
        <v>1</v>
      </c>
      <c r="AQ21" s="230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230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</row>
    <row r="22" spans="2:78" x14ac:dyDescent="0.2">
      <c r="B22" s="230" t="s">
        <v>424</v>
      </c>
      <c r="C22" s="246">
        <v>1</v>
      </c>
      <c r="AQ22" s="230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230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</row>
    <row r="23" spans="2:78" x14ac:dyDescent="0.2">
      <c r="B23" s="230" t="s">
        <v>456</v>
      </c>
      <c r="C23" s="246">
        <v>1</v>
      </c>
      <c r="AQ23" s="230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230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</row>
    <row r="24" spans="2:78" x14ac:dyDescent="0.2">
      <c r="B24" s="230" t="s">
        <v>425</v>
      </c>
      <c r="C24" s="246">
        <v>1</v>
      </c>
      <c r="AQ24" s="230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230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</row>
    <row r="25" spans="2:78" x14ac:dyDescent="0.2">
      <c r="B25" s="230" t="s">
        <v>427</v>
      </c>
      <c r="C25" s="246">
        <v>1</v>
      </c>
      <c r="AQ25" s="230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230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</row>
    <row r="26" spans="2:78" x14ac:dyDescent="0.2">
      <c r="B26" s="230" t="s">
        <v>426</v>
      </c>
      <c r="C26" s="246">
        <v>1</v>
      </c>
      <c r="AQ26" s="230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230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</row>
    <row r="27" spans="2:78" x14ac:dyDescent="0.2">
      <c r="B27" s="230" t="s">
        <v>484</v>
      </c>
      <c r="C27" s="246">
        <v>1</v>
      </c>
      <c r="AQ27" s="230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230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</row>
    <row r="28" spans="2:78" ht="16" customHeight="1" x14ac:dyDescent="0.2">
      <c r="B28" s="244" t="s">
        <v>422</v>
      </c>
      <c r="C28" s="246">
        <v>1</v>
      </c>
      <c r="AQ28" s="244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44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</row>
    <row r="29" spans="2:78" ht="16" customHeight="1" x14ac:dyDescent="0.2">
      <c r="B29" s="244" t="s">
        <v>552</v>
      </c>
      <c r="C29" s="246">
        <v>1</v>
      </c>
      <c r="AQ29" s="244" t="s">
        <v>552</v>
      </c>
      <c r="AR29" s="246">
        <v>0</v>
      </c>
      <c r="AS29" s="246">
        <v>0</v>
      </c>
      <c r="AT29" s="246">
        <v>0</v>
      </c>
      <c r="AU29" s="246">
        <v>0</v>
      </c>
      <c r="AV29" s="246">
        <v>0</v>
      </c>
      <c r="AW29" s="246">
        <v>0</v>
      </c>
      <c r="AX29" s="246">
        <v>0</v>
      </c>
      <c r="AY29" s="246">
        <v>0</v>
      </c>
      <c r="AZ29" s="246">
        <v>0</v>
      </c>
      <c r="BA29" s="246">
        <v>0</v>
      </c>
      <c r="BB29" s="246">
        <v>0</v>
      </c>
      <c r="BC29" s="246">
        <v>0</v>
      </c>
      <c r="BD29" s="246">
        <v>0</v>
      </c>
      <c r="BE29" s="246">
        <v>0</v>
      </c>
      <c r="BF29" s="246">
        <v>0</v>
      </c>
      <c r="BK29" s="244" t="s">
        <v>552</v>
      </c>
      <c r="BL29" s="246">
        <v>0</v>
      </c>
      <c r="BM29" s="246">
        <v>0</v>
      </c>
      <c r="BN29" s="246">
        <v>0</v>
      </c>
      <c r="BO29" s="246">
        <v>0</v>
      </c>
      <c r="BP29" s="246">
        <v>0</v>
      </c>
      <c r="BQ29" s="246">
        <v>0</v>
      </c>
      <c r="BR29" s="246">
        <v>0</v>
      </c>
      <c r="BS29" s="246">
        <v>0</v>
      </c>
      <c r="BT29" s="246">
        <v>0</v>
      </c>
      <c r="BU29" s="246">
        <v>0</v>
      </c>
      <c r="BV29" s="246">
        <v>0</v>
      </c>
      <c r="BW29" s="246">
        <v>0</v>
      </c>
      <c r="BX29" s="246">
        <v>0</v>
      </c>
      <c r="BY29" s="246">
        <v>0</v>
      </c>
      <c r="BZ29" s="246">
        <v>0</v>
      </c>
    </row>
    <row r="30" spans="2:78" x14ac:dyDescent="0.2">
      <c r="B30" s="230" t="s">
        <v>421</v>
      </c>
      <c r="C30" s="246">
        <v>1</v>
      </c>
      <c r="AQ30" s="230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230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</row>
    <row r="31" spans="2:78" x14ac:dyDescent="0.2">
      <c r="B31" s="132" t="s">
        <v>423</v>
      </c>
      <c r="C31" s="246">
        <v>1</v>
      </c>
      <c r="AQ31" s="132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32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</row>
    <row r="32" spans="2:78" x14ac:dyDescent="0.2">
      <c r="B32" s="230" t="s">
        <v>515</v>
      </c>
      <c r="C32" s="246">
        <v>1</v>
      </c>
      <c r="AQ32" s="230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230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</row>
    <row r="33" spans="2:78" x14ac:dyDescent="0.2">
      <c r="B33" s="230" t="s">
        <v>517</v>
      </c>
      <c r="C33" s="246">
        <v>1</v>
      </c>
      <c r="AQ33" s="230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230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</row>
    <row r="34" spans="2:78" x14ac:dyDescent="0.2">
      <c r="B34" s="230" t="s">
        <v>445</v>
      </c>
      <c r="C34" s="246">
        <v>1</v>
      </c>
      <c r="AQ34" s="230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230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</row>
    <row r="35" spans="2:78" x14ac:dyDescent="0.2">
      <c r="B35" s="230" t="s">
        <v>446</v>
      </c>
      <c r="C35" s="246">
        <v>1</v>
      </c>
      <c r="AQ35" s="230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230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</row>
    <row r="36" spans="2:78" x14ac:dyDescent="0.2">
      <c r="B36" s="230" t="s">
        <v>447</v>
      </c>
      <c r="C36" s="246">
        <v>1</v>
      </c>
      <c r="AQ36" s="230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230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</row>
    <row r="37" spans="2:78" x14ac:dyDescent="0.2">
      <c r="B37" s="230" t="s">
        <v>457</v>
      </c>
      <c r="C37" s="246">
        <v>1</v>
      </c>
      <c r="AQ37" s="230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230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</row>
    <row r="38" spans="2:78" x14ac:dyDescent="0.2">
      <c r="C38" s="52" t="s">
        <v>473</v>
      </c>
      <c r="AQ38" s="230"/>
      <c r="AR38" s="379" t="s">
        <v>470</v>
      </c>
      <c r="AS38" s="379"/>
      <c r="AT38" s="379"/>
      <c r="AU38" s="379"/>
      <c r="AV38" s="379"/>
      <c r="AW38" s="379"/>
      <c r="AX38" s="379"/>
      <c r="AY38" s="379"/>
      <c r="AZ38" s="379"/>
      <c r="BA38" s="379"/>
      <c r="BB38" s="379"/>
      <c r="BC38" s="379"/>
      <c r="BD38" s="379"/>
      <c r="BE38" s="379"/>
      <c r="BF38" s="379"/>
      <c r="BK38" s="230"/>
      <c r="BL38" s="379" t="s">
        <v>471</v>
      </c>
      <c r="BM38" s="379"/>
      <c r="BN38" s="379"/>
      <c r="BO38" s="379"/>
      <c r="BP38" s="379"/>
      <c r="BQ38" s="379"/>
      <c r="BR38" s="379"/>
      <c r="BS38" s="379"/>
      <c r="BT38" s="379"/>
      <c r="BU38" s="379"/>
      <c r="BV38" s="379"/>
      <c r="BW38" s="379"/>
      <c r="BX38" s="379"/>
      <c r="BY38" s="379"/>
      <c r="BZ38" s="379"/>
    </row>
    <row r="39" spans="2:78" x14ac:dyDescent="0.2">
      <c r="AQ39" s="230"/>
      <c r="BK39" s="230"/>
    </row>
    <row r="40" spans="2:78" x14ac:dyDescent="0.2">
      <c r="AQ40" s="230"/>
    </row>
    <row r="41" spans="2:78" ht="112" customHeight="1" x14ac:dyDescent="0.2">
      <c r="AQ41" s="245"/>
      <c r="AR41" s="231" t="s">
        <v>325</v>
      </c>
      <c r="AS41" s="231" t="s">
        <v>326</v>
      </c>
      <c r="AT41" s="231" t="s">
        <v>327</v>
      </c>
      <c r="AU41" s="231" t="s">
        <v>455</v>
      </c>
      <c r="AV41" s="231" t="s">
        <v>435</v>
      </c>
      <c r="AW41" s="231" t="s">
        <v>434</v>
      </c>
      <c r="AX41" s="231" t="s">
        <v>351</v>
      </c>
      <c r="AY41" s="231" t="s">
        <v>348</v>
      </c>
      <c r="AZ41" s="231" t="s">
        <v>362</v>
      </c>
      <c r="BA41" s="231" t="s">
        <v>349</v>
      </c>
      <c r="BB41" s="231" t="s">
        <v>344</v>
      </c>
      <c r="BC41" s="231" t="s">
        <v>514</v>
      </c>
      <c r="BD41" s="231" t="s">
        <v>516</v>
      </c>
      <c r="BE41" s="231" t="s">
        <v>76</v>
      </c>
      <c r="BF41" s="231" t="s">
        <v>337</v>
      </c>
    </row>
    <row r="42" spans="2:78" x14ac:dyDescent="0.2">
      <c r="AQ42" s="132" t="s">
        <v>333</v>
      </c>
      <c r="AR42" s="246">
        <f>AR83</f>
        <v>-854.87945690887818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8" x14ac:dyDescent="0.2">
      <c r="AQ43" s="132" t="s">
        <v>335</v>
      </c>
      <c r="AR43" s="246">
        <f t="shared" ref="AR43:BF68" si="1">AR84</f>
        <v>0</v>
      </c>
      <c r="AS43" s="246">
        <f t="shared" si="1"/>
        <v>-1201.0257495724293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si="1"/>
        <v>0</v>
      </c>
      <c r="BA43" s="246">
        <f t="shared" si="1"/>
        <v>0</v>
      </c>
      <c r="BB43" s="246">
        <f t="shared" si="1"/>
        <v>0</v>
      </c>
      <c r="BC43" s="246">
        <f t="shared" si="1"/>
        <v>0</v>
      </c>
      <c r="BD43" s="246">
        <f t="shared" si="1"/>
        <v>0</v>
      </c>
      <c r="BE43" s="246">
        <f t="shared" si="1"/>
        <v>0</v>
      </c>
      <c r="BF43" s="246">
        <f t="shared" si="1"/>
        <v>0</v>
      </c>
    </row>
    <row r="44" spans="2:78" x14ac:dyDescent="0.2">
      <c r="AQ44" s="132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25028853.3010469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si="1"/>
        <v>0</v>
      </c>
      <c r="BA44" s="246">
        <f t="shared" si="1"/>
        <v>0</v>
      </c>
      <c r="BB44" s="246">
        <f t="shared" si="1"/>
        <v>0</v>
      </c>
      <c r="BC44" s="246">
        <f t="shared" si="1"/>
        <v>0</v>
      </c>
      <c r="BD44" s="246">
        <f t="shared" si="1"/>
        <v>0</v>
      </c>
      <c r="BE44" s="246">
        <f t="shared" si="1"/>
        <v>0</v>
      </c>
      <c r="BF44" s="246">
        <f t="shared" si="1"/>
        <v>0</v>
      </c>
    </row>
    <row r="45" spans="2:78" x14ac:dyDescent="0.2">
      <c r="AQ45" s="132" t="s">
        <v>355</v>
      </c>
      <c r="AR45" s="246">
        <f t="shared" si="1"/>
        <v>0</v>
      </c>
      <c r="AS45" s="246">
        <f t="shared" si="1"/>
        <v>0</v>
      </c>
      <c r="AT45" s="246">
        <f t="shared" si="1"/>
        <v>0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si="1"/>
        <v>0</v>
      </c>
      <c r="BA45" s="246">
        <f t="shared" si="1"/>
        <v>0</v>
      </c>
      <c r="BB45" s="246">
        <f t="shared" si="1"/>
        <v>0</v>
      </c>
      <c r="BC45" s="246">
        <f t="shared" si="1"/>
        <v>0</v>
      </c>
      <c r="BD45" s="246">
        <f t="shared" si="1"/>
        <v>0</v>
      </c>
      <c r="BE45" s="246">
        <f t="shared" si="1"/>
        <v>0</v>
      </c>
      <c r="BF45" s="246">
        <f t="shared" si="1"/>
        <v>0</v>
      </c>
    </row>
    <row r="46" spans="2:78" x14ac:dyDescent="0.2">
      <c r="AQ46" s="132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si="1"/>
        <v>0</v>
      </c>
      <c r="BA46" s="246">
        <f t="shared" si="1"/>
        <v>-74.599999999999994</v>
      </c>
      <c r="BB46" s="246">
        <f t="shared" si="1"/>
        <v>-74.599999999999994</v>
      </c>
      <c r="BC46" s="246">
        <f t="shared" si="1"/>
        <v>0</v>
      </c>
      <c r="BD46" s="246">
        <f t="shared" si="1"/>
        <v>0</v>
      </c>
      <c r="BE46" s="246">
        <f t="shared" si="1"/>
        <v>0</v>
      </c>
      <c r="BF46" s="246">
        <f t="shared" si="1"/>
        <v>-74.599999999999994</v>
      </c>
    </row>
    <row r="47" spans="2:78" x14ac:dyDescent="0.2">
      <c r="AQ47" s="132" t="s">
        <v>466</v>
      </c>
      <c r="AR47" s="246">
        <f t="shared" si="1"/>
        <v>7127.6028120000001</v>
      </c>
      <c r="AS47" s="246">
        <f t="shared" si="1"/>
        <v>7127.6028120000001</v>
      </c>
      <c r="AT47" s="246">
        <f t="shared" si="1"/>
        <v>7127.6028120000001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si="1"/>
        <v>0</v>
      </c>
      <c r="BA47" s="246">
        <f t="shared" si="1"/>
        <v>0</v>
      </c>
      <c r="BB47" s="246">
        <f t="shared" si="1"/>
        <v>0</v>
      </c>
      <c r="BC47" s="246">
        <f t="shared" si="1"/>
        <v>0</v>
      </c>
      <c r="BD47" s="246">
        <f t="shared" si="1"/>
        <v>0</v>
      </c>
      <c r="BE47" s="246">
        <f t="shared" si="1"/>
        <v>0</v>
      </c>
      <c r="BF47" s="246">
        <f t="shared" si="1"/>
        <v>0</v>
      </c>
    </row>
    <row r="48" spans="2:78" x14ac:dyDescent="0.2">
      <c r="AQ48" s="132" t="s">
        <v>467</v>
      </c>
      <c r="AR48" s="246">
        <f t="shared" si="1"/>
        <v>0</v>
      </c>
      <c r="AS48" s="246">
        <f t="shared" si="1"/>
        <v>-250.1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si="1"/>
        <v>0</v>
      </c>
      <c r="BA48" s="246">
        <f t="shared" si="1"/>
        <v>0</v>
      </c>
      <c r="BB48" s="246">
        <f t="shared" si="1"/>
        <v>0</v>
      </c>
      <c r="BC48" s="246">
        <f t="shared" si="1"/>
        <v>0</v>
      </c>
      <c r="BD48" s="246">
        <f t="shared" si="1"/>
        <v>0</v>
      </c>
      <c r="BE48" s="246">
        <f t="shared" si="1"/>
        <v>0</v>
      </c>
      <c r="BF48" s="246">
        <f t="shared" si="1"/>
        <v>0</v>
      </c>
    </row>
    <row r="49" spans="43:58" x14ac:dyDescent="0.2">
      <c r="AQ49" s="132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si="1"/>
        <v>0</v>
      </c>
      <c r="BA49" s="246">
        <f t="shared" si="1"/>
        <v>0</v>
      </c>
      <c r="BB49" s="246">
        <f t="shared" si="1"/>
        <v>0</v>
      </c>
      <c r="BC49" s="246">
        <f t="shared" si="1"/>
        <v>0</v>
      </c>
      <c r="BD49" s="246">
        <f t="shared" si="1"/>
        <v>0</v>
      </c>
      <c r="BE49" s="246">
        <f t="shared" si="1"/>
        <v>0</v>
      </c>
      <c r="BF49" s="246">
        <f t="shared" si="1"/>
        <v>5540.6175999999996</v>
      </c>
    </row>
    <row r="50" spans="43:58" x14ac:dyDescent="0.2">
      <c r="AQ50" s="132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si="1"/>
        <v>0</v>
      </c>
      <c r="BA50" s="246">
        <f t="shared" si="1"/>
        <v>0</v>
      </c>
      <c r="BB50" s="246">
        <f t="shared" si="1"/>
        <v>0</v>
      </c>
      <c r="BC50" s="246">
        <f t="shared" si="1"/>
        <v>0</v>
      </c>
      <c r="BD50" s="246">
        <f t="shared" si="1"/>
        <v>0</v>
      </c>
      <c r="BE50" s="246">
        <f t="shared" si="1"/>
        <v>0</v>
      </c>
      <c r="BF50" s="246">
        <f t="shared" si="1"/>
        <v>0</v>
      </c>
    </row>
    <row r="51" spans="43:58" ht="16" customHeight="1" x14ac:dyDescent="0.2">
      <c r="AQ51" s="229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-854.87945690887818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si="1"/>
        <v>0</v>
      </c>
      <c r="BA51" s="246">
        <f t="shared" si="1"/>
        <v>0</v>
      </c>
      <c r="BB51" s="246">
        <f t="shared" si="1"/>
        <v>0</v>
      </c>
      <c r="BC51" s="246">
        <f t="shared" si="1"/>
        <v>0</v>
      </c>
      <c r="BD51" s="246">
        <f t="shared" si="1"/>
        <v>0</v>
      </c>
      <c r="BE51" s="246">
        <f t="shared" si="1"/>
        <v>0</v>
      </c>
      <c r="BF51" s="246">
        <f t="shared" si="1"/>
        <v>0</v>
      </c>
    </row>
    <row r="52" spans="43:58" x14ac:dyDescent="0.2">
      <c r="AQ52" s="132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si="1"/>
        <v>0</v>
      </c>
      <c r="BA52" s="246">
        <f t="shared" si="1"/>
        <v>0</v>
      </c>
      <c r="BB52" s="246">
        <f t="shared" si="1"/>
        <v>0</v>
      </c>
      <c r="BC52" s="246">
        <f t="shared" si="1"/>
        <v>0</v>
      </c>
      <c r="BD52" s="246">
        <f t="shared" si="1"/>
        <v>0</v>
      </c>
      <c r="BE52" s="246">
        <f t="shared" si="1"/>
        <v>0</v>
      </c>
      <c r="BF52" s="246">
        <f t="shared" si="1"/>
        <v>0</v>
      </c>
    </row>
    <row r="53" spans="43:58" ht="16" customHeight="1" x14ac:dyDescent="0.2">
      <c r="AQ53" s="229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-1201.0257495724293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si="1"/>
        <v>0</v>
      </c>
      <c r="BA53" s="246">
        <f t="shared" si="1"/>
        <v>0</v>
      </c>
      <c r="BB53" s="246">
        <f t="shared" si="1"/>
        <v>0</v>
      </c>
      <c r="BC53" s="246">
        <f t="shared" si="1"/>
        <v>0</v>
      </c>
      <c r="BD53" s="246">
        <f t="shared" si="1"/>
        <v>0</v>
      </c>
      <c r="BE53" s="246">
        <f t="shared" si="1"/>
        <v>0</v>
      </c>
      <c r="BF53" s="246">
        <f t="shared" si="1"/>
        <v>0</v>
      </c>
    </row>
    <row r="54" spans="43:58" x14ac:dyDescent="0.2">
      <c r="AQ54" s="132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si="1"/>
        <v>0</v>
      </c>
      <c r="BA54" s="246">
        <f t="shared" si="1"/>
        <v>0</v>
      </c>
      <c r="BB54" s="246">
        <f t="shared" si="1"/>
        <v>0</v>
      </c>
      <c r="BC54" s="246">
        <f t="shared" si="1"/>
        <v>0</v>
      </c>
      <c r="BD54" s="246">
        <f t="shared" si="1"/>
        <v>0</v>
      </c>
      <c r="BE54" s="246">
        <f t="shared" si="1"/>
        <v>0</v>
      </c>
      <c r="BF54" s="246">
        <f t="shared" si="1"/>
        <v>0</v>
      </c>
    </row>
    <row r="55" spans="43:58" x14ac:dyDescent="0.2">
      <c r="AQ55" s="230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25028853.3010469</v>
      </c>
      <c r="AX55" s="246">
        <f t="shared" si="1"/>
        <v>0</v>
      </c>
      <c r="AY55" s="246">
        <f t="shared" si="1"/>
        <v>0</v>
      </c>
      <c r="AZ55" s="246">
        <f t="shared" si="1"/>
        <v>0</v>
      </c>
      <c r="BA55" s="246">
        <f t="shared" si="1"/>
        <v>0</v>
      </c>
      <c r="BB55" s="246">
        <f t="shared" si="1"/>
        <v>0</v>
      </c>
      <c r="BC55" s="246">
        <f t="shared" si="1"/>
        <v>0</v>
      </c>
      <c r="BD55" s="246">
        <f t="shared" si="1"/>
        <v>0</v>
      </c>
      <c r="BE55" s="246">
        <f t="shared" si="1"/>
        <v>0</v>
      </c>
      <c r="BF55" s="246">
        <f t="shared" si="1"/>
        <v>0</v>
      </c>
    </row>
    <row r="56" spans="43:58" x14ac:dyDescent="0.2">
      <c r="AQ56" s="132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si="1"/>
        <v>0</v>
      </c>
      <c r="BA56" s="246">
        <f t="shared" si="1"/>
        <v>0</v>
      </c>
      <c r="BB56" s="246">
        <f t="shared" si="1"/>
        <v>0</v>
      </c>
      <c r="BC56" s="246">
        <f t="shared" si="1"/>
        <v>0</v>
      </c>
      <c r="BD56" s="246">
        <f t="shared" si="1"/>
        <v>0</v>
      </c>
      <c r="BE56" s="246">
        <f t="shared" si="1"/>
        <v>0</v>
      </c>
      <c r="BF56" s="246">
        <f t="shared" si="1"/>
        <v>0</v>
      </c>
    </row>
    <row r="57" spans="43:58" ht="16" customHeight="1" x14ac:dyDescent="0.2">
      <c r="AQ57" s="229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-854.87945690887818</v>
      </c>
      <c r="AY57" s="246">
        <f t="shared" si="1"/>
        <v>0</v>
      </c>
      <c r="AZ57" s="246">
        <f t="shared" si="1"/>
        <v>0</v>
      </c>
      <c r="BA57" s="246">
        <f t="shared" si="1"/>
        <v>0</v>
      </c>
      <c r="BB57" s="246">
        <f t="shared" si="1"/>
        <v>0</v>
      </c>
      <c r="BC57" s="246">
        <f t="shared" si="1"/>
        <v>0</v>
      </c>
      <c r="BD57" s="246">
        <f t="shared" si="1"/>
        <v>0</v>
      </c>
      <c r="BE57" s="246">
        <f t="shared" si="1"/>
        <v>0</v>
      </c>
      <c r="BF57" s="246">
        <f t="shared" si="1"/>
        <v>0</v>
      </c>
    </row>
    <row r="58" spans="43:58" ht="16" customHeight="1" x14ac:dyDescent="0.2">
      <c r="AQ58" s="229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-1201.0257495724293</v>
      </c>
      <c r="AZ58" s="246">
        <f t="shared" si="1"/>
        <v>0</v>
      </c>
      <c r="BA58" s="246">
        <f t="shared" si="1"/>
        <v>0</v>
      </c>
      <c r="BB58" s="246">
        <f t="shared" si="1"/>
        <v>0</v>
      </c>
      <c r="BC58" s="246">
        <f t="shared" si="1"/>
        <v>0</v>
      </c>
      <c r="BD58" s="246">
        <f t="shared" ref="AS58:BF67" si="2">BD99</f>
        <v>0</v>
      </c>
      <c r="BE58" s="246">
        <f t="shared" si="2"/>
        <v>0</v>
      </c>
      <c r="BF58" s="246">
        <f t="shared" si="2"/>
        <v>0</v>
      </c>
    </row>
    <row r="59" spans="43:58" ht="16" customHeight="1" x14ac:dyDescent="0.2">
      <c r="AQ59" s="229" t="s">
        <v>433</v>
      </c>
      <c r="AR59" s="246">
        <f t="shared" si="1"/>
        <v>0</v>
      </c>
      <c r="AS59" s="246">
        <f t="shared" si="2"/>
        <v>0</v>
      </c>
      <c r="AT59" s="246">
        <f t="shared" si="2"/>
        <v>0</v>
      </c>
      <c r="AU59" s="246">
        <f t="shared" si="2"/>
        <v>0</v>
      </c>
      <c r="AV59" s="246">
        <f t="shared" si="2"/>
        <v>0</v>
      </c>
      <c r="AW59" s="246">
        <f t="shared" si="2"/>
        <v>0</v>
      </c>
      <c r="AX59" s="246">
        <f t="shared" si="2"/>
        <v>0</v>
      </c>
      <c r="AY59" s="246">
        <f t="shared" si="2"/>
        <v>0</v>
      </c>
      <c r="AZ59" s="246">
        <f t="shared" si="2"/>
        <v>25028853.3010469</v>
      </c>
      <c r="BA59" s="246">
        <f t="shared" si="2"/>
        <v>0</v>
      </c>
      <c r="BB59" s="246">
        <f t="shared" si="2"/>
        <v>0</v>
      </c>
      <c r="BC59" s="246">
        <f t="shared" si="2"/>
        <v>0</v>
      </c>
      <c r="BD59" s="246">
        <f t="shared" si="2"/>
        <v>0</v>
      </c>
      <c r="BE59" s="246">
        <f t="shared" si="2"/>
        <v>0</v>
      </c>
      <c r="BF59" s="246">
        <f t="shared" si="2"/>
        <v>0</v>
      </c>
    </row>
    <row r="60" spans="43:58" ht="16" customHeight="1" x14ac:dyDescent="0.2">
      <c r="AQ60" s="229" t="s">
        <v>439</v>
      </c>
      <c r="AR60" s="246">
        <f t="shared" si="1"/>
        <v>0</v>
      </c>
      <c r="AS60" s="246">
        <f t="shared" si="2"/>
        <v>0</v>
      </c>
      <c r="AT60" s="246">
        <f t="shared" si="2"/>
        <v>0</v>
      </c>
      <c r="AU60" s="246">
        <f t="shared" si="2"/>
        <v>0</v>
      </c>
      <c r="AV60" s="246">
        <f t="shared" si="2"/>
        <v>0</v>
      </c>
      <c r="AW60" s="246">
        <f t="shared" si="2"/>
        <v>0</v>
      </c>
      <c r="AX60" s="246">
        <f t="shared" si="2"/>
        <v>0</v>
      </c>
      <c r="AY60" s="246">
        <f t="shared" si="2"/>
        <v>0</v>
      </c>
      <c r="AZ60" s="246">
        <f t="shared" si="2"/>
        <v>0</v>
      </c>
      <c r="BA60" s="246">
        <f t="shared" si="2"/>
        <v>0</v>
      </c>
      <c r="BB60" s="246">
        <f t="shared" si="2"/>
        <v>0</v>
      </c>
      <c r="BC60" s="246">
        <f t="shared" si="2"/>
        <v>0</v>
      </c>
      <c r="BD60" s="246">
        <f t="shared" si="2"/>
        <v>0</v>
      </c>
      <c r="BE60" s="246">
        <f t="shared" si="2"/>
        <v>-847.04018592884336</v>
      </c>
      <c r="BF60" s="246">
        <f t="shared" si="2"/>
        <v>0</v>
      </c>
    </row>
    <row r="61" spans="43:58" x14ac:dyDescent="0.2">
      <c r="AQ61" s="230" t="s">
        <v>438</v>
      </c>
      <c r="AR61" s="246">
        <f t="shared" si="1"/>
        <v>0</v>
      </c>
      <c r="AS61" s="246">
        <f t="shared" si="2"/>
        <v>0</v>
      </c>
      <c r="AT61" s="246">
        <f t="shared" si="2"/>
        <v>0</v>
      </c>
      <c r="AU61" s="246">
        <f t="shared" si="2"/>
        <v>0</v>
      </c>
      <c r="AV61" s="246">
        <f t="shared" si="2"/>
        <v>0</v>
      </c>
      <c r="AW61" s="246">
        <f t="shared" si="2"/>
        <v>0</v>
      </c>
      <c r="AX61" s="246">
        <f t="shared" si="2"/>
        <v>0</v>
      </c>
      <c r="AY61" s="246">
        <f t="shared" si="2"/>
        <v>0</v>
      </c>
      <c r="AZ61" s="246">
        <f t="shared" si="2"/>
        <v>0</v>
      </c>
      <c r="BA61" s="246">
        <f t="shared" si="2"/>
        <v>0</v>
      </c>
      <c r="BB61" s="246">
        <f t="shared" si="2"/>
        <v>0</v>
      </c>
      <c r="BC61" s="246">
        <f t="shared" si="2"/>
        <v>0</v>
      </c>
      <c r="BD61" s="246">
        <f t="shared" si="2"/>
        <v>0</v>
      </c>
      <c r="BE61" s="246">
        <f t="shared" si="2"/>
        <v>0</v>
      </c>
      <c r="BF61" s="246">
        <f t="shared" si="2"/>
        <v>0</v>
      </c>
    </row>
    <row r="62" spans="43:58" x14ac:dyDescent="0.2">
      <c r="AQ62" s="230" t="s">
        <v>424</v>
      </c>
      <c r="AR62" s="246">
        <f t="shared" si="1"/>
        <v>0</v>
      </c>
      <c r="AS62" s="246">
        <f t="shared" si="2"/>
        <v>0</v>
      </c>
      <c r="AT62" s="246">
        <f t="shared" si="2"/>
        <v>0</v>
      </c>
      <c r="AU62" s="246">
        <f t="shared" si="2"/>
        <v>0</v>
      </c>
      <c r="AV62" s="246">
        <f t="shared" si="2"/>
        <v>0</v>
      </c>
      <c r="AW62" s="246">
        <f t="shared" si="2"/>
        <v>0</v>
      </c>
      <c r="AX62" s="246">
        <f t="shared" si="2"/>
        <v>0</v>
      </c>
      <c r="AY62" s="246">
        <f t="shared" si="2"/>
        <v>0</v>
      </c>
      <c r="AZ62" s="246">
        <f t="shared" si="2"/>
        <v>0</v>
      </c>
      <c r="BA62" s="246">
        <f t="shared" si="2"/>
        <v>-1201.0257495724293</v>
      </c>
      <c r="BB62" s="246">
        <f t="shared" si="2"/>
        <v>0</v>
      </c>
      <c r="BC62" s="246">
        <f t="shared" si="2"/>
        <v>0</v>
      </c>
      <c r="BD62" s="246">
        <f t="shared" si="2"/>
        <v>0</v>
      </c>
      <c r="BE62" s="246">
        <f t="shared" si="2"/>
        <v>0</v>
      </c>
      <c r="BF62" s="246">
        <f t="shared" si="2"/>
        <v>0</v>
      </c>
    </row>
    <row r="63" spans="43:58" x14ac:dyDescent="0.2">
      <c r="AQ63" s="230" t="s">
        <v>456</v>
      </c>
      <c r="AR63" s="246">
        <f t="shared" si="1"/>
        <v>0</v>
      </c>
      <c r="AS63" s="246">
        <f t="shared" si="2"/>
        <v>0</v>
      </c>
      <c r="AT63" s="246">
        <f t="shared" si="2"/>
        <v>0</v>
      </c>
      <c r="AU63" s="246">
        <f t="shared" si="2"/>
        <v>0</v>
      </c>
      <c r="AV63" s="246">
        <f t="shared" si="2"/>
        <v>0</v>
      </c>
      <c r="AW63" s="246">
        <f t="shared" si="2"/>
        <v>0</v>
      </c>
      <c r="AX63" s="246">
        <f t="shared" si="2"/>
        <v>0</v>
      </c>
      <c r="AY63" s="246">
        <f t="shared" si="2"/>
        <v>0</v>
      </c>
      <c r="AZ63" s="246">
        <f t="shared" si="2"/>
        <v>0</v>
      </c>
      <c r="BA63" s="246">
        <f t="shared" si="2"/>
        <v>0</v>
      </c>
      <c r="BB63" s="246">
        <f t="shared" si="2"/>
        <v>25028853.3010469</v>
      </c>
      <c r="BC63" s="246">
        <f t="shared" si="2"/>
        <v>0</v>
      </c>
      <c r="BD63" s="246">
        <f t="shared" si="2"/>
        <v>0</v>
      </c>
      <c r="BE63" s="246">
        <f t="shared" si="2"/>
        <v>0</v>
      </c>
      <c r="BF63" s="246">
        <f t="shared" si="2"/>
        <v>0</v>
      </c>
    </row>
    <row r="64" spans="43:58" x14ac:dyDescent="0.2">
      <c r="AQ64" s="230" t="s">
        <v>425</v>
      </c>
      <c r="AR64" s="246">
        <f t="shared" si="1"/>
        <v>0</v>
      </c>
      <c r="AS64" s="246">
        <f t="shared" si="2"/>
        <v>0</v>
      </c>
      <c r="AT64" s="246">
        <f t="shared" si="2"/>
        <v>0</v>
      </c>
      <c r="AU64" s="246">
        <f t="shared" si="2"/>
        <v>0</v>
      </c>
      <c r="AV64" s="246">
        <f t="shared" si="2"/>
        <v>0</v>
      </c>
      <c r="AW64" s="246">
        <f t="shared" si="2"/>
        <v>0</v>
      </c>
      <c r="AX64" s="246">
        <f t="shared" si="2"/>
        <v>0</v>
      </c>
      <c r="AY64" s="246">
        <f t="shared" si="2"/>
        <v>0</v>
      </c>
      <c r="AZ64" s="246">
        <f t="shared" si="2"/>
        <v>0</v>
      </c>
      <c r="BA64" s="246">
        <f t="shared" si="2"/>
        <v>0</v>
      </c>
      <c r="BB64" s="246">
        <f t="shared" si="2"/>
        <v>0</v>
      </c>
      <c r="BC64" s="246">
        <f t="shared" si="2"/>
        <v>0</v>
      </c>
      <c r="BD64" s="246">
        <f t="shared" si="2"/>
        <v>0</v>
      </c>
      <c r="BE64" s="246">
        <f t="shared" si="2"/>
        <v>-634.9</v>
      </c>
      <c r="BF64" s="246">
        <f t="shared" si="2"/>
        <v>0</v>
      </c>
    </row>
    <row r="65" spans="43:58" x14ac:dyDescent="0.2">
      <c r="AQ65" s="230" t="s">
        <v>427</v>
      </c>
      <c r="AR65" s="246">
        <f t="shared" si="1"/>
        <v>0</v>
      </c>
      <c r="AS65" s="246">
        <f t="shared" si="2"/>
        <v>0</v>
      </c>
      <c r="AT65" s="246">
        <f t="shared" si="2"/>
        <v>0</v>
      </c>
      <c r="AU65" s="246">
        <f t="shared" si="2"/>
        <v>0</v>
      </c>
      <c r="AV65" s="246">
        <f t="shared" si="2"/>
        <v>0</v>
      </c>
      <c r="AW65" s="246">
        <f t="shared" si="2"/>
        <v>0</v>
      </c>
      <c r="AX65" s="246">
        <f t="shared" si="2"/>
        <v>0</v>
      </c>
      <c r="AY65" s="246">
        <f t="shared" si="2"/>
        <v>0</v>
      </c>
      <c r="AZ65" s="246">
        <f t="shared" si="2"/>
        <v>0</v>
      </c>
      <c r="BA65" s="246">
        <f t="shared" si="2"/>
        <v>0</v>
      </c>
      <c r="BB65" s="246">
        <f t="shared" si="2"/>
        <v>0</v>
      </c>
      <c r="BC65" s="246">
        <f t="shared" si="2"/>
        <v>0</v>
      </c>
      <c r="BD65" s="246">
        <f t="shared" si="2"/>
        <v>0</v>
      </c>
      <c r="BE65" s="246">
        <f t="shared" si="2"/>
        <v>0</v>
      </c>
      <c r="BF65" s="246">
        <f t="shared" si="2"/>
        <v>0</v>
      </c>
    </row>
    <row r="66" spans="43:58" x14ac:dyDescent="0.2">
      <c r="AQ66" s="230" t="s">
        <v>426</v>
      </c>
      <c r="AR66" s="246">
        <f t="shared" si="1"/>
        <v>0</v>
      </c>
      <c r="AS66" s="246">
        <f t="shared" si="2"/>
        <v>0</v>
      </c>
      <c r="AT66" s="246">
        <f t="shared" si="2"/>
        <v>0</v>
      </c>
      <c r="AU66" s="246">
        <f t="shared" si="2"/>
        <v>0</v>
      </c>
      <c r="AV66" s="246">
        <f t="shared" si="2"/>
        <v>0</v>
      </c>
      <c r="AW66" s="246">
        <f t="shared" si="2"/>
        <v>0</v>
      </c>
      <c r="AX66" s="246">
        <f t="shared" si="2"/>
        <v>0</v>
      </c>
      <c r="AY66" s="246">
        <f t="shared" si="2"/>
        <v>0</v>
      </c>
      <c r="AZ66" s="246">
        <f t="shared" si="2"/>
        <v>0</v>
      </c>
      <c r="BA66" s="246">
        <f t="shared" si="2"/>
        <v>0</v>
      </c>
      <c r="BB66" s="246">
        <f t="shared" si="2"/>
        <v>0</v>
      </c>
      <c r="BC66" s="246">
        <f t="shared" si="2"/>
        <v>0</v>
      </c>
      <c r="BD66" s="246">
        <f t="shared" si="2"/>
        <v>0</v>
      </c>
      <c r="BE66" s="246">
        <f t="shared" si="2"/>
        <v>0</v>
      </c>
      <c r="BF66" s="246">
        <f t="shared" si="2"/>
        <v>0</v>
      </c>
    </row>
    <row r="67" spans="43:58" x14ac:dyDescent="0.2">
      <c r="AQ67" s="230" t="s">
        <v>484</v>
      </c>
      <c r="AR67" s="246">
        <f t="shared" si="1"/>
        <v>0</v>
      </c>
      <c r="AS67" s="246">
        <f t="shared" si="2"/>
        <v>0</v>
      </c>
      <c r="AT67" s="246">
        <f t="shared" si="2"/>
        <v>0</v>
      </c>
      <c r="AU67" s="246">
        <f t="shared" si="2"/>
        <v>0</v>
      </c>
      <c r="AV67" s="246">
        <f t="shared" si="2"/>
        <v>0</v>
      </c>
      <c r="AW67" s="246">
        <f t="shared" si="2"/>
        <v>0</v>
      </c>
      <c r="AX67" s="246">
        <f t="shared" si="2"/>
        <v>0</v>
      </c>
      <c r="AY67" s="246">
        <f t="shared" si="2"/>
        <v>0</v>
      </c>
      <c r="AZ67" s="246">
        <f t="shared" si="2"/>
        <v>0</v>
      </c>
      <c r="BA67" s="246">
        <f t="shared" si="2"/>
        <v>0</v>
      </c>
      <c r="BB67" s="246">
        <f t="shared" si="2"/>
        <v>0</v>
      </c>
      <c r="BC67" s="246">
        <f t="shared" si="2"/>
        <v>0</v>
      </c>
      <c r="BD67" s="246">
        <f t="shared" si="2"/>
        <v>0</v>
      </c>
      <c r="BE67" s="246">
        <f t="shared" si="2"/>
        <v>369.41807770961151</v>
      </c>
      <c r="BF67" s="246">
        <f t="shared" si="2"/>
        <v>0</v>
      </c>
    </row>
    <row r="68" spans="43:58" ht="16" customHeight="1" x14ac:dyDescent="0.2">
      <c r="AQ68" s="244" t="s">
        <v>422</v>
      </c>
      <c r="AR68" s="246">
        <f t="shared" si="1"/>
        <v>0</v>
      </c>
      <c r="AS68" s="246">
        <f t="shared" ref="AS68:BF68" si="3">AS109</f>
        <v>0</v>
      </c>
      <c r="AT68" s="246">
        <f t="shared" si="3"/>
        <v>0</v>
      </c>
      <c r="AU68" s="246">
        <f t="shared" si="3"/>
        <v>0</v>
      </c>
      <c r="AV68" s="246">
        <f t="shared" si="3"/>
        <v>0</v>
      </c>
      <c r="AW68" s="246">
        <f t="shared" si="3"/>
        <v>0</v>
      </c>
      <c r="AX68" s="246">
        <f t="shared" si="3"/>
        <v>0</v>
      </c>
      <c r="AY68" s="246">
        <f t="shared" si="3"/>
        <v>0</v>
      </c>
      <c r="AZ68" s="246">
        <f t="shared" si="3"/>
        <v>0</v>
      </c>
      <c r="BA68" s="246">
        <f t="shared" si="3"/>
        <v>0</v>
      </c>
      <c r="BB68" s="246">
        <f t="shared" si="3"/>
        <v>0</v>
      </c>
      <c r="BC68" s="246">
        <f t="shared" si="3"/>
        <v>-5.2876555731943364</v>
      </c>
      <c r="BD68" s="246">
        <f t="shared" si="3"/>
        <v>0</v>
      </c>
      <c r="BE68" s="246">
        <f t="shared" si="3"/>
        <v>0</v>
      </c>
      <c r="BF68" s="246">
        <f t="shared" si="3"/>
        <v>0</v>
      </c>
    </row>
    <row r="69" spans="43:58" ht="16" customHeight="1" x14ac:dyDescent="0.2">
      <c r="AQ69" s="244" t="s">
        <v>552</v>
      </c>
      <c r="AR69" s="246">
        <f t="shared" ref="AR69:BF69" si="4">AR110</f>
        <v>0</v>
      </c>
      <c r="AS69" s="246">
        <f t="shared" si="4"/>
        <v>0</v>
      </c>
      <c r="AT69" s="246">
        <f t="shared" si="4"/>
        <v>0</v>
      </c>
      <c r="AU69" s="246">
        <f t="shared" si="4"/>
        <v>0</v>
      </c>
      <c r="AV69" s="246">
        <f t="shared" si="4"/>
        <v>0</v>
      </c>
      <c r="AW69" s="246">
        <f t="shared" si="4"/>
        <v>0</v>
      </c>
      <c r="AX69" s="246">
        <f t="shared" si="4"/>
        <v>0</v>
      </c>
      <c r="AY69" s="246">
        <f t="shared" si="4"/>
        <v>0</v>
      </c>
      <c r="AZ69" s="246">
        <f t="shared" si="4"/>
        <v>0</v>
      </c>
      <c r="BA69" s="246">
        <f t="shared" si="4"/>
        <v>0</v>
      </c>
      <c r="BB69" s="246">
        <f t="shared" si="4"/>
        <v>0</v>
      </c>
      <c r="BC69" s="246">
        <f t="shared" si="4"/>
        <v>0</v>
      </c>
      <c r="BD69" s="246">
        <f t="shared" si="4"/>
        <v>0</v>
      </c>
      <c r="BE69" s="246">
        <f t="shared" si="4"/>
        <v>0</v>
      </c>
      <c r="BF69" s="246">
        <f t="shared" si="4"/>
        <v>0</v>
      </c>
    </row>
    <row r="70" spans="43:58" x14ac:dyDescent="0.2">
      <c r="AQ70" s="230" t="s">
        <v>421</v>
      </c>
      <c r="AR70" s="246">
        <f t="shared" ref="AR70:BF70" si="5">AR111</f>
        <v>0</v>
      </c>
      <c r="AS70" s="246">
        <f t="shared" si="5"/>
        <v>0</v>
      </c>
      <c r="AT70" s="246">
        <f t="shared" si="5"/>
        <v>0</v>
      </c>
      <c r="AU70" s="246">
        <f t="shared" si="5"/>
        <v>0</v>
      </c>
      <c r="AV70" s="246">
        <f t="shared" si="5"/>
        <v>0</v>
      </c>
      <c r="AW70" s="246">
        <f t="shared" si="5"/>
        <v>0</v>
      </c>
      <c r="AX70" s="246">
        <f t="shared" si="5"/>
        <v>0</v>
      </c>
      <c r="AY70" s="246">
        <f t="shared" si="5"/>
        <v>0</v>
      </c>
      <c r="AZ70" s="246">
        <f t="shared" si="5"/>
        <v>0</v>
      </c>
      <c r="BA70" s="246">
        <f t="shared" si="5"/>
        <v>0</v>
      </c>
      <c r="BB70" s="246">
        <f t="shared" si="5"/>
        <v>0</v>
      </c>
      <c r="BC70" s="246">
        <f t="shared" si="5"/>
        <v>0</v>
      </c>
      <c r="BD70" s="246">
        <f t="shared" si="5"/>
        <v>0</v>
      </c>
      <c r="BE70" s="246">
        <f t="shared" si="5"/>
        <v>0</v>
      </c>
      <c r="BF70" s="246">
        <f t="shared" si="5"/>
        <v>0</v>
      </c>
    </row>
    <row r="71" spans="43:58" x14ac:dyDescent="0.2">
      <c r="AQ71" s="132" t="s">
        <v>423</v>
      </c>
      <c r="AR71" s="246">
        <f t="shared" ref="AR71:BF71" si="6">AR112</f>
        <v>0</v>
      </c>
      <c r="AS71" s="246">
        <f t="shared" si="6"/>
        <v>0</v>
      </c>
      <c r="AT71" s="246">
        <f t="shared" si="6"/>
        <v>0</v>
      </c>
      <c r="AU71" s="246">
        <f t="shared" si="6"/>
        <v>0</v>
      </c>
      <c r="AV71" s="246">
        <f t="shared" si="6"/>
        <v>0</v>
      </c>
      <c r="AW71" s="246">
        <f t="shared" si="6"/>
        <v>0</v>
      </c>
      <c r="AX71" s="246">
        <f t="shared" si="6"/>
        <v>0</v>
      </c>
      <c r="AY71" s="246">
        <f t="shared" si="6"/>
        <v>0</v>
      </c>
      <c r="AZ71" s="246">
        <f t="shared" si="6"/>
        <v>0</v>
      </c>
      <c r="BA71" s="246">
        <f t="shared" si="6"/>
        <v>0</v>
      </c>
      <c r="BB71" s="246">
        <f t="shared" si="6"/>
        <v>0</v>
      </c>
      <c r="BC71" s="246">
        <f t="shared" si="6"/>
        <v>0</v>
      </c>
      <c r="BD71" s="246">
        <f t="shared" si="6"/>
        <v>0</v>
      </c>
      <c r="BE71" s="246">
        <f t="shared" si="6"/>
        <v>0</v>
      </c>
      <c r="BF71" s="246">
        <f t="shared" si="6"/>
        <v>0</v>
      </c>
    </row>
    <row r="72" spans="43:58" x14ac:dyDescent="0.2">
      <c r="AQ72" s="230" t="s">
        <v>515</v>
      </c>
      <c r="AR72" s="246">
        <f t="shared" ref="AR72:BF72" si="7">AR113</f>
        <v>0</v>
      </c>
      <c r="AS72" s="246">
        <f t="shared" si="7"/>
        <v>0</v>
      </c>
      <c r="AT72" s="246">
        <f t="shared" si="7"/>
        <v>0</v>
      </c>
      <c r="AU72" s="246">
        <f t="shared" si="7"/>
        <v>0</v>
      </c>
      <c r="AV72" s="246">
        <f t="shared" si="7"/>
        <v>0</v>
      </c>
      <c r="AW72" s="246">
        <f t="shared" si="7"/>
        <v>0</v>
      </c>
      <c r="AX72" s="246">
        <f t="shared" si="7"/>
        <v>0</v>
      </c>
      <c r="AY72" s="246">
        <f t="shared" si="7"/>
        <v>0</v>
      </c>
      <c r="AZ72" s="246">
        <f t="shared" si="7"/>
        <v>0</v>
      </c>
      <c r="BA72" s="246">
        <f t="shared" si="7"/>
        <v>0</v>
      </c>
      <c r="BB72" s="246">
        <f t="shared" si="7"/>
        <v>0</v>
      </c>
      <c r="BC72" s="246">
        <f t="shared" si="7"/>
        <v>0</v>
      </c>
      <c r="BD72" s="246">
        <f t="shared" si="7"/>
        <v>-4.5562340979421263</v>
      </c>
      <c r="BE72" s="246">
        <f t="shared" si="7"/>
        <v>0</v>
      </c>
      <c r="BF72" s="246">
        <f t="shared" si="7"/>
        <v>0</v>
      </c>
    </row>
    <row r="73" spans="43:58" x14ac:dyDescent="0.2">
      <c r="AQ73" s="230" t="s">
        <v>517</v>
      </c>
      <c r="AR73" s="246">
        <f t="shared" ref="AR73:BF73" si="8">AR114</f>
        <v>0</v>
      </c>
      <c r="AS73" s="246">
        <f t="shared" si="8"/>
        <v>0</v>
      </c>
      <c r="AT73" s="246">
        <f t="shared" si="8"/>
        <v>0</v>
      </c>
      <c r="AU73" s="246">
        <f t="shared" si="8"/>
        <v>0</v>
      </c>
      <c r="AV73" s="246">
        <f t="shared" si="8"/>
        <v>0</v>
      </c>
      <c r="AW73" s="246">
        <f t="shared" si="8"/>
        <v>0</v>
      </c>
      <c r="AX73" s="246">
        <f t="shared" si="8"/>
        <v>0</v>
      </c>
      <c r="AY73" s="246">
        <f t="shared" si="8"/>
        <v>0</v>
      </c>
      <c r="AZ73" s="246">
        <f t="shared" si="8"/>
        <v>0</v>
      </c>
      <c r="BA73" s="246">
        <f t="shared" si="8"/>
        <v>0</v>
      </c>
      <c r="BB73" s="246">
        <f t="shared" si="8"/>
        <v>0</v>
      </c>
      <c r="BC73" s="246">
        <f t="shared" si="8"/>
        <v>0</v>
      </c>
      <c r="BD73" s="246">
        <f t="shared" si="8"/>
        <v>0</v>
      </c>
      <c r="BE73" s="246">
        <f t="shared" si="8"/>
        <v>0</v>
      </c>
      <c r="BF73" s="246">
        <f t="shared" si="8"/>
        <v>-4.5562340979421263</v>
      </c>
    </row>
    <row r="74" spans="43:58" x14ac:dyDescent="0.2">
      <c r="AQ74" s="230" t="s">
        <v>445</v>
      </c>
      <c r="AR74" s="246">
        <f t="shared" ref="AR74:BF74" si="9">AR115</f>
        <v>0</v>
      </c>
      <c r="AS74" s="246">
        <f t="shared" si="9"/>
        <v>0</v>
      </c>
      <c r="AT74" s="246">
        <f t="shared" si="9"/>
        <v>0</v>
      </c>
      <c r="AU74" s="246">
        <f t="shared" si="9"/>
        <v>0</v>
      </c>
      <c r="AV74" s="246">
        <f t="shared" si="9"/>
        <v>0</v>
      </c>
      <c r="AW74" s="246">
        <f t="shared" si="9"/>
        <v>0</v>
      </c>
      <c r="AX74" s="246">
        <f t="shared" si="9"/>
        <v>0</v>
      </c>
      <c r="AY74" s="246">
        <f t="shared" si="9"/>
        <v>0</v>
      </c>
      <c r="AZ74" s="246">
        <f t="shared" si="9"/>
        <v>0</v>
      </c>
      <c r="BA74" s="246">
        <f t="shared" si="9"/>
        <v>0</v>
      </c>
      <c r="BB74" s="246">
        <f t="shared" si="9"/>
        <v>0</v>
      </c>
      <c r="BC74" s="246">
        <f t="shared" si="9"/>
        <v>0</v>
      </c>
      <c r="BD74" s="246">
        <f t="shared" si="9"/>
        <v>0</v>
      </c>
      <c r="BE74" s="246">
        <f t="shared" si="9"/>
        <v>0</v>
      </c>
      <c r="BF74" s="246">
        <f t="shared" si="9"/>
        <v>-57.335418970198283</v>
      </c>
    </row>
    <row r="75" spans="43:58" x14ac:dyDescent="0.2">
      <c r="AQ75" s="230" t="s">
        <v>446</v>
      </c>
      <c r="AR75" s="246">
        <f>AR116</f>
        <v>0</v>
      </c>
      <c r="AS75" s="246">
        <f t="shared" ref="AS75:BF77" si="10">AS116</f>
        <v>0</v>
      </c>
      <c r="AT75" s="246">
        <f t="shared" si="10"/>
        <v>0</v>
      </c>
      <c r="AU75" s="246">
        <f t="shared" si="10"/>
        <v>0</v>
      </c>
      <c r="AV75" s="246">
        <f t="shared" si="10"/>
        <v>0</v>
      </c>
      <c r="AW75" s="246">
        <f t="shared" si="10"/>
        <v>0</v>
      </c>
      <c r="AX75" s="246">
        <f t="shared" si="10"/>
        <v>0</v>
      </c>
      <c r="AY75" s="246">
        <f t="shared" si="10"/>
        <v>0</v>
      </c>
      <c r="AZ75" s="246">
        <f t="shared" si="10"/>
        <v>0</v>
      </c>
      <c r="BA75" s="246">
        <f t="shared" si="10"/>
        <v>0</v>
      </c>
      <c r="BB75" s="246">
        <f t="shared" si="10"/>
        <v>0</v>
      </c>
      <c r="BC75" s="246">
        <f t="shared" si="10"/>
        <v>0</v>
      </c>
      <c r="BD75" s="246">
        <f t="shared" si="10"/>
        <v>0</v>
      </c>
      <c r="BE75" s="246">
        <f t="shared" si="10"/>
        <v>0</v>
      </c>
      <c r="BF75" s="246">
        <f t="shared" si="10"/>
        <v>0</v>
      </c>
    </row>
    <row r="76" spans="43:58" x14ac:dyDescent="0.2">
      <c r="AQ76" s="230" t="s">
        <v>447</v>
      </c>
      <c r="AR76" s="246">
        <f>AR117</f>
        <v>0</v>
      </c>
      <c r="AS76" s="246">
        <f t="shared" si="10"/>
        <v>0</v>
      </c>
      <c r="AT76" s="246">
        <f t="shared" si="10"/>
        <v>0</v>
      </c>
      <c r="AU76" s="246">
        <f t="shared" si="10"/>
        <v>0</v>
      </c>
      <c r="AV76" s="246">
        <f t="shared" si="10"/>
        <v>0</v>
      </c>
      <c r="AW76" s="246">
        <f t="shared" si="10"/>
        <v>0</v>
      </c>
      <c r="AX76" s="246">
        <f t="shared" si="10"/>
        <v>0</v>
      </c>
      <c r="AY76" s="246">
        <f t="shared" si="10"/>
        <v>0</v>
      </c>
      <c r="AZ76" s="246">
        <f t="shared" si="10"/>
        <v>0</v>
      </c>
      <c r="BA76" s="246">
        <f t="shared" si="10"/>
        <v>0</v>
      </c>
      <c r="BB76" s="246">
        <f t="shared" si="10"/>
        <v>0</v>
      </c>
      <c r="BC76" s="246">
        <f t="shared" si="10"/>
        <v>0</v>
      </c>
      <c r="BD76" s="246">
        <f t="shared" si="10"/>
        <v>0</v>
      </c>
      <c r="BE76" s="246">
        <f t="shared" si="10"/>
        <v>0</v>
      </c>
      <c r="BF76" s="246">
        <f t="shared" si="10"/>
        <v>0</v>
      </c>
    </row>
    <row r="77" spans="43:58" x14ac:dyDescent="0.2">
      <c r="AQ77" s="230" t="s">
        <v>457</v>
      </c>
      <c r="AR77" s="246">
        <f>AR118</f>
        <v>0</v>
      </c>
      <c r="AS77" s="246">
        <f t="shared" si="10"/>
        <v>0</v>
      </c>
      <c r="AT77" s="246">
        <f t="shared" si="10"/>
        <v>0</v>
      </c>
      <c r="AU77" s="246">
        <f t="shared" si="10"/>
        <v>0</v>
      </c>
      <c r="AV77" s="246">
        <f t="shared" si="10"/>
        <v>0</v>
      </c>
      <c r="AW77" s="246">
        <f t="shared" si="10"/>
        <v>0</v>
      </c>
      <c r="AX77" s="246">
        <f t="shared" si="10"/>
        <v>0</v>
      </c>
      <c r="AY77" s="246">
        <f t="shared" si="10"/>
        <v>0</v>
      </c>
      <c r="AZ77" s="246">
        <f t="shared" si="10"/>
        <v>0</v>
      </c>
      <c r="BA77" s="246">
        <f t="shared" si="10"/>
        <v>0</v>
      </c>
      <c r="BB77" s="246">
        <f t="shared" si="10"/>
        <v>0</v>
      </c>
      <c r="BC77" s="246">
        <f t="shared" si="10"/>
        <v>0</v>
      </c>
      <c r="BD77" s="246">
        <f t="shared" si="10"/>
        <v>0</v>
      </c>
      <c r="BE77" s="246">
        <f t="shared" si="10"/>
        <v>0</v>
      </c>
      <c r="BF77" s="246">
        <f t="shared" si="10"/>
        <v>0</v>
      </c>
    </row>
    <row r="78" spans="43:58" x14ac:dyDescent="0.2">
      <c r="AQ78" s="230"/>
      <c r="AR78" s="379" t="s">
        <v>472</v>
      </c>
      <c r="AS78" s="379"/>
      <c r="AT78" s="379"/>
      <c r="AU78" s="379"/>
      <c r="AV78" s="379"/>
      <c r="AW78" s="379"/>
      <c r="AX78" s="379"/>
      <c r="AY78" s="379"/>
      <c r="AZ78" s="379"/>
      <c r="BA78" s="379"/>
      <c r="BB78" s="379"/>
      <c r="BC78" s="379"/>
      <c r="BD78" s="379"/>
      <c r="BE78" s="379"/>
      <c r="BF78" s="379"/>
    </row>
    <row r="82" spans="33:66" ht="112" customHeight="1" x14ac:dyDescent="0.2">
      <c r="AQ82" s="245"/>
      <c r="AR82" s="231" t="s">
        <v>325</v>
      </c>
      <c r="AS82" s="231" t="s">
        <v>326</v>
      </c>
      <c r="AT82" s="231" t="s">
        <v>327</v>
      </c>
      <c r="AU82" s="231" t="s">
        <v>455</v>
      </c>
      <c r="AV82" s="231" t="s">
        <v>435</v>
      </c>
      <c r="AW82" s="231" t="s">
        <v>434</v>
      </c>
      <c r="AX82" s="231" t="s">
        <v>351</v>
      </c>
      <c r="AY82" s="231" t="s">
        <v>348</v>
      </c>
      <c r="AZ82" s="231" t="s">
        <v>362</v>
      </c>
      <c r="BA82" s="231" t="s">
        <v>349</v>
      </c>
      <c r="BB82" s="231" t="s">
        <v>344</v>
      </c>
      <c r="BC82" s="231" t="s">
        <v>514</v>
      </c>
      <c r="BD82" s="231" t="s">
        <v>516</v>
      </c>
      <c r="BE82" s="231" t="s">
        <v>76</v>
      </c>
      <c r="BF82" s="231" t="s">
        <v>337</v>
      </c>
      <c r="BK82" s="231"/>
      <c r="BL82" s="231" t="s">
        <v>331</v>
      </c>
      <c r="BM82" s="231" t="s">
        <v>793</v>
      </c>
    </row>
    <row r="83" spans="33:66" x14ac:dyDescent="0.2">
      <c r="AG83" s="132"/>
      <c r="AH83" s="132"/>
      <c r="AQ83" s="132" t="s">
        <v>333</v>
      </c>
      <c r="AR83" s="234">
        <f>Ore_to_PI!O52</f>
        <v>-854.87945690887818</v>
      </c>
      <c r="AS83" s="234"/>
      <c r="AT83" s="234"/>
      <c r="AU83" s="234"/>
      <c r="AV83" s="234"/>
      <c r="AW83" s="234"/>
      <c r="AX83" s="234"/>
      <c r="AY83" s="234"/>
      <c r="AZ83" s="234"/>
      <c r="BA83" s="234"/>
      <c r="BB83" s="234"/>
      <c r="BC83" s="234"/>
      <c r="BD83" s="234"/>
      <c r="BE83" s="234"/>
      <c r="BF83" s="234"/>
      <c r="BG83" s="243">
        <f>SUM(AR83:BF83)</f>
        <v>-854.87945690887818</v>
      </c>
      <c r="BK83" s="132" t="s">
        <v>333</v>
      </c>
      <c r="BL83" s="237"/>
      <c r="BM83" s="237"/>
      <c r="BN83" s="243">
        <f>SUM(BL83:BM83)</f>
        <v>0</v>
      </c>
    </row>
    <row r="84" spans="33:66" x14ac:dyDescent="0.2">
      <c r="AG84" s="132"/>
      <c r="AH84" s="132"/>
      <c r="AQ84" s="132" t="s">
        <v>335</v>
      </c>
      <c r="AR84" s="234"/>
      <c r="AS84" s="234">
        <f>Ore_to_PI!O132</f>
        <v>-1201.0257495724293</v>
      </c>
      <c r="AT84" s="234"/>
      <c r="AU84" s="234"/>
      <c r="AV84" s="234"/>
      <c r="AW84" s="234"/>
      <c r="AX84" s="234"/>
      <c r="AY84" s="234"/>
      <c r="AZ84" s="234"/>
      <c r="BA84" s="234"/>
      <c r="BB84" s="234"/>
      <c r="BC84" s="234"/>
      <c r="BD84" s="234"/>
      <c r="BE84" s="234"/>
      <c r="BF84" s="234"/>
      <c r="BG84" s="243">
        <f>SUM(AR84:BF84)</f>
        <v>-1201.0257495724293</v>
      </c>
      <c r="BK84" s="132" t="s">
        <v>335</v>
      </c>
      <c r="BL84" s="237"/>
      <c r="BM84" s="237"/>
      <c r="BN84" s="243">
        <f>SUM(BL84:BM84)</f>
        <v>0</v>
      </c>
    </row>
    <row r="85" spans="33:66" x14ac:dyDescent="0.2">
      <c r="AG85" s="132"/>
      <c r="AH85" s="132"/>
      <c r="AQ85" s="132" t="s">
        <v>336</v>
      </c>
      <c r="AR85" s="234"/>
      <c r="AS85" s="234"/>
      <c r="AT85" s="234">
        <f>Ore_to_PI!O218</f>
        <v>25028853.3010469</v>
      </c>
      <c r="AU85" s="234"/>
      <c r="AV85" s="234"/>
      <c r="AW85" s="234"/>
      <c r="AX85" s="234"/>
      <c r="AY85" s="234"/>
      <c r="AZ85" s="234"/>
      <c r="BA85" s="234"/>
      <c r="BB85" s="234"/>
      <c r="BC85" s="234"/>
      <c r="BD85" s="234"/>
      <c r="BE85" s="234"/>
      <c r="BF85" s="234"/>
      <c r="BG85" s="243">
        <f t="shared" ref="BG85:BG118" si="11">SUM(AR85:BF85)</f>
        <v>25028853.3010469</v>
      </c>
      <c r="BK85" s="132" t="s">
        <v>336</v>
      </c>
      <c r="BL85" s="237"/>
      <c r="BM85" s="237"/>
      <c r="BN85" s="243">
        <f>SUM(BL85:BM85)</f>
        <v>0</v>
      </c>
    </row>
    <row r="86" spans="33:66" x14ac:dyDescent="0.2">
      <c r="AG86" s="132"/>
      <c r="AH86" s="132"/>
      <c r="AQ86" s="132" t="s">
        <v>355</v>
      </c>
      <c r="AR86" s="234">
        <f>Ore_to_PI!O78</f>
        <v>0</v>
      </c>
      <c r="AS86" s="234">
        <f>Ore_to_PI!O169</f>
        <v>0</v>
      </c>
      <c r="AT86" s="234">
        <f>Ore_to_PI!O242</f>
        <v>0</v>
      </c>
      <c r="AU86" s="234"/>
      <c r="AV86" s="234"/>
      <c r="AW86" s="234"/>
      <c r="AX86" s="234"/>
      <c r="AY86" s="234"/>
      <c r="AZ86" s="234"/>
      <c r="BA86" s="234">
        <f>Ore_to_PI!BU146</f>
        <v>0</v>
      </c>
      <c r="BB86" s="234">
        <f>Ore_to_PI!BU238</f>
        <v>0</v>
      </c>
      <c r="BC86" s="234"/>
      <c r="BD86" s="234"/>
      <c r="BE86" s="234"/>
      <c r="BF86" s="236">
        <f>Ore_to_PI!EF146</f>
        <v>0</v>
      </c>
      <c r="BG86" s="243">
        <f t="shared" si="11"/>
        <v>0</v>
      </c>
      <c r="BK86" s="132" t="s">
        <v>355</v>
      </c>
      <c r="BL86" s="237"/>
      <c r="BM86" s="237"/>
      <c r="BN86" s="243">
        <f t="shared" ref="BN86:BN118" si="12">SUM(BL86:BM86)</f>
        <v>0</v>
      </c>
    </row>
    <row r="87" spans="33:66" x14ac:dyDescent="0.2">
      <c r="AG87" s="132"/>
      <c r="AH87" s="132"/>
      <c r="AQ87" s="132" t="s">
        <v>377</v>
      </c>
      <c r="AR87" s="234"/>
      <c r="AS87" s="234"/>
      <c r="AT87" s="234"/>
      <c r="AU87" s="234"/>
      <c r="AV87" s="234"/>
      <c r="AW87" s="234"/>
      <c r="AX87" s="234"/>
      <c r="AY87" s="234"/>
      <c r="AZ87" s="234"/>
      <c r="BA87" s="234">
        <f>Ore_to_PI!BU157</f>
        <v>-74.599999999999994</v>
      </c>
      <c r="BB87" s="234">
        <f>Ore_to_PI!BU249</f>
        <v>-74.599999999999994</v>
      </c>
      <c r="BC87" s="234"/>
      <c r="BD87" s="234"/>
      <c r="BE87" s="234"/>
      <c r="BF87" s="234">
        <f>Ore_to_PI!EF119</f>
        <v>-74.599999999999994</v>
      </c>
      <c r="BG87" s="243">
        <f t="shared" si="11"/>
        <v>-223.79999999999998</v>
      </c>
      <c r="BK87" s="132" t="s">
        <v>377</v>
      </c>
      <c r="BL87" s="237"/>
      <c r="BM87" s="237"/>
      <c r="BN87" s="243">
        <f t="shared" si="12"/>
        <v>0</v>
      </c>
    </row>
    <row r="88" spans="33:66" x14ac:dyDescent="0.2">
      <c r="AG88" s="132"/>
      <c r="AH88" s="132"/>
      <c r="AQ88" s="132" t="s">
        <v>466</v>
      </c>
      <c r="AR88" s="234">
        <f>Ore_to_PI!O64</f>
        <v>7127.6028120000001</v>
      </c>
      <c r="AS88" s="234">
        <f>Ore_to_PI!O145</f>
        <v>7127.6028120000001</v>
      </c>
      <c r="AT88" s="234">
        <f>Ore_to_PI!O227</f>
        <v>7127.6028120000001</v>
      </c>
      <c r="AU88" s="234"/>
      <c r="AV88" s="234"/>
      <c r="AW88" s="234"/>
      <c r="AX88" s="234"/>
      <c r="AY88" s="234"/>
      <c r="AZ88" s="234"/>
      <c r="BA88" s="234"/>
      <c r="BB88" s="234"/>
      <c r="BC88" s="234"/>
      <c r="BD88" s="234"/>
      <c r="BE88" s="234"/>
      <c r="BF88" s="234"/>
      <c r="BG88" s="243">
        <f t="shared" si="11"/>
        <v>21382.808435999999</v>
      </c>
      <c r="BK88" s="132" t="s">
        <v>466</v>
      </c>
      <c r="BL88" s="237"/>
      <c r="BM88" s="237"/>
      <c r="BN88" s="243">
        <f t="shared" si="12"/>
        <v>0</v>
      </c>
    </row>
    <row r="89" spans="33:66" x14ac:dyDescent="0.2">
      <c r="AG89" s="132"/>
      <c r="AH89" s="132"/>
      <c r="AQ89" s="132" t="s">
        <v>467</v>
      </c>
      <c r="AR89" s="234"/>
      <c r="AS89" s="234">
        <f>Ore_to_PI!O156</f>
        <v>-250.1</v>
      </c>
      <c r="AT89" s="234"/>
      <c r="AU89" s="234"/>
      <c r="AV89" s="234"/>
      <c r="AW89" s="234"/>
      <c r="AX89" s="234"/>
      <c r="AY89" s="234"/>
      <c r="AZ89" s="234"/>
      <c r="BA89" s="234"/>
      <c r="BB89" s="234"/>
      <c r="BC89" s="234"/>
      <c r="BD89" s="234"/>
      <c r="BE89" s="234"/>
      <c r="BF89" s="234"/>
      <c r="BG89" s="243">
        <f t="shared" si="11"/>
        <v>-250.1</v>
      </c>
      <c r="BK89" s="132" t="s">
        <v>467</v>
      </c>
      <c r="BL89" s="237"/>
      <c r="BM89" s="237"/>
      <c r="BN89" s="243">
        <f t="shared" si="12"/>
        <v>0</v>
      </c>
    </row>
    <row r="90" spans="33:66" x14ac:dyDescent="0.2">
      <c r="AG90" s="132"/>
      <c r="AH90" s="132"/>
      <c r="AQ90" s="132" t="s">
        <v>411</v>
      </c>
      <c r="AR90" s="234"/>
      <c r="AS90" s="234"/>
      <c r="AT90" s="234"/>
      <c r="AU90" s="234"/>
      <c r="AV90" s="234"/>
      <c r="AW90" s="234"/>
      <c r="AX90" s="234"/>
      <c r="AY90" s="234"/>
      <c r="AZ90" s="234"/>
      <c r="BA90" s="234"/>
      <c r="BB90" s="234"/>
      <c r="BC90" s="234"/>
      <c r="BD90" s="234"/>
      <c r="BE90" s="234"/>
      <c r="BF90" s="234">
        <f>Ore_to_PI!EF106</f>
        <v>5540.6175999999996</v>
      </c>
      <c r="BG90" s="243">
        <f t="shared" si="11"/>
        <v>5540.6175999999996</v>
      </c>
      <c r="BK90" s="132" t="s">
        <v>411</v>
      </c>
      <c r="BL90" s="237"/>
      <c r="BM90" s="237"/>
      <c r="BN90" s="243">
        <f t="shared" si="12"/>
        <v>0</v>
      </c>
    </row>
    <row r="91" spans="33:66" x14ac:dyDescent="0.2">
      <c r="AG91" s="132"/>
      <c r="AH91" s="132"/>
      <c r="AQ91" s="132" t="s">
        <v>459</v>
      </c>
      <c r="AR91" s="234"/>
      <c r="AS91" s="234"/>
      <c r="AT91" s="234">
        <v>0</v>
      </c>
      <c r="AU91" s="234">
        <v>0</v>
      </c>
      <c r="AV91" s="234">
        <v>0</v>
      </c>
      <c r="AW91" s="234">
        <v>0</v>
      </c>
      <c r="AX91" s="234">
        <v>0</v>
      </c>
      <c r="AY91" s="234">
        <v>0</v>
      </c>
      <c r="AZ91" s="234">
        <v>0</v>
      </c>
      <c r="BA91" s="234"/>
      <c r="BB91" s="234"/>
      <c r="BC91" s="234">
        <v>0</v>
      </c>
      <c r="BD91" s="234"/>
      <c r="BE91" s="234"/>
      <c r="BF91" s="234">
        <v>0</v>
      </c>
      <c r="BG91" s="243">
        <f t="shared" si="11"/>
        <v>0</v>
      </c>
      <c r="BK91" s="132" t="s">
        <v>459</v>
      </c>
      <c r="BL91" s="237"/>
      <c r="BM91" s="237"/>
      <c r="BN91" s="243">
        <f t="shared" si="12"/>
        <v>0</v>
      </c>
    </row>
    <row r="92" spans="33:66" ht="16" customHeight="1" x14ac:dyDescent="0.2">
      <c r="AG92" s="239"/>
      <c r="AH92" s="239"/>
      <c r="AQ92" s="229" t="s">
        <v>442</v>
      </c>
      <c r="AR92" s="234"/>
      <c r="AS92" s="234"/>
      <c r="AT92" s="234"/>
      <c r="AU92" s="234">
        <f>Ore_to_PI!BA52</f>
        <v>-854.87945690887818</v>
      </c>
      <c r="AV92" s="234"/>
      <c r="AW92" s="234"/>
      <c r="AX92" s="234"/>
      <c r="AY92" s="234"/>
      <c r="AZ92" s="234"/>
      <c r="BA92" s="234"/>
      <c r="BB92" s="234"/>
      <c r="BC92" s="234"/>
      <c r="BD92" s="234"/>
      <c r="BE92" s="234"/>
      <c r="BF92" s="234"/>
      <c r="BG92" s="243">
        <f t="shared" si="11"/>
        <v>-854.87945690887818</v>
      </c>
      <c r="BK92" s="229" t="s">
        <v>442</v>
      </c>
      <c r="BL92" s="237"/>
      <c r="BM92" s="237"/>
      <c r="BN92" s="243">
        <f t="shared" si="12"/>
        <v>0</v>
      </c>
    </row>
    <row r="93" spans="33:66" ht="16" customHeight="1" x14ac:dyDescent="0.2">
      <c r="AG93" s="229"/>
      <c r="AH93" s="229"/>
      <c r="AQ93" s="132" t="s">
        <v>409</v>
      </c>
      <c r="AR93" s="234"/>
      <c r="AS93" s="234"/>
      <c r="AT93" s="234"/>
      <c r="AU93" s="234"/>
      <c r="AV93" s="234"/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43">
        <f t="shared" si="11"/>
        <v>0</v>
      </c>
      <c r="BK93" s="132" t="s">
        <v>409</v>
      </c>
      <c r="BL93" s="237"/>
      <c r="BM93" s="237">
        <f>Ore_to_PI!AH70</f>
        <v>-83.141622340425528</v>
      </c>
      <c r="BN93" s="243">
        <f t="shared" si="12"/>
        <v>-83.141622340425528</v>
      </c>
    </row>
    <row r="94" spans="33:66" ht="16" customHeight="1" x14ac:dyDescent="0.2">
      <c r="AG94" s="230"/>
      <c r="AH94" s="230"/>
      <c r="AQ94" s="229" t="s">
        <v>412</v>
      </c>
      <c r="AR94" s="234"/>
      <c r="AS94" s="234"/>
      <c r="AT94" s="234"/>
      <c r="AU94" s="234"/>
      <c r="AV94" s="234">
        <f>Ore_to_PI!AI132</f>
        <v>-1201.0257495724293</v>
      </c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43">
        <f t="shared" si="11"/>
        <v>-1201.0257495724293</v>
      </c>
      <c r="BK94" s="229" t="s">
        <v>412</v>
      </c>
      <c r="BL94" s="237"/>
      <c r="BM94" s="241"/>
      <c r="BN94" s="243">
        <f t="shared" si="12"/>
        <v>0</v>
      </c>
    </row>
    <row r="95" spans="33:66" x14ac:dyDescent="0.2">
      <c r="AG95" s="230"/>
      <c r="AH95" s="230"/>
      <c r="AQ95" s="132" t="s">
        <v>437</v>
      </c>
      <c r="AR95" s="234"/>
      <c r="AS95" s="234"/>
      <c r="AT95" s="234"/>
      <c r="AU95" s="234"/>
      <c r="AV95" s="234"/>
      <c r="AW95" s="234"/>
      <c r="AX95" s="234"/>
      <c r="AY95" s="234"/>
      <c r="AZ95" s="234"/>
      <c r="BA95" s="234"/>
      <c r="BB95" s="234"/>
      <c r="BC95" s="234"/>
      <c r="BD95" s="234"/>
      <c r="BE95" s="236"/>
      <c r="BF95" s="234"/>
      <c r="BG95" s="243">
        <f t="shared" si="11"/>
        <v>0</v>
      </c>
      <c r="BK95" s="132" t="s">
        <v>437</v>
      </c>
      <c r="BL95" s="237"/>
      <c r="BM95" s="237">
        <f>Ore_to_PI!AI149</f>
        <v>-83.145862506379771</v>
      </c>
      <c r="BN95" s="243">
        <f t="shared" si="12"/>
        <v>-83.145862506379771</v>
      </c>
    </row>
    <row r="96" spans="33:66" x14ac:dyDescent="0.2">
      <c r="AG96" s="230"/>
      <c r="AH96" s="230"/>
      <c r="AQ96" s="230" t="s">
        <v>430</v>
      </c>
      <c r="AR96" s="234"/>
      <c r="AS96" s="234"/>
      <c r="AT96" s="234"/>
      <c r="AU96" s="234"/>
      <c r="AV96" s="234"/>
      <c r="AW96" s="234">
        <f>Ore_to_PI!AI218</f>
        <v>25028853.3010469</v>
      </c>
      <c r="AX96" s="234"/>
      <c r="AY96" s="234"/>
      <c r="AZ96" s="234"/>
      <c r="BA96" s="234"/>
      <c r="BB96" s="234"/>
      <c r="BC96" s="234"/>
      <c r="BD96" s="234"/>
      <c r="BE96" s="234"/>
      <c r="BF96" s="236"/>
      <c r="BG96" s="243">
        <f t="shared" si="11"/>
        <v>25028853.3010469</v>
      </c>
      <c r="BK96" s="230" t="s">
        <v>430</v>
      </c>
      <c r="BL96" s="237"/>
      <c r="BM96" s="237"/>
      <c r="BN96" s="243">
        <f t="shared" si="12"/>
        <v>0</v>
      </c>
    </row>
    <row r="97" spans="33:71" x14ac:dyDescent="0.2">
      <c r="AG97" s="230"/>
      <c r="AH97" s="230"/>
      <c r="AQ97" s="132" t="s">
        <v>416</v>
      </c>
      <c r="AR97" s="234"/>
      <c r="AS97" s="234"/>
      <c r="AT97" s="234"/>
      <c r="AU97" s="234"/>
      <c r="AV97" s="234"/>
      <c r="AW97" s="234"/>
      <c r="AX97" s="234"/>
      <c r="AY97" s="234"/>
      <c r="AZ97" s="234"/>
      <c r="BA97" s="234"/>
      <c r="BB97" s="234"/>
      <c r="BC97" s="234"/>
      <c r="BD97" s="234"/>
      <c r="BE97" s="234"/>
      <c r="BF97" s="234"/>
      <c r="BG97" s="243">
        <f t="shared" si="11"/>
        <v>0</v>
      </c>
      <c r="BK97" s="132" t="s">
        <v>416</v>
      </c>
      <c r="BL97" s="237"/>
      <c r="BM97" s="237">
        <f>Ore_to_PI!AI234</f>
        <v>-83.141622340425542</v>
      </c>
      <c r="BN97" s="243">
        <f t="shared" si="12"/>
        <v>-83.141622340425542</v>
      </c>
      <c r="BO97" s="52"/>
      <c r="BP97" s="52"/>
      <c r="BQ97" s="52"/>
      <c r="BR97" s="52"/>
      <c r="BS97" s="52"/>
    </row>
    <row r="98" spans="33:71" ht="16" customHeight="1" x14ac:dyDescent="0.2">
      <c r="AG98" s="230"/>
      <c r="AH98" s="230"/>
      <c r="AQ98" s="229" t="s">
        <v>441</v>
      </c>
      <c r="AR98" s="234"/>
      <c r="AS98" s="234"/>
      <c r="AT98" s="234"/>
      <c r="AU98" s="234"/>
      <c r="AV98" s="234"/>
      <c r="AW98" s="234"/>
      <c r="AX98" s="234">
        <f>Ore_to_PI!BA52</f>
        <v>-854.87945690887818</v>
      </c>
      <c r="AY98" s="234"/>
      <c r="AZ98" s="234"/>
      <c r="BA98" s="234"/>
      <c r="BB98" s="234"/>
      <c r="BC98" s="234"/>
      <c r="BD98" s="234"/>
      <c r="BE98" s="234"/>
      <c r="BF98" s="234"/>
      <c r="BG98" s="243">
        <f t="shared" si="11"/>
        <v>-854.87945690887818</v>
      </c>
      <c r="BK98" s="229" t="s">
        <v>441</v>
      </c>
      <c r="BL98" s="237"/>
      <c r="BM98" s="237"/>
      <c r="BN98" s="243">
        <f t="shared" si="12"/>
        <v>0</v>
      </c>
    </row>
    <row r="99" spans="33:71" ht="16" customHeight="1" x14ac:dyDescent="0.2">
      <c r="AG99" s="230"/>
      <c r="AH99" s="230"/>
      <c r="AQ99" s="229" t="s">
        <v>436</v>
      </c>
      <c r="AR99" s="234"/>
      <c r="AS99" s="234"/>
      <c r="AT99" s="234"/>
      <c r="AU99" s="234"/>
      <c r="AV99" s="234"/>
      <c r="AW99" s="234"/>
      <c r="AX99" s="234"/>
      <c r="AY99" s="234">
        <f>Ore_to_PI!BB132</f>
        <v>-1201.0257495724293</v>
      </c>
      <c r="AZ99" s="234"/>
      <c r="BA99" s="234"/>
      <c r="BB99" s="234"/>
      <c r="BC99" s="234"/>
      <c r="BD99" s="234"/>
      <c r="BE99" s="234"/>
      <c r="BF99" s="234"/>
      <c r="BG99" s="243">
        <f t="shared" si="11"/>
        <v>-1201.0257495724293</v>
      </c>
      <c r="BK99" s="229" t="s">
        <v>436</v>
      </c>
      <c r="BL99" s="237"/>
      <c r="BM99" s="237"/>
      <c r="BN99" s="243">
        <f t="shared" si="12"/>
        <v>0</v>
      </c>
    </row>
    <row r="100" spans="33:71" ht="16" customHeight="1" x14ac:dyDescent="0.2">
      <c r="AG100" s="230"/>
      <c r="AH100" s="230"/>
      <c r="AQ100" s="229" t="s">
        <v>433</v>
      </c>
      <c r="AR100" s="234"/>
      <c r="AS100" s="234"/>
      <c r="AT100" s="234"/>
      <c r="AU100" s="234"/>
      <c r="AV100" s="234"/>
      <c r="AW100" s="234"/>
      <c r="AX100" s="234"/>
      <c r="AY100" s="234"/>
      <c r="AZ100" s="234">
        <f>Ore_to_PI!BB218</f>
        <v>25028853.3010469</v>
      </c>
      <c r="BA100" s="234"/>
      <c r="BB100" s="234"/>
      <c r="BC100" s="234"/>
      <c r="BD100" s="234"/>
      <c r="BE100" s="234"/>
      <c r="BF100" s="234"/>
      <c r="BG100" s="243">
        <f t="shared" si="11"/>
        <v>25028853.3010469</v>
      </c>
      <c r="BK100" s="229" t="s">
        <v>433</v>
      </c>
      <c r="BL100" s="237"/>
      <c r="BM100" s="237"/>
      <c r="BN100" s="243">
        <f t="shared" si="12"/>
        <v>0</v>
      </c>
    </row>
    <row r="101" spans="33:71" ht="16" customHeight="1" x14ac:dyDescent="0.2">
      <c r="AG101" s="244"/>
      <c r="AH101" s="244"/>
      <c r="AQ101" s="229" t="s">
        <v>439</v>
      </c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4"/>
      <c r="BB101" s="234"/>
      <c r="BC101" s="234"/>
      <c r="BD101" s="234"/>
      <c r="BE101" s="234">
        <f>Ore_to_PI!BT48</f>
        <v>-847.04018592884336</v>
      </c>
      <c r="BF101" s="234"/>
      <c r="BG101" s="243">
        <f t="shared" si="11"/>
        <v>-847.04018592884336</v>
      </c>
      <c r="BK101" s="229" t="s">
        <v>439</v>
      </c>
      <c r="BL101" s="237"/>
      <c r="BM101" s="237"/>
      <c r="BN101" s="243">
        <f t="shared" si="12"/>
        <v>0</v>
      </c>
    </row>
    <row r="102" spans="33:71" x14ac:dyDescent="0.2">
      <c r="AG102" s="230"/>
      <c r="AH102" s="230"/>
      <c r="AQ102" s="230" t="s">
        <v>438</v>
      </c>
      <c r="AR102" s="234"/>
      <c r="AS102" s="234"/>
      <c r="AT102" s="234"/>
      <c r="AU102" s="234"/>
      <c r="AV102" s="234"/>
      <c r="AW102" s="234"/>
      <c r="AX102" s="234"/>
      <c r="AY102" s="234"/>
      <c r="AZ102" s="234"/>
      <c r="BA102" s="234"/>
      <c r="BB102" s="234"/>
      <c r="BC102" s="234"/>
      <c r="BD102" s="234"/>
      <c r="BE102" s="234"/>
      <c r="BF102" s="236"/>
      <c r="BG102" s="243">
        <f t="shared" si="11"/>
        <v>0</v>
      </c>
      <c r="BH102" s="52"/>
      <c r="BI102" s="52"/>
      <c r="BK102" s="230" t="s">
        <v>438</v>
      </c>
      <c r="BL102" s="237"/>
      <c r="BM102" s="237">
        <f>Ore_to_PI!BT63</f>
        <v>-1314.3311496223889</v>
      </c>
      <c r="BN102" s="243">
        <f t="shared" si="12"/>
        <v>-1314.3311496223889</v>
      </c>
    </row>
    <row r="103" spans="33:71" x14ac:dyDescent="0.2">
      <c r="AG103" s="230"/>
      <c r="AH103" s="230"/>
      <c r="AQ103" s="230" t="s">
        <v>424</v>
      </c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4">
        <f>Ore_to_PI!BU132</f>
        <v>-1201.0257495724293</v>
      </c>
      <c r="BB103" s="234"/>
      <c r="BC103" s="234"/>
      <c r="BD103" s="234"/>
      <c r="BE103" s="234"/>
      <c r="BF103" s="234"/>
      <c r="BG103" s="243">
        <f t="shared" si="11"/>
        <v>-1201.0257495724293</v>
      </c>
      <c r="BK103" s="230" t="s">
        <v>424</v>
      </c>
      <c r="BL103" s="237"/>
      <c r="BM103" s="237"/>
      <c r="BN103" s="243">
        <f t="shared" si="12"/>
        <v>0</v>
      </c>
    </row>
    <row r="104" spans="33:71" x14ac:dyDescent="0.2">
      <c r="AG104" s="230"/>
      <c r="AH104" s="230"/>
      <c r="AQ104" s="230" t="s">
        <v>456</v>
      </c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4"/>
      <c r="BB104" s="234">
        <f>Ore_to_PI!BU218</f>
        <v>25028853.3010469</v>
      </c>
      <c r="BC104" s="234"/>
      <c r="BD104" s="234"/>
      <c r="BE104" s="234"/>
      <c r="BF104" s="234"/>
      <c r="BG104" s="243">
        <f t="shared" si="11"/>
        <v>25028853.3010469</v>
      </c>
      <c r="BK104" s="230" t="s">
        <v>456</v>
      </c>
      <c r="BL104" s="237"/>
      <c r="BM104" s="237"/>
      <c r="BN104" s="243">
        <f t="shared" si="12"/>
        <v>0</v>
      </c>
    </row>
    <row r="105" spans="33:71" x14ac:dyDescent="0.2">
      <c r="AG105" s="230"/>
      <c r="AH105" s="230"/>
      <c r="AQ105" s="230" t="s">
        <v>425</v>
      </c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4"/>
      <c r="BB105" s="234"/>
      <c r="BC105" s="234"/>
      <c r="BD105" s="234"/>
      <c r="BE105" s="234">
        <f>Ore_to_PI!CP131</f>
        <v>-634.9</v>
      </c>
      <c r="BF105" s="234"/>
      <c r="BG105" s="243">
        <f t="shared" si="11"/>
        <v>-634.9</v>
      </c>
      <c r="BK105" s="230" t="s">
        <v>425</v>
      </c>
      <c r="BL105" s="237"/>
      <c r="BM105" s="237"/>
      <c r="BN105" s="243">
        <f t="shared" si="12"/>
        <v>0</v>
      </c>
    </row>
    <row r="106" spans="33:71" x14ac:dyDescent="0.2">
      <c r="AG106" s="230"/>
      <c r="AH106" s="230"/>
      <c r="AQ106" s="230" t="s">
        <v>427</v>
      </c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6"/>
      <c r="BG106" s="243">
        <f t="shared" si="11"/>
        <v>0</v>
      </c>
      <c r="BK106" s="230" t="s">
        <v>427</v>
      </c>
      <c r="BL106" s="237"/>
      <c r="BM106" s="237">
        <f>Ore_to_PI!CP119</f>
        <v>-601.6</v>
      </c>
      <c r="BN106" s="243">
        <f t="shared" si="12"/>
        <v>-601.6</v>
      </c>
    </row>
    <row r="107" spans="33:71" x14ac:dyDescent="0.2">
      <c r="AG107" s="230"/>
      <c r="AH107" s="230"/>
      <c r="AQ107" s="230" t="s">
        <v>426</v>
      </c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/>
      <c r="BE107" s="234"/>
      <c r="BF107" s="234"/>
      <c r="BG107" s="243">
        <f t="shared" si="11"/>
        <v>0</v>
      </c>
      <c r="BK107" s="230" t="s">
        <v>426</v>
      </c>
      <c r="BL107" s="237"/>
      <c r="BM107" s="237">
        <f>Ore_to_PI!CP145</f>
        <v>-107.73184041802253</v>
      </c>
      <c r="BN107" s="243">
        <f t="shared" si="12"/>
        <v>-107.73184041802253</v>
      </c>
    </row>
    <row r="108" spans="33:71" x14ac:dyDescent="0.2">
      <c r="AG108" s="230"/>
      <c r="AH108" s="230"/>
      <c r="AQ108" s="230" t="s">
        <v>484</v>
      </c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>
        <f>Ore_to_PI!CP211</f>
        <v>369.41807770961151</v>
      </c>
      <c r="BF108" s="234"/>
      <c r="BG108" s="243">
        <f t="shared" si="11"/>
        <v>369.41807770961151</v>
      </c>
      <c r="BK108" s="230" t="s">
        <v>484</v>
      </c>
      <c r="BL108" s="237"/>
      <c r="BM108" s="237"/>
      <c r="BN108" s="243">
        <f t="shared" si="12"/>
        <v>0</v>
      </c>
    </row>
    <row r="109" spans="33:71" ht="16" customHeight="1" x14ac:dyDescent="0.2">
      <c r="AG109" s="230"/>
      <c r="AH109" s="230"/>
      <c r="AQ109" s="244" t="s">
        <v>422</v>
      </c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4"/>
      <c r="BB109" s="234"/>
      <c r="BC109" s="234">
        <f>Ore_to_PI!CP243</f>
        <v>-5.2876555731943364</v>
      </c>
      <c r="BD109" s="234"/>
      <c r="BE109" s="234"/>
      <c r="BF109" s="234"/>
      <c r="BG109" s="243">
        <f t="shared" si="11"/>
        <v>-5.2876555731943364</v>
      </c>
      <c r="BK109" s="244" t="s">
        <v>422</v>
      </c>
      <c r="BL109" s="237"/>
      <c r="BM109" s="237"/>
      <c r="BN109" s="243">
        <f t="shared" si="12"/>
        <v>0</v>
      </c>
    </row>
    <row r="110" spans="33:71" ht="16" customHeight="1" x14ac:dyDescent="0.2">
      <c r="AG110" s="230"/>
      <c r="AH110" s="230"/>
      <c r="AQ110" s="244" t="s">
        <v>552</v>
      </c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43">
        <f t="shared" si="11"/>
        <v>0</v>
      </c>
      <c r="BK110" s="244" t="s">
        <v>552</v>
      </c>
      <c r="BL110" s="237"/>
      <c r="BM110" s="237">
        <f>Ore_to_PI!CP282</f>
        <v>-16.063792643147199</v>
      </c>
      <c r="BN110" s="243">
        <f t="shared" si="12"/>
        <v>-16.063792643147199</v>
      </c>
    </row>
    <row r="111" spans="33:71" x14ac:dyDescent="0.2">
      <c r="AG111" s="230"/>
      <c r="AH111" s="230"/>
      <c r="AQ111" s="230" t="s">
        <v>421</v>
      </c>
      <c r="AR111" s="234"/>
      <c r="AS111" s="234"/>
      <c r="AT111" s="234"/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43">
        <f t="shared" si="11"/>
        <v>0</v>
      </c>
      <c r="BK111" s="230" t="s">
        <v>421</v>
      </c>
      <c r="BL111" s="237"/>
      <c r="BM111" s="237">
        <f>Ore_to_PI!CP229</f>
        <v>-1029.2848669218351</v>
      </c>
      <c r="BN111" s="243">
        <f t="shared" si="12"/>
        <v>-1029.2848669218351</v>
      </c>
    </row>
    <row r="112" spans="33:71" x14ac:dyDescent="0.2">
      <c r="AG112" s="230"/>
      <c r="AH112" s="230"/>
      <c r="AQ112" s="132" t="s">
        <v>423</v>
      </c>
      <c r="AR112" s="234"/>
      <c r="AS112" s="234"/>
      <c r="AT112" s="234"/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43">
        <f t="shared" si="11"/>
        <v>0</v>
      </c>
      <c r="BK112" s="132" t="s">
        <v>423</v>
      </c>
      <c r="BL112" s="237"/>
      <c r="BM112" s="237">
        <f>Ore_to_PI!CP258</f>
        <v>-83.374524714828908</v>
      </c>
      <c r="BN112" s="243">
        <f t="shared" si="12"/>
        <v>-83.374524714828908</v>
      </c>
    </row>
    <row r="113" spans="2:66" x14ac:dyDescent="0.2">
      <c r="AG113" s="230"/>
      <c r="AH113" s="230"/>
      <c r="AQ113" s="230" t="s">
        <v>515</v>
      </c>
      <c r="AR113" s="234"/>
      <c r="AS113" s="234"/>
      <c r="AT113" s="234"/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>
        <f>Ore_to_PI!DJ241</f>
        <v>-4.5562340979421263</v>
      </c>
      <c r="BE113" s="234"/>
      <c r="BF113" s="236"/>
      <c r="BG113" s="243">
        <f t="shared" si="11"/>
        <v>-4.5562340979421263</v>
      </c>
      <c r="BK113" s="230" t="s">
        <v>515</v>
      </c>
      <c r="BL113" s="237"/>
      <c r="BM113" s="237"/>
      <c r="BN113" s="243">
        <f t="shared" si="12"/>
        <v>0</v>
      </c>
    </row>
    <row r="114" spans="2:66" x14ac:dyDescent="0.2">
      <c r="AG114" s="230"/>
      <c r="AH114" s="230"/>
      <c r="AQ114" s="230" t="s">
        <v>517</v>
      </c>
      <c r="AR114" s="234"/>
      <c r="AS114" s="234"/>
      <c r="AT114" s="234"/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6">
        <f>Ore_to_PI!EF160</f>
        <v>-4.5562340979421263</v>
      </c>
      <c r="BG114" s="243">
        <f t="shared" si="11"/>
        <v>-4.5562340979421263</v>
      </c>
      <c r="BK114" s="230" t="s">
        <v>517</v>
      </c>
      <c r="BL114" s="237">
        <f>Ore_to_PI!EZ241</f>
        <v>-4.5562340979421254</v>
      </c>
      <c r="BM114" s="237"/>
      <c r="BN114" s="243">
        <f t="shared" si="12"/>
        <v>-4.5562340979421254</v>
      </c>
    </row>
    <row r="115" spans="2:66" x14ac:dyDescent="0.2">
      <c r="AG115" s="230"/>
      <c r="AH115" s="230"/>
      <c r="AQ115" s="230" t="s">
        <v>445</v>
      </c>
      <c r="AR115" s="234"/>
      <c r="AS115" s="234"/>
      <c r="AT115" s="234"/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6">
        <f>Ore_to_PI!EF134</f>
        <v>-57.335418970198283</v>
      </c>
      <c r="BG115" s="243">
        <f t="shared" si="11"/>
        <v>-57.335418970198283</v>
      </c>
      <c r="BK115" s="230" t="s">
        <v>445</v>
      </c>
      <c r="BL115" s="237"/>
      <c r="BM115" s="237"/>
      <c r="BN115" s="243">
        <f t="shared" si="12"/>
        <v>0</v>
      </c>
    </row>
    <row r="116" spans="2:66" x14ac:dyDescent="0.2">
      <c r="AG116" s="230"/>
      <c r="AH116" s="230"/>
      <c r="AQ116" s="230" t="s">
        <v>446</v>
      </c>
      <c r="AR116" s="234"/>
      <c r="AS116" s="234"/>
      <c r="AT116" s="234"/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43">
        <f t="shared" si="11"/>
        <v>0</v>
      </c>
      <c r="BK116" s="230" t="s">
        <v>446</v>
      </c>
      <c r="BL116" s="237">
        <f>Ore_to_PI!FF131</f>
        <v>0</v>
      </c>
      <c r="BM116" s="237"/>
      <c r="BN116" s="243">
        <f t="shared" si="12"/>
        <v>0</v>
      </c>
    </row>
    <row r="117" spans="2:66" x14ac:dyDescent="0.2">
      <c r="AG117" s="230"/>
      <c r="AH117" s="230"/>
      <c r="AQ117" s="230" t="s">
        <v>447</v>
      </c>
      <c r="AR117" s="234"/>
      <c r="AS117" s="234"/>
      <c r="AT117" s="234"/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43">
        <f t="shared" si="11"/>
        <v>0</v>
      </c>
      <c r="BK117" s="230" t="s">
        <v>447</v>
      </c>
      <c r="BL117" s="237"/>
      <c r="BM117" s="237">
        <f>Ore_to_PI!FF149</f>
        <v>-105.59301148993288</v>
      </c>
      <c r="BN117" s="243">
        <f t="shared" si="12"/>
        <v>-105.59301148993288</v>
      </c>
    </row>
    <row r="118" spans="2:66" x14ac:dyDescent="0.2">
      <c r="AG118" s="230"/>
      <c r="AH118" s="230"/>
      <c r="AQ118" s="230" t="s">
        <v>457</v>
      </c>
      <c r="AR118" s="234"/>
      <c r="AS118" s="234"/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43">
        <f t="shared" si="11"/>
        <v>0</v>
      </c>
      <c r="BK118" s="230" t="s">
        <v>457</v>
      </c>
      <c r="BL118" s="237"/>
      <c r="BM118" s="237">
        <f>Ore_to_PI!FF109</f>
        <v>-89.61</v>
      </c>
      <c r="BN118" s="243">
        <f t="shared" si="12"/>
        <v>-89.61</v>
      </c>
    </row>
    <row r="119" spans="2:66" x14ac:dyDescent="0.2">
      <c r="AG119" s="230"/>
      <c r="AH119" s="230"/>
      <c r="AQ119" s="230"/>
      <c r="AR119" s="379" t="s">
        <v>328</v>
      </c>
      <c r="AS119" s="379"/>
      <c r="AT119" s="379"/>
      <c r="AU119" s="379"/>
      <c r="AV119" s="379"/>
      <c r="AW119" s="379"/>
      <c r="AX119" s="379"/>
      <c r="AY119" s="379"/>
      <c r="AZ119" s="379"/>
      <c r="BA119" s="379"/>
      <c r="BB119" s="379"/>
      <c r="BC119" s="379"/>
      <c r="BD119" s="379"/>
      <c r="BE119" s="379"/>
      <c r="BF119" s="379"/>
      <c r="BG119" s="52" t="s">
        <v>369</v>
      </c>
      <c r="BL119" s="379" t="s">
        <v>330</v>
      </c>
      <c r="BM119" s="379"/>
      <c r="BN119" s="52" t="s">
        <v>381</v>
      </c>
    </row>
    <row r="120" spans="2:66" x14ac:dyDescent="0.2">
      <c r="AG120" s="230"/>
      <c r="AH120" s="230"/>
      <c r="AQ120" s="230"/>
      <c r="AR120" s="243">
        <f>SUM(AR83:AR118)</f>
        <v>6272.7233550911224</v>
      </c>
      <c r="AS120" s="243">
        <f>SUM(AS83:AS118)</f>
        <v>5676.4770624275707</v>
      </c>
      <c r="AT120" s="243">
        <f>SUM(AT83:AT118)</f>
        <v>25035980.9038589</v>
      </c>
      <c r="AU120" s="243">
        <f t="shared" ref="AU120:BF120" si="13">SUM(AU83:AU118)</f>
        <v>-854.87945690887818</v>
      </c>
      <c r="AV120" s="243">
        <f t="shared" si="13"/>
        <v>-1201.0257495724293</v>
      </c>
      <c r="AW120" s="243">
        <f t="shared" si="13"/>
        <v>25028853.3010469</v>
      </c>
      <c r="AX120" s="243">
        <f t="shared" si="13"/>
        <v>-854.87945690887818</v>
      </c>
      <c r="AY120" s="243">
        <f t="shared" si="13"/>
        <v>-1201.0257495724293</v>
      </c>
      <c r="AZ120" s="243">
        <f t="shared" si="13"/>
        <v>25028853.3010469</v>
      </c>
      <c r="BA120" s="243">
        <f t="shared" si="13"/>
        <v>-1275.6257495724292</v>
      </c>
      <c r="BB120" s="243">
        <f t="shared" si="13"/>
        <v>25028778.701046899</v>
      </c>
      <c r="BC120" s="243">
        <f t="shared" si="13"/>
        <v>-5.2876555731943364</v>
      </c>
      <c r="BD120" s="243">
        <f t="shared" si="13"/>
        <v>-4.5562340979421263</v>
      </c>
      <c r="BE120" s="243">
        <f t="shared" si="13"/>
        <v>-1112.5221082192318</v>
      </c>
      <c r="BF120" s="243">
        <f t="shared" si="13"/>
        <v>5404.1259469318584</v>
      </c>
      <c r="BL120" s="52"/>
      <c r="BM120" s="52"/>
    </row>
    <row r="121" spans="2:66" ht="13" customHeight="1" x14ac:dyDescent="0.2">
      <c r="C121" s="380"/>
      <c r="D121" s="380"/>
      <c r="E121" s="136"/>
      <c r="F121" s="136"/>
      <c r="G121" s="13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  <c r="AA121" s="136"/>
      <c r="AB121" s="136"/>
      <c r="AC121" s="136"/>
      <c r="AD121" s="136"/>
      <c r="AE121" s="136"/>
      <c r="AF121" s="136"/>
      <c r="AG121" s="230"/>
      <c r="AH121" s="230"/>
      <c r="AI121" s="136"/>
      <c r="AJ121" s="136"/>
      <c r="AK121" s="136"/>
      <c r="AL121" s="136"/>
      <c r="AM121" s="136"/>
      <c r="AN121" s="136"/>
      <c r="AO121" s="136"/>
      <c r="AR121" s="379" t="s">
        <v>368</v>
      </c>
      <c r="AS121" s="379"/>
      <c r="AT121" s="379"/>
      <c r="AU121" s="379"/>
      <c r="AV121" s="379"/>
      <c r="AW121" s="379"/>
      <c r="AX121" s="379"/>
      <c r="AY121" s="379"/>
      <c r="AZ121" s="379"/>
      <c r="BA121" s="379"/>
      <c r="BB121" s="379"/>
      <c r="BC121" s="379"/>
      <c r="BD121" s="379"/>
      <c r="BE121" s="379"/>
      <c r="BF121" s="379"/>
      <c r="BL121" s="52"/>
      <c r="BM121" s="52"/>
    </row>
    <row r="122" spans="2:66" ht="236" customHeight="1" x14ac:dyDescent="0.2">
      <c r="B122" s="60"/>
      <c r="C122" s="231" t="s">
        <v>333</v>
      </c>
      <c r="D122" s="231" t="s">
        <v>335</v>
      </c>
      <c r="E122" s="231" t="s">
        <v>336</v>
      </c>
      <c r="F122" s="231" t="s">
        <v>355</v>
      </c>
      <c r="G122" s="231" t="s">
        <v>377</v>
      </c>
      <c r="H122" s="231" t="s">
        <v>466</v>
      </c>
      <c r="I122" s="231" t="s">
        <v>467</v>
      </c>
      <c r="J122" s="231" t="s">
        <v>411</v>
      </c>
      <c r="K122" s="231" t="s">
        <v>459</v>
      </c>
      <c r="L122" s="232" t="s">
        <v>442</v>
      </c>
      <c r="M122" s="231" t="s">
        <v>409</v>
      </c>
      <c r="N122" s="232" t="s">
        <v>412</v>
      </c>
      <c r="O122" s="231" t="s">
        <v>437</v>
      </c>
      <c r="P122" s="233" t="s">
        <v>430</v>
      </c>
      <c r="Q122" s="231" t="s">
        <v>416</v>
      </c>
      <c r="R122" s="232" t="s">
        <v>441</v>
      </c>
      <c r="S122" s="232" t="s">
        <v>436</v>
      </c>
      <c r="T122" s="232" t="s">
        <v>433</v>
      </c>
      <c r="U122" s="232" t="s">
        <v>439</v>
      </c>
      <c r="V122" s="233" t="s">
        <v>438</v>
      </c>
      <c r="W122" s="233" t="s">
        <v>424</v>
      </c>
      <c r="X122" s="233" t="s">
        <v>456</v>
      </c>
      <c r="Y122" s="233" t="s">
        <v>425</v>
      </c>
      <c r="Z122" s="233" t="s">
        <v>427</v>
      </c>
      <c r="AA122" s="233" t="s">
        <v>426</v>
      </c>
      <c r="AB122" s="233" t="s">
        <v>484</v>
      </c>
      <c r="AC122" s="235" t="s">
        <v>422</v>
      </c>
      <c r="AD122" s="235" t="s">
        <v>552</v>
      </c>
      <c r="AE122" s="233" t="s">
        <v>421</v>
      </c>
      <c r="AF122" s="231" t="s">
        <v>423</v>
      </c>
      <c r="AG122" s="233" t="s">
        <v>515</v>
      </c>
      <c r="AH122" s="233" t="s">
        <v>517</v>
      </c>
      <c r="AI122" s="233" t="s">
        <v>445</v>
      </c>
      <c r="AJ122" s="233" t="s">
        <v>446</v>
      </c>
      <c r="AK122" s="233" t="s">
        <v>447</v>
      </c>
      <c r="AL122" s="233" t="s">
        <v>457</v>
      </c>
      <c r="AM122" s="233"/>
    </row>
    <row r="123" spans="2:66" x14ac:dyDescent="0.2">
      <c r="B123" s="132" t="s">
        <v>325</v>
      </c>
      <c r="C123" s="234"/>
      <c r="D123" s="234"/>
      <c r="E123" s="234"/>
      <c r="F123" s="234"/>
      <c r="G123" s="234"/>
      <c r="H123" s="234"/>
      <c r="I123" s="234"/>
      <c r="J123" s="234"/>
      <c r="K123" s="234"/>
      <c r="L123" s="234">
        <f>Ore_to_PI!AH52</f>
        <v>-854.87945690887818</v>
      </c>
      <c r="M123" s="234">
        <f>Ore_to_PI!AH70</f>
        <v>-83.141622340425528</v>
      </c>
      <c r="N123" s="234"/>
      <c r="O123" s="234"/>
      <c r="P123" s="234"/>
      <c r="Q123" s="234"/>
      <c r="R123" s="234"/>
      <c r="S123" s="234"/>
      <c r="T123" s="234"/>
      <c r="U123" s="234"/>
      <c r="V123" s="234"/>
      <c r="W123" s="234"/>
      <c r="X123" s="234"/>
      <c r="Y123" s="234"/>
      <c r="Z123" s="234"/>
      <c r="AA123" s="234"/>
      <c r="AB123" s="234"/>
      <c r="AC123" s="234"/>
      <c r="AD123" s="234"/>
      <c r="AE123" s="234"/>
      <c r="AF123" s="234"/>
      <c r="AG123" s="234"/>
      <c r="AH123" s="234"/>
      <c r="AI123" s="234"/>
      <c r="AJ123" s="234"/>
      <c r="AK123" s="234"/>
      <c r="AL123" s="234"/>
      <c r="AM123" s="250">
        <f>SUM(C123:AL123)</f>
        <v>-938.02107924930374</v>
      </c>
    </row>
    <row r="124" spans="2:66" x14ac:dyDescent="0.2">
      <c r="B124" s="132" t="s">
        <v>326</v>
      </c>
      <c r="C124" s="234"/>
      <c r="D124" s="234"/>
      <c r="E124" s="234"/>
      <c r="F124" s="234"/>
      <c r="G124" s="234"/>
      <c r="H124" s="234"/>
      <c r="I124" s="234"/>
      <c r="J124" s="234"/>
      <c r="K124" s="234"/>
      <c r="L124" s="234"/>
      <c r="M124" s="234"/>
      <c r="N124" s="234">
        <f>Ore_to_PI!AI132</f>
        <v>-1201.0257495724293</v>
      </c>
      <c r="O124" s="234">
        <f>Ore_to_PI!AI149</f>
        <v>-83.145862506379771</v>
      </c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234"/>
      <c r="AI124" s="234"/>
      <c r="AJ124" s="234"/>
      <c r="AK124" s="234"/>
      <c r="AL124" s="234"/>
      <c r="AM124" s="250">
        <f t="shared" ref="AM124:AM137" si="14">SUM(C124:AL124)</f>
        <v>-1284.1716120788089</v>
      </c>
    </row>
    <row r="125" spans="2:66" x14ac:dyDescent="0.2">
      <c r="B125" s="132" t="s">
        <v>327</v>
      </c>
      <c r="C125" s="234"/>
      <c r="D125" s="234"/>
      <c r="E125" s="234"/>
      <c r="F125" s="234"/>
      <c r="G125" s="234"/>
      <c r="H125" s="234"/>
      <c r="I125" s="234"/>
      <c r="J125" s="234"/>
      <c r="K125" s="234"/>
      <c r="L125" s="234"/>
      <c r="M125" s="234"/>
      <c r="N125" s="234"/>
      <c r="O125" s="234"/>
      <c r="P125" s="234">
        <f>Ore_to_PI!AI218</f>
        <v>25028853.3010469</v>
      </c>
      <c r="Q125" s="234">
        <f>Ore_to_PI!AI234</f>
        <v>-83.141622340425542</v>
      </c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50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2" t="s">
        <v>455</v>
      </c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/>
      <c r="Q126" s="234"/>
      <c r="R126" s="234">
        <f>Ore_to_PI!AH52</f>
        <v>-854.87945690887818</v>
      </c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50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2" t="s">
        <v>435</v>
      </c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/>
      <c r="Q127" s="234"/>
      <c r="R127" s="234"/>
      <c r="S127" s="234">
        <f>Ore_to_PI!BB132</f>
        <v>-1201.0257495724293</v>
      </c>
      <c r="T127" s="234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4"/>
      <c r="AI127" s="234"/>
      <c r="AJ127" s="234"/>
      <c r="AK127" s="234"/>
      <c r="AL127" s="234"/>
      <c r="AM127" s="250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2" t="s">
        <v>434</v>
      </c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/>
      <c r="S128" s="234"/>
      <c r="T128" s="234">
        <f>Ore_to_PI!BB218</f>
        <v>25028853.3010469</v>
      </c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234"/>
      <c r="AI128" s="234"/>
      <c r="AJ128" s="234"/>
      <c r="AK128" s="234"/>
      <c r="AL128" s="234"/>
      <c r="AM128" s="250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2" t="s">
        <v>351</v>
      </c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/>
      <c r="U129" s="234">
        <f>Ore_to_PI!BT48</f>
        <v>-847.04018592884336</v>
      </c>
      <c r="V129" s="234">
        <f>Ore_to_PI!BT63</f>
        <v>-1314.3311496223889</v>
      </c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234"/>
      <c r="AI129" s="234"/>
      <c r="AJ129" s="234"/>
      <c r="AK129" s="234"/>
      <c r="AL129" s="234"/>
      <c r="AM129" s="250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2" t="s">
        <v>348</v>
      </c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/>
      <c r="V130" s="234"/>
      <c r="W130" s="234">
        <f>Ore_to_PI!BU132</f>
        <v>-1201.0257495724293</v>
      </c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234"/>
      <c r="AI130" s="234"/>
      <c r="AJ130" s="234"/>
      <c r="AK130" s="234"/>
      <c r="AL130" s="234"/>
      <c r="AM130" s="250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2" t="s">
        <v>362</v>
      </c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/>
      <c r="X131" s="234">
        <f>Ore_to_PI!BU218</f>
        <v>25028853.3010469</v>
      </c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234"/>
      <c r="AI131" s="234"/>
      <c r="AJ131" s="234"/>
      <c r="AK131" s="234"/>
      <c r="AL131" s="234"/>
      <c r="AM131" s="250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2" t="s">
        <v>349</v>
      </c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/>
      <c r="Y132" s="234">
        <f>Ore_to_PI!CP131</f>
        <v>-634.9</v>
      </c>
      <c r="Z132" s="234">
        <f>Ore_to_PI!CP119</f>
        <v>-601.6</v>
      </c>
      <c r="AA132" s="234">
        <f>Ore_to_PI!CP145</f>
        <v>-107.73184041802253</v>
      </c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50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2" t="s">
        <v>344</v>
      </c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/>
      <c r="Z133" s="234"/>
      <c r="AA133" s="234"/>
      <c r="AB133" s="234">
        <f>Ore_to_PI!CP211</f>
        <v>369.41807770961151</v>
      </c>
      <c r="AC133" s="234">
        <f>Ore_to_PI!CP243</f>
        <v>-5.2876555731943364</v>
      </c>
      <c r="AD133" s="234">
        <f>Ore_to_PI!CP282</f>
        <v>-16.063792643147199</v>
      </c>
      <c r="AE133" s="234">
        <f>Ore_to_PI!CP229</f>
        <v>-1029.2848669218351</v>
      </c>
      <c r="AF133" s="234">
        <f>Ore_to_PI!CP258</f>
        <v>-83.374524714828908</v>
      </c>
      <c r="AG133" s="234"/>
      <c r="AH133" s="234"/>
      <c r="AI133" s="234"/>
      <c r="AJ133" s="234"/>
      <c r="AK133" s="234"/>
      <c r="AL133" s="234"/>
      <c r="AM133" s="250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2" t="s">
        <v>514</v>
      </c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>
        <f>Ore_to_PI!DJ241</f>
        <v>-4.5562340979421263</v>
      </c>
      <c r="AH134" s="234"/>
      <c r="AI134" s="234"/>
      <c r="AJ134" s="234"/>
      <c r="AK134" s="234"/>
      <c r="AL134" s="234"/>
      <c r="AM134" s="250">
        <f t="shared" si="14"/>
        <v>-4.5562340979421263</v>
      </c>
    </row>
    <row r="135" spans="2:65" x14ac:dyDescent="0.2">
      <c r="B135" s="132" t="s">
        <v>516</v>
      </c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>
        <f>Ore_to_PI!EE241</f>
        <v>-4.5562340979421263</v>
      </c>
      <c r="AI135" s="234"/>
      <c r="AJ135" s="234"/>
      <c r="AK135" s="234"/>
      <c r="AL135" s="234"/>
      <c r="AM135" s="250">
        <f t="shared" si="14"/>
        <v>-4.5562340979421263</v>
      </c>
    </row>
    <row r="136" spans="2:65" x14ac:dyDescent="0.2">
      <c r="B136" s="132" t="s">
        <v>76</v>
      </c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>
        <f>Ore_to_PI!EF134</f>
        <v>-57.335418970198283</v>
      </c>
      <c r="AJ136" s="234"/>
      <c r="AK136" s="234"/>
      <c r="AL136" s="234"/>
      <c r="AM136" s="250">
        <f t="shared" si="14"/>
        <v>-57.335418970198283</v>
      </c>
    </row>
    <row r="137" spans="2:65" x14ac:dyDescent="0.2">
      <c r="B137" s="132" t="s">
        <v>337</v>
      </c>
      <c r="C137" s="234"/>
      <c r="D137" s="234"/>
      <c r="E137" s="234"/>
      <c r="F137" s="236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40"/>
      <c r="AB137" s="234"/>
      <c r="AC137" s="234"/>
      <c r="AD137" s="234"/>
      <c r="AE137" s="234"/>
      <c r="AF137" s="234"/>
      <c r="AG137" s="234"/>
      <c r="AH137" s="234"/>
      <c r="AI137" s="234"/>
      <c r="AJ137" s="234">
        <f>Ore_to_PI!FF131</f>
        <v>0</v>
      </c>
      <c r="AK137" s="234">
        <f>Ore_to_PI!FF149</f>
        <v>-105.59301148993288</v>
      </c>
      <c r="AL137" s="234">
        <f>Ore_to_PI!FF109</f>
        <v>-89.61</v>
      </c>
      <c r="AM137" s="250">
        <f t="shared" si="14"/>
        <v>-195.20301148993286</v>
      </c>
    </row>
    <row r="138" spans="2:65" x14ac:dyDescent="0.2">
      <c r="B138" s="132"/>
      <c r="C138" s="379" t="s">
        <v>329</v>
      </c>
      <c r="D138" s="379"/>
      <c r="E138" s="379"/>
      <c r="F138" s="379"/>
      <c r="G138" s="379"/>
      <c r="H138" s="379"/>
      <c r="I138" s="379"/>
      <c r="J138" s="379"/>
      <c r="K138" s="379"/>
      <c r="L138" s="379"/>
      <c r="M138" s="379"/>
      <c r="N138" s="379"/>
      <c r="O138" s="379"/>
      <c r="P138" s="379"/>
      <c r="Q138" s="379"/>
      <c r="R138" s="379"/>
      <c r="S138" s="379"/>
      <c r="T138" s="379"/>
      <c r="U138" s="379"/>
      <c r="V138" s="379"/>
      <c r="W138" s="379"/>
      <c r="X138" s="379"/>
      <c r="Y138" s="379"/>
      <c r="Z138" s="379"/>
      <c r="AA138" s="379"/>
      <c r="AB138" s="379"/>
      <c r="AC138" s="379"/>
      <c r="AD138" s="379"/>
      <c r="AE138" s="379"/>
      <c r="AF138" s="379"/>
      <c r="AG138" s="379"/>
      <c r="AH138" s="379"/>
      <c r="AI138" s="379"/>
      <c r="AJ138" s="379"/>
      <c r="AK138" s="379"/>
      <c r="AL138" s="379"/>
      <c r="AM138" s="52" t="s">
        <v>365</v>
      </c>
      <c r="AN138" s="52"/>
    </row>
    <row r="139" spans="2:65" x14ac:dyDescent="0.2">
      <c r="B139" s="132"/>
      <c r="C139" s="243">
        <f t="shared" ref="C139:G139" si="15">SUM(C123:C137)</f>
        <v>0</v>
      </c>
      <c r="D139" s="243">
        <f t="shared" si="15"/>
        <v>0</v>
      </c>
      <c r="E139" s="243">
        <f t="shared" si="15"/>
        <v>0</v>
      </c>
      <c r="F139" s="243">
        <f t="shared" si="15"/>
        <v>0</v>
      </c>
      <c r="G139" s="243">
        <f t="shared" si="15"/>
        <v>0</v>
      </c>
      <c r="H139" s="243">
        <f t="shared" ref="H139:AL139" si="16">SUM(H123:H137)</f>
        <v>0</v>
      </c>
      <c r="I139" s="243">
        <f t="shared" si="16"/>
        <v>0</v>
      </c>
      <c r="J139" s="243">
        <f t="shared" si="16"/>
        <v>0</v>
      </c>
      <c r="K139" s="243">
        <f t="shared" si="16"/>
        <v>0</v>
      </c>
      <c r="L139" s="243">
        <f t="shared" si="16"/>
        <v>-854.87945690887818</v>
      </c>
      <c r="M139" s="243">
        <f t="shared" si="16"/>
        <v>-83.141622340425528</v>
      </c>
      <c r="N139" s="243">
        <f t="shared" si="16"/>
        <v>-1201.0257495724293</v>
      </c>
      <c r="O139" s="243">
        <f t="shared" si="16"/>
        <v>-83.145862506379771</v>
      </c>
      <c r="P139" s="243">
        <f t="shared" si="16"/>
        <v>25028853.3010469</v>
      </c>
      <c r="Q139" s="243">
        <f t="shared" si="16"/>
        <v>-83.141622340425542</v>
      </c>
      <c r="R139" s="243">
        <f t="shared" si="16"/>
        <v>-854.87945690887818</v>
      </c>
      <c r="S139" s="243">
        <f t="shared" si="16"/>
        <v>-1201.0257495724293</v>
      </c>
      <c r="T139" s="243">
        <f t="shared" si="16"/>
        <v>25028853.3010469</v>
      </c>
      <c r="U139" s="243">
        <f t="shared" si="16"/>
        <v>-847.04018592884336</v>
      </c>
      <c r="V139" s="243">
        <f t="shared" si="16"/>
        <v>-1314.3311496223889</v>
      </c>
      <c r="W139" s="243">
        <f t="shared" si="16"/>
        <v>-1201.0257495724293</v>
      </c>
      <c r="X139" s="243">
        <f t="shared" si="16"/>
        <v>25028853.3010469</v>
      </c>
      <c r="Y139" s="243">
        <f t="shared" si="16"/>
        <v>-634.9</v>
      </c>
      <c r="Z139" s="243">
        <f t="shared" si="16"/>
        <v>-601.6</v>
      </c>
      <c r="AA139" s="243">
        <f t="shared" si="16"/>
        <v>-107.73184041802253</v>
      </c>
      <c r="AB139" s="243">
        <f t="shared" si="16"/>
        <v>369.41807770961151</v>
      </c>
      <c r="AC139" s="243">
        <f t="shared" si="16"/>
        <v>-5.2876555731943364</v>
      </c>
      <c r="AD139" s="243">
        <f t="shared" si="16"/>
        <v>-16.063792643147199</v>
      </c>
      <c r="AE139" s="243">
        <f t="shared" si="16"/>
        <v>-1029.2848669218351</v>
      </c>
      <c r="AF139" s="243">
        <f t="shared" si="16"/>
        <v>-83.374524714828908</v>
      </c>
      <c r="AG139" s="243">
        <f t="shared" si="16"/>
        <v>-4.5562340979421263</v>
      </c>
      <c r="AH139" s="243">
        <f t="shared" si="16"/>
        <v>-4.5562340979421263</v>
      </c>
      <c r="AI139" s="243">
        <f t="shared" si="16"/>
        <v>-57.335418970198283</v>
      </c>
      <c r="AJ139" s="243">
        <f t="shared" si="16"/>
        <v>0</v>
      </c>
      <c r="AK139" s="243">
        <f t="shared" si="16"/>
        <v>-105.59301148993288</v>
      </c>
      <c r="AL139" s="243">
        <f t="shared" si="16"/>
        <v>-89.61</v>
      </c>
      <c r="AM139" s="52"/>
    </row>
    <row r="140" spans="2:65" x14ac:dyDescent="0.2">
      <c r="B140" s="132"/>
      <c r="C140" s="379" t="s">
        <v>366</v>
      </c>
      <c r="D140" s="379"/>
      <c r="E140" s="379"/>
      <c r="F140" s="379"/>
      <c r="G140" s="379"/>
      <c r="H140" s="379"/>
      <c r="I140" s="379"/>
      <c r="J140" s="379"/>
      <c r="K140" s="379"/>
      <c r="L140" s="379"/>
      <c r="M140" s="379"/>
      <c r="N140" s="379"/>
      <c r="O140" s="379"/>
      <c r="P140" s="379"/>
      <c r="Q140" s="379"/>
      <c r="R140" s="379"/>
      <c r="S140" s="379"/>
      <c r="T140" s="379"/>
      <c r="U140" s="379"/>
      <c r="V140" s="379"/>
      <c r="W140" s="379"/>
      <c r="X140" s="379"/>
      <c r="Y140" s="379"/>
      <c r="Z140" s="379"/>
      <c r="AA140" s="379"/>
      <c r="AB140" s="379"/>
      <c r="AC140" s="379"/>
      <c r="AD140" s="379"/>
      <c r="AE140" s="379"/>
      <c r="AF140" s="379"/>
      <c r="AG140" s="379"/>
      <c r="AH140" s="379"/>
      <c r="AI140" s="379"/>
      <c r="AJ140" s="379"/>
      <c r="AK140" s="379"/>
      <c r="AL140" s="379"/>
    </row>
    <row r="141" spans="2:65" x14ac:dyDescent="0.2">
      <c r="B141" s="132"/>
    </row>
    <row r="142" spans="2:65" x14ac:dyDescent="0.2">
      <c r="B142" s="132"/>
    </row>
    <row r="143" spans="2:65" x14ac:dyDescent="0.2">
      <c r="B143" s="132"/>
    </row>
    <row r="144" spans="2:65" x14ac:dyDescent="0.2">
      <c r="B144" s="132"/>
    </row>
    <row r="145" spans="2:44" x14ac:dyDescent="0.2">
      <c r="B145" s="132"/>
    </row>
    <row r="146" spans="2:44" x14ac:dyDescent="0.2">
      <c r="B146" s="132"/>
    </row>
    <row r="147" spans="2:44" x14ac:dyDescent="0.2">
      <c r="B147" s="132"/>
    </row>
    <row r="148" spans="2:44" x14ac:dyDescent="0.2">
      <c r="B148" s="132"/>
    </row>
    <row r="149" spans="2:44" x14ac:dyDescent="0.2">
      <c r="B149" s="132"/>
    </row>
    <row r="150" spans="2:44" x14ac:dyDescent="0.2">
      <c r="B150" s="132"/>
    </row>
    <row r="151" spans="2:44" ht="236" customHeight="1" x14ac:dyDescent="0.2">
      <c r="B151" s="132"/>
      <c r="C151" s="231" t="s">
        <v>333</v>
      </c>
      <c r="D151" s="231" t="s">
        <v>335</v>
      </c>
      <c r="E151" s="231" t="s">
        <v>336</v>
      </c>
      <c r="F151" s="231" t="s">
        <v>355</v>
      </c>
      <c r="G151" s="231" t="s">
        <v>377</v>
      </c>
      <c r="H151" s="231" t="s">
        <v>466</v>
      </c>
      <c r="I151" s="231" t="s">
        <v>467</v>
      </c>
      <c r="J151" s="231" t="s">
        <v>411</v>
      </c>
      <c r="K151" s="231" t="s">
        <v>459</v>
      </c>
      <c r="L151" s="232" t="s">
        <v>442</v>
      </c>
      <c r="M151" s="231" t="s">
        <v>409</v>
      </c>
      <c r="N151" s="232" t="s">
        <v>412</v>
      </c>
      <c r="O151" s="231" t="s">
        <v>437</v>
      </c>
      <c r="P151" s="233" t="s">
        <v>430</v>
      </c>
      <c r="Q151" s="231" t="s">
        <v>416</v>
      </c>
      <c r="R151" s="232" t="s">
        <v>441</v>
      </c>
      <c r="S151" s="232" t="s">
        <v>436</v>
      </c>
      <c r="T151" s="232" t="s">
        <v>433</v>
      </c>
      <c r="U151" s="232" t="s">
        <v>439</v>
      </c>
      <c r="V151" s="233" t="s">
        <v>438</v>
      </c>
      <c r="W151" s="233" t="s">
        <v>424</v>
      </c>
      <c r="X151" s="233" t="s">
        <v>456</v>
      </c>
      <c r="Y151" s="233" t="s">
        <v>425</v>
      </c>
      <c r="Z151" s="233" t="s">
        <v>427</v>
      </c>
      <c r="AA151" s="233" t="s">
        <v>426</v>
      </c>
      <c r="AB151" s="233" t="s">
        <v>484</v>
      </c>
      <c r="AC151" s="235" t="s">
        <v>422</v>
      </c>
      <c r="AD151" s="235" t="s">
        <v>552</v>
      </c>
      <c r="AE151" s="233" t="s">
        <v>421</v>
      </c>
      <c r="AF151" s="231" t="s">
        <v>423</v>
      </c>
      <c r="AG151" s="233" t="s">
        <v>515</v>
      </c>
      <c r="AH151" s="233" t="s">
        <v>517</v>
      </c>
      <c r="AI151" s="233" t="s">
        <v>445</v>
      </c>
      <c r="AJ151" s="233" t="s">
        <v>446</v>
      </c>
      <c r="AK151" s="233" t="s">
        <v>447</v>
      </c>
      <c r="AL151" s="233" t="s">
        <v>457</v>
      </c>
      <c r="AM151" s="233"/>
      <c r="AN151" s="233"/>
    </row>
    <row r="152" spans="2:44" x14ac:dyDescent="0.2">
      <c r="B152" s="132" t="s">
        <v>332</v>
      </c>
      <c r="C152" s="237">
        <f>Ore_to_PI!O52</f>
        <v>-854.87945690887818</v>
      </c>
      <c r="D152" s="237"/>
      <c r="E152" s="237"/>
      <c r="F152" s="237"/>
      <c r="G152" s="237"/>
      <c r="H152" s="237"/>
      <c r="I152" s="237"/>
      <c r="J152" s="237"/>
      <c r="K152" s="237"/>
      <c r="L152" s="237"/>
      <c r="M152" s="237"/>
      <c r="N152" s="237"/>
      <c r="O152" s="237"/>
      <c r="P152" s="237"/>
      <c r="Q152" s="237"/>
      <c r="R152" s="237"/>
      <c r="S152" s="237"/>
      <c r="T152" s="237"/>
      <c r="U152" s="237"/>
      <c r="V152" s="237"/>
      <c r="W152" s="237"/>
      <c r="X152" s="237"/>
      <c r="Y152" s="237"/>
      <c r="Z152" s="237"/>
      <c r="AA152" s="237"/>
      <c r="AB152" s="237"/>
      <c r="AC152" s="237"/>
      <c r="AD152" s="237"/>
      <c r="AE152" s="237"/>
      <c r="AF152" s="237"/>
      <c r="AG152" s="237"/>
      <c r="AH152" s="237"/>
      <c r="AI152" s="237"/>
      <c r="AJ152" s="237"/>
      <c r="AK152" s="237"/>
      <c r="AL152" s="237"/>
    </row>
    <row r="153" spans="2:44" ht="16" customHeight="1" x14ac:dyDescent="0.2">
      <c r="B153" s="229" t="s">
        <v>334</v>
      </c>
      <c r="C153" s="237"/>
      <c r="D153" s="237">
        <f>Ore_to_PI!O132</f>
        <v>-1201.0257495724293</v>
      </c>
      <c r="E153" s="237"/>
      <c r="F153" s="237"/>
      <c r="G153" s="237"/>
      <c r="H153" s="237"/>
      <c r="I153" s="237"/>
      <c r="J153" s="237"/>
      <c r="K153" s="237"/>
      <c r="L153" s="237"/>
      <c r="M153" s="237"/>
      <c r="N153" s="237"/>
      <c r="O153" s="237"/>
      <c r="P153" s="237"/>
      <c r="Q153" s="237"/>
      <c r="R153" s="237"/>
      <c r="S153" s="237"/>
      <c r="T153" s="237"/>
      <c r="U153" s="237"/>
      <c r="V153" s="237"/>
      <c r="W153" s="237"/>
      <c r="X153" s="237"/>
      <c r="Y153" s="237"/>
      <c r="Z153" s="237"/>
      <c r="AA153" s="237"/>
      <c r="AB153" s="237"/>
      <c r="AC153" s="237"/>
      <c r="AD153" s="237"/>
      <c r="AE153" s="237"/>
      <c r="AF153" s="237"/>
      <c r="AG153" s="237"/>
      <c r="AH153" s="237"/>
      <c r="AI153" s="237"/>
      <c r="AJ153" s="237"/>
      <c r="AK153" s="237"/>
      <c r="AL153" s="237"/>
    </row>
    <row r="154" spans="2:44" x14ac:dyDescent="0.2">
      <c r="B154" s="230" t="s">
        <v>356</v>
      </c>
      <c r="C154" s="237"/>
      <c r="D154" s="237"/>
      <c r="E154" s="237">
        <f>Ore_to_PI!O218</f>
        <v>25028853.3010469</v>
      </c>
      <c r="F154" s="237"/>
      <c r="G154" s="237"/>
      <c r="H154" s="237"/>
      <c r="I154" s="237"/>
      <c r="J154" s="237"/>
      <c r="K154" s="237"/>
      <c r="L154" s="237"/>
      <c r="M154" s="237"/>
      <c r="N154" s="237"/>
      <c r="O154" s="237"/>
      <c r="P154" s="237"/>
      <c r="Q154" s="237"/>
      <c r="R154" s="237"/>
      <c r="S154" s="237"/>
      <c r="T154" s="237"/>
      <c r="U154" s="237"/>
      <c r="V154" s="237"/>
      <c r="W154" s="237"/>
      <c r="X154" s="237"/>
      <c r="Y154" s="237"/>
      <c r="Z154" s="237"/>
      <c r="AA154" s="237"/>
      <c r="AB154" s="237"/>
      <c r="AC154" s="237"/>
      <c r="AD154" s="237"/>
      <c r="AE154" s="237"/>
      <c r="AF154" s="237"/>
      <c r="AG154" s="237"/>
      <c r="AH154" s="237"/>
      <c r="AI154" s="237"/>
      <c r="AJ154" s="237"/>
      <c r="AK154" s="237"/>
      <c r="AL154" s="237"/>
    </row>
    <row r="155" spans="2:44" x14ac:dyDescent="0.2">
      <c r="B155" s="132" t="s">
        <v>380</v>
      </c>
      <c r="C155" s="237"/>
      <c r="D155" s="237"/>
      <c r="E155" s="237"/>
      <c r="F155" s="242">
        <f>Ore_to_PI!O242</f>
        <v>0</v>
      </c>
      <c r="G155" s="237"/>
      <c r="H155" s="237"/>
      <c r="I155" s="237"/>
      <c r="J155" s="237"/>
      <c r="K155" s="237"/>
      <c r="L155" s="237"/>
      <c r="M155" s="237"/>
      <c r="N155" s="237"/>
      <c r="O155" s="237"/>
      <c r="P155" s="237"/>
      <c r="Q155" s="237"/>
      <c r="R155" s="237"/>
      <c r="S155" s="237"/>
      <c r="T155" s="237"/>
      <c r="U155" s="237"/>
      <c r="V155" s="237"/>
      <c r="W155" s="237"/>
      <c r="X155" s="237"/>
      <c r="Y155" s="237"/>
      <c r="Z155" s="237"/>
      <c r="AA155" s="237"/>
      <c r="AB155" s="237"/>
      <c r="AC155" s="237"/>
      <c r="AD155" s="237"/>
      <c r="AE155" s="237"/>
      <c r="AF155" s="237"/>
      <c r="AG155" s="237"/>
      <c r="AH155" s="237"/>
      <c r="AI155" s="237"/>
      <c r="AJ155" s="237"/>
      <c r="AK155" s="237"/>
      <c r="AL155" s="237"/>
    </row>
    <row r="156" spans="2:44" x14ac:dyDescent="0.2">
      <c r="B156" s="132" t="s">
        <v>376</v>
      </c>
      <c r="C156" s="237"/>
      <c r="D156" s="237"/>
      <c r="E156" s="237"/>
      <c r="F156" s="237"/>
      <c r="G156" s="237">
        <f>h_CH4</f>
        <v>-74.599999999999994</v>
      </c>
      <c r="H156" s="237"/>
      <c r="I156" s="237"/>
      <c r="J156" s="237"/>
      <c r="K156" s="237"/>
      <c r="L156" s="237"/>
      <c r="M156" s="237"/>
      <c r="N156" s="237"/>
      <c r="O156" s="237"/>
      <c r="P156" s="237"/>
      <c r="Q156" s="237"/>
      <c r="R156" s="237"/>
      <c r="S156" s="237"/>
      <c r="T156" s="237"/>
      <c r="U156" s="237"/>
      <c r="V156" s="237"/>
      <c r="W156" s="237"/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37"/>
      <c r="AI156" s="237"/>
      <c r="AJ156" s="237"/>
      <c r="AK156" s="237"/>
      <c r="AL156" s="237"/>
    </row>
    <row r="157" spans="2:44" x14ac:dyDescent="0.2">
      <c r="B157" s="132" t="s">
        <v>469</v>
      </c>
      <c r="C157" s="237"/>
      <c r="D157" s="237"/>
      <c r="E157" s="237"/>
      <c r="F157" s="237"/>
      <c r="G157" s="237"/>
      <c r="H157" s="237">
        <f>LHV_Diesel*MW_C12H23</f>
        <v>7127.6028120000001</v>
      </c>
      <c r="I157" s="237"/>
      <c r="J157" s="237"/>
      <c r="K157" s="237"/>
      <c r="L157" s="237"/>
      <c r="M157" s="237"/>
      <c r="N157" s="237"/>
      <c r="O157" s="237"/>
      <c r="P157" s="237"/>
      <c r="Q157" s="237"/>
      <c r="R157" s="237"/>
      <c r="S157" s="237"/>
      <c r="T157" s="237"/>
      <c r="U157" s="237"/>
      <c r="V157" s="237"/>
      <c r="W157" s="237"/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37"/>
      <c r="AI157" s="237"/>
      <c r="AJ157" s="237"/>
      <c r="AK157" s="237"/>
      <c r="AL157" s="237"/>
      <c r="AR157" s="235"/>
    </row>
    <row r="158" spans="2:44" x14ac:dyDescent="0.2">
      <c r="B158" s="132" t="s">
        <v>468</v>
      </c>
      <c r="C158" s="237"/>
      <c r="D158" s="237"/>
      <c r="E158" s="237"/>
      <c r="F158" s="237"/>
      <c r="G158" s="237"/>
      <c r="H158" s="237"/>
      <c r="I158" s="237">
        <f>Ore_to_PI!O156</f>
        <v>-250.1</v>
      </c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</row>
    <row r="159" spans="2:44" x14ac:dyDescent="0.2">
      <c r="B159" s="132" t="s">
        <v>410</v>
      </c>
      <c r="C159" s="237"/>
      <c r="D159" s="237"/>
      <c r="E159" s="237"/>
      <c r="F159" s="237"/>
      <c r="G159" s="237"/>
      <c r="H159" s="237"/>
      <c r="I159" s="237"/>
      <c r="J159" s="237">
        <f>Ore_to_PI!EF106</f>
        <v>5540.6175999999996</v>
      </c>
      <c r="K159" s="237"/>
      <c r="L159" s="237"/>
      <c r="M159" s="237"/>
      <c r="N159" s="237"/>
      <c r="O159" s="237"/>
      <c r="P159" s="237"/>
      <c r="Q159" s="237"/>
      <c r="R159" s="237"/>
      <c r="S159" s="237"/>
      <c r="T159" s="237"/>
      <c r="U159" s="237"/>
      <c r="V159" s="237"/>
      <c r="W159" s="237"/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37"/>
      <c r="AI159" s="237"/>
      <c r="AJ159" s="237"/>
      <c r="AK159" s="237"/>
      <c r="AL159" s="237"/>
    </row>
    <row r="160" spans="2:44" x14ac:dyDescent="0.2">
      <c r="B160" s="132" t="s">
        <v>458</v>
      </c>
      <c r="C160" s="237"/>
      <c r="D160" s="237"/>
      <c r="E160" s="237"/>
      <c r="F160" s="237"/>
      <c r="G160" s="237"/>
      <c r="H160" s="237"/>
      <c r="I160" s="237"/>
      <c r="J160" s="237"/>
      <c r="K160" s="237">
        <v>0</v>
      </c>
      <c r="L160" s="237"/>
      <c r="M160" s="237"/>
      <c r="N160" s="237"/>
      <c r="O160" s="237"/>
      <c r="P160" s="237"/>
      <c r="Q160" s="237"/>
      <c r="R160" s="237"/>
      <c r="S160" s="237"/>
      <c r="T160" s="237"/>
      <c r="U160" s="237"/>
      <c r="V160" s="237"/>
      <c r="W160" s="237"/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37"/>
      <c r="AI160" s="237"/>
      <c r="AJ160" s="237"/>
      <c r="AK160" s="237"/>
      <c r="AL160" s="237"/>
    </row>
    <row r="161" spans="2:40" x14ac:dyDescent="0.2">
      <c r="C161" s="379" t="s">
        <v>56</v>
      </c>
      <c r="D161" s="379"/>
      <c r="E161" s="379"/>
      <c r="F161" s="379"/>
      <c r="G161" s="379"/>
      <c r="H161" s="379"/>
      <c r="I161" s="379"/>
      <c r="J161" s="379"/>
      <c r="K161" s="379"/>
      <c r="L161" s="379"/>
      <c r="M161" s="379"/>
      <c r="N161" s="379"/>
      <c r="O161" s="379"/>
      <c r="P161" s="379"/>
      <c r="Q161" s="379"/>
      <c r="R161" s="379"/>
      <c r="S161" s="379"/>
      <c r="T161" s="379"/>
      <c r="U161" s="379"/>
      <c r="V161" s="379"/>
      <c r="W161" s="379"/>
      <c r="X161" s="379"/>
      <c r="Y161" s="379"/>
      <c r="Z161" s="379"/>
      <c r="AA161" s="379"/>
      <c r="AB161" s="379"/>
      <c r="AC161" s="379"/>
      <c r="AD161" s="379"/>
      <c r="AE161" s="379"/>
      <c r="AF161" s="379"/>
      <c r="AG161" s="379"/>
      <c r="AH161" s="379"/>
      <c r="AI161" s="379"/>
      <c r="AJ161" s="379"/>
      <c r="AK161" s="379"/>
      <c r="AL161" s="379"/>
      <c r="AM161" s="52"/>
      <c r="AN161" s="52"/>
    </row>
    <row r="162" spans="2:40" x14ac:dyDescent="0.2">
      <c r="C162" s="243">
        <f t="shared" ref="C162:AL162" si="17">SUM(C152:C160)</f>
        <v>-854.87945690887818</v>
      </c>
      <c r="D162" s="243">
        <f t="shared" si="17"/>
        <v>-1201.0257495724293</v>
      </c>
      <c r="E162" s="243">
        <f t="shared" si="17"/>
        <v>25028853.3010469</v>
      </c>
      <c r="F162" s="243">
        <f t="shared" si="17"/>
        <v>0</v>
      </c>
      <c r="G162" s="243">
        <f t="shared" si="17"/>
        <v>-74.599999999999994</v>
      </c>
      <c r="H162" s="243">
        <f t="shared" si="17"/>
        <v>7127.6028120000001</v>
      </c>
      <c r="I162" s="243">
        <f t="shared" si="17"/>
        <v>-250.1</v>
      </c>
      <c r="J162" s="243">
        <f t="shared" si="17"/>
        <v>5540.6175999999996</v>
      </c>
      <c r="K162" s="243">
        <f t="shared" si="17"/>
        <v>0</v>
      </c>
      <c r="L162" s="243">
        <f t="shared" si="17"/>
        <v>0</v>
      </c>
      <c r="M162" s="243">
        <f t="shared" si="17"/>
        <v>0</v>
      </c>
      <c r="N162" s="243">
        <f t="shared" si="17"/>
        <v>0</v>
      </c>
      <c r="O162" s="243">
        <f t="shared" si="17"/>
        <v>0</v>
      </c>
      <c r="P162" s="243">
        <f t="shared" si="17"/>
        <v>0</v>
      </c>
      <c r="Q162" s="243">
        <f t="shared" si="17"/>
        <v>0</v>
      </c>
      <c r="R162" s="243">
        <f t="shared" si="17"/>
        <v>0</v>
      </c>
      <c r="S162" s="243">
        <f t="shared" si="17"/>
        <v>0</v>
      </c>
      <c r="T162" s="243">
        <f t="shared" si="17"/>
        <v>0</v>
      </c>
      <c r="U162" s="243">
        <f t="shared" si="17"/>
        <v>0</v>
      </c>
      <c r="V162" s="243">
        <f t="shared" si="17"/>
        <v>0</v>
      </c>
      <c r="W162" s="243">
        <f t="shared" si="17"/>
        <v>0</v>
      </c>
      <c r="X162" s="243">
        <f t="shared" si="17"/>
        <v>0</v>
      </c>
      <c r="Y162" s="243">
        <f t="shared" si="17"/>
        <v>0</v>
      </c>
      <c r="Z162" s="243">
        <f t="shared" si="17"/>
        <v>0</v>
      </c>
      <c r="AA162" s="243">
        <f t="shared" si="17"/>
        <v>0</v>
      </c>
      <c r="AB162" s="243">
        <f t="shared" si="17"/>
        <v>0</v>
      </c>
      <c r="AC162" s="243">
        <f t="shared" si="17"/>
        <v>0</v>
      </c>
      <c r="AD162" s="243">
        <f t="shared" si="17"/>
        <v>0</v>
      </c>
      <c r="AE162" s="243">
        <f t="shared" si="17"/>
        <v>0</v>
      </c>
      <c r="AF162" s="243">
        <f t="shared" si="17"/>
        <v>0</v>
      </c>
      <c r="AG162" s="243">
        <f t="shared" si="17"/>
        <v>0</v>
      </c>
      <c r="AH162" s="243">
        <f t="shared" si="17"/>
        <v>0</v>
      </c>
      <c r="AI162" s="243">
        <f t="shared" si="17"/>
        <v>0</v>
      </c>
      <c r="AJ162" s="243">
        <f t="shared" si="17"/>
        <v>0</v>
      </c>
      <c r="AK162" s="243">
        <f t="shared" si="17"/>
        <v>0</v>
      </c>
      <c r="AL162" s="243">
        <f t="shared" si="17"/>
        <v>0</v>
      </c>
    </row>
    <row r="163" spans="2:40" x14ac:dyDescent="0.2">
      <c r="C163" s="379" t="s">
        <v>367</v>
      </c>
      <c r="D163" s="379"/>
      <c r="E163" s="379"/>
      <c r="F163" s="379"/>
      <c r="G163" s="379"/>
      <c r="H163" s="379"/>
      <c r="I163" s="379"/>
      <c r="J163" s="379"/>
      <c r="K163" s="379"/>
      <c r="L163" s="379"/>
      <c r="M163" s="379"/>
      <c r="N163" s="379"/>
      <c r="O163" s="379"/>
      <c r="P163" s="379"/>
      <c r="Q163" s="379"/>
      <c r="R163" s="379"/>
      <c r="S163" s="379"/>
      <c r="T163" s="379"/>
      <c r="U163" s="379"/>
      <c r="V163" s="379"/>
      <c r="W163" s="379"/>
      <c r="X163" s="379"/>
      <c r="Y163" s="379"/>
      <c r="Z163" s="379"/>
      <c r="AA163" s="379"/>
      <c r="AB163" s="379"/>
      <c r="AC163" s="379"/>
      <c r="AD163" s="379"/>
      <c r="AE163" s="379"/>
      <c r="AF163" s="379"/>
      <c r="AG163" s="379"/>
      <c r="AH163" s="379"/>
      <c r="AI163" s="379"/>
      <c r="AJ163" s="379"/>
      <c r="AK163" s="379"/>
      <c r="AL163" s="379"/>
      <c r="AM163" s="52"/>
      <c r="AN163" s="52"/>
    </row>
    <row r="167" spans="2:40" x14ac:dyDescent="0.2">
      <c r="C167" s="379" t="s">
        <v>512</v>
      </c>
      <c r="D167" s="379"/>
      <c r="E167" s="379"/>
      <c r="F167" s="379"/>
      <c r="G167" s="379"/>
      <c r="H167" s="379"/>
      <c r="I167" s="379"/>
      <c r="J167" s="379"/>
      <c r="K167" s="379"/>
      <c r="L167" s="238"/>
      <c r="M167" s="238"/>
      <c r="N167" s="238"/>
      <c r="O167" s="238"/>
      <c r="P167" s="238"/>
      <c r="Q167" s="238"/>
      <c r="R167" s="238"/>
      <c r="S167" s="238"/>
      <c r="T167" s="238"/>
      <c r="U167" s="52"/>
      <c r="V167" s="52"/>
    </row>
    <row r="170" spans="2:40" x14ac:dyDescent="0.2">
      <c r="B170" s="132" t="s">
        <v>333</v>
      </c>
      <c r="C170" s="243">
        <f t="array" ref="C170:C205">TRANSPOSE(C162:AL162)</f>
        <v>-854.87945690887818</v>
      </c>
      <c r="E170" s="243">
        <f t="array" ref="E170:E205">TRANSPOSE(C139:AL139)</f>
        <v>0</v>
      </c>
      <c r="G170" s="243">
        <f t="shared" ref="G170:G196" si="18">BG83</f>
        <v>-854.87945690887818</v>
      </c>
      <c r="I170" s="243">
        <f t="array" ref="I170:I205">BN83:BN118</f>
        <v>0</v>
      </c>
      <c r="K170" s="247">
        <f>C170+E170-G170-I170</f>
        <v>0</v>
      </c>
    </row>
    <row r="171" spans="2:40" x14ac:dyDescent="0.2">
      <c r="B171" s="132" t="s">
        <v>335</v>
      </c>
      <c r="C171" s="243">
        <v>-1201.0257495724293</v>
      </c>
      <c r="E171" s="243">
        <v>0</v>
      </c>
      <c r="G171" s="243">
        <f t="shared" si="18"/>
        <v>-1201.0257495724293</v>
      </c>
      <c r="I171" s="243">
        <v>0</v>
      </c>
      <c r="K171" s="247">
        <f t="shared" ref="K171:K205" si="19">C171+E171-G171-I171</f>
        <v>0</v>
      </c>
    </row>
    <row r="172" spans="2:40" x14ac:dyDescent="0.2">
      <c r="B172" s="132" t="s">
        <v>336</v>
      </c>
      <c r="C172" s="243">
        <v>25028853.3010469</v>
      </c>
      <c r="E172" s="243">
        <v>0</v>
      </c>
      <c r="G172" s="243">
        <f t="shared" si="18"/>
        <v>25028853.3010469</v>
      </c>
      <c r="I172" s="243">
        <v>0</v>
      </c>
      <c r="K172" s="247">
        <f t="shared" si="19"/>
        <v>0</v>
      </c>
    </row>
    <row r="173" spans="2:40" x14ac:dyDescent="0.2">
      <c r="B173" s="132" t="s">
        <v>355</v>
      </c>
      <c r="C173" s="243">
        <v>0</v>
      </c>
      <c r="E173" s="243">
        <v>0</v>
      </c>
      <c r="G173" s="243">
        <f t="shared" si="18"/>
        <v>0</v>
      </c>
      <c r="I173" s="243">
        <v>0</v>
      </c>
      <c r="K173" s="247">
        <f t="shared" si="19"/>
        <v>0</v>
      </c>
    </row>
    <row r="174" spans="2:40" x14ac:dyDescent="0.2">
      <c r="B174" s="132" t="s">
        <v>377</v>
      </c>
      <c r="C174" s="243">
        <v>-74.599999999999994</v>
      </c>
      <c r="E174" s="243">
        <v>0</v>
      </c>
      <c r="G174" s="243">
        <f t="shared" si="18"/>
        <v>-223.79999999999998</v>
      </c>
      <c r="I174" s="243">
        <v>0</v>
      </c>
      <c r="K174" s="247" t="s">
        <v>518</v>
      </c>
    </row>
    <row r="175" spans="2:40" x14ac:dyDescent="0.2">
      <c r="B175" s="132" t="s">
        <v>407</v>
      </c>
      <c r="C175" s="243">
        <v>7127.6028120000001</v>
      </c>
      <c r="E175" s="243">
        <v>0</v>
      </c>
      <c r="G175" s="243">
        <f t="shared" si="18"/>
        <v>21382.808435999999</v>
      </c>
      <c r="I175" s="243">
        <v>0</v>
      </c>
      <c r="K175" s="247" t="s">
        <v>518</v>
      </c>
    </row>
    <row r="176" spans="2:40" x14ac:dyDescent="0.2">
      <c r="B176" s="132" t="s">
        <v>408</v>
      </c>
      <c r="C176" s="243">
        <v>-250.1</v>
      </c>
      <c r="E176" s="243">
        <v>0</v>
      </c>
      <c r="G176" s="243">
        <f t="shared" si="18"/>
        <v>-250.1</v>
      </c>
      <c r="I176" s="243">
        <v>0</v>
      </c>
      <c r="K176" s="247">
        <f t="shared" si="19"/>
        <v>0</v>
      </c>
    </row>
    <row r="177" spans="2:18" x14ac:dyDescent="0.2">
      <c r="B177" s="132" t="s">
        <v>411</v>
      </c>
      <c r="C177" s="243">
        <v>5540.6175999999996</v>
      </c>
      <c r="E177" s="243">
        <v>0</v>
      </c>
      <c r="G177" s="243">
        <f t="shared" si="18"/>
        <v>5540.6175999999996</v>
      </c>
      <c r="I177" s="243">
        <v>0</v>
      </c>
      <c r="K177" s="247">
        <f t="shared" si="19"/>
        <v>0</v>
      </c>
    </row>
    <row r="178" spans="2:18" x14ac:dyDescent="0.2">
      <c r="B178" s="132" t="s">
        <v>459</v>
      </c>
      <c r="C178" s="243">
        <v>0</v>
      </c>
      <c r="E178" s="243">
        <v>0</v>
      </c>
      <c r="G178" s="243">
        <f t="shared" si="18"/>
        <v>0</v>
      </c>
      <c r="I178" s="243">
        <v>0</v>
      </c>
      <c r="K178" s="247">
        <f t="shared" si="19"/>
        <v>0</v>
      </c>
    </row>
    <row r="179" spans="2:18" ht="16" customHeight="1" x14ac:dyDescent="0.2">
      <c r="B179" s="229" t="s">
        <v>442</v>
      </c>
      <c r="C179" s="243">
        <v>0</v>
      </c>
      <c r="E179" s="243">
        <v>-854.87945690887818</v>
      </c>
      <c r="G179" s="243">
        <f t="shared" si="18"/>
        <v>-854.87945690887818</v>
      </c>
      <c r="I179" s="243">
        <v>0</v>
      </c>
      <c r="K179" s="247">
        <f t="shared" si="19"/>
        <v>0</v>
      </c>
    </row>
    <row r="180" spans="2:18" x14ac:dyDescent="0.2">
      <c r="B180" s="132" t="s">
        <v>409</v>
      </c>
      <c r="C180" s="243">
        <v>0</v>
      </c>
      <c r="E180" s="243">
        <v>-83.141622340425528</v>
      </c>
      <c r="G180" s="243">
        <f t="shared" si="18"/>
        <v>0</v>
      </c>
      <c r="I180" s="243">
        <v>-83.141622340425528</v>
      </c>
      <c r="K180" s="247">
        <f t="shared" si="19"/>
        <v>0</v>
      </c>
    </row>
    <row r="181" spans="2:18" ht="16" customHeight="1" x14ac:dyDescent="0.2">
      <c r="B181" s="229" t="s">
        <v>412</v>
      </c>
      <c r="C181" s="243">
        <v>0</v>
      </c>
      <c r="E181" s="243">
        <v>-1201.0257495724293</v>
      </c>
      <c r="G181" s="243">
        <f t="shared" si="18"/>
        <v>-1201.0257495724293</v>
      </c>
      <c r="I181" s="243">
        <v>0</v>
      </c>
      <c r="K181" s="247">
        <f t="shared" si="19"/>
        <v>0</v>
      </c>
    </row>
    <row r="182" spans="2:18" x14ac:dyDescent="0.2">
      <c r="B182" s="132" t="s">
        <v>437</v>
      </c>
      <c r="C182" s="243">
        <v>0</v>
      </c>
      <c r="E182" s="243">
        <v>-83.145862506379771</v>
      </c>
      <c r="G182" s="243">
        <f t="shared" si="18"/>
        <v>0</v>
      </c>
      <c r="I182" s="243">
        <v>-83.145862506379771</v>
      </c>
      <c r="K182" s="247">
        <f t="shared" si="19"/>
        <v>0</v>
      </c>
    </row>
    <row r="183" spans="2:18" x14ac:dyDescent="0.2">
      <c r="B183" s="230" t="s">
        <v>430</v>
      </c>
      <c r="C183" s="243">
        <v>0</v>
      </c>
      <c r="D183" s="52" t="s">
        <v>371</v>
      </c>
      <c r="E183" s="243">
        <v>25028853.3010469</v>
      </c>
      <c r="F183" s="52" t="s">
        <v>373</v>
      </c>
      <c r="G183" s="243">
        <f t="shared" si="18"/>
        <v>25028853.3010469</v>
      </c>
      <c r="H183" s="52" t="s">
        <v>373</v>
      </c>
      <c r="I183" s="243">
        <v>0</v>
      </c>
      <c r="J183" s="52" t="s">
        <v>374</v>
      </c>
      <c r="K183" s="247">
        <f t="shared" si="19"/>
        <v>0</v>
      </c>
      <c r="P183" s="231"/>
    </row>
    <row r="184" spans="2:18" x14ac:dyDescent="0.2">
      <c r="B184" s="132" t="s">
        <v>416</v>
      </c>
      <c r="C184" s="243">
        <v>0</v>
      </c>
      <c r="E184" s="243">
        <v>-83.141622340425542</v>
      </c>
      <c r="G184" s="243">
        <f t="shared" si="18"/>
        <v>0</v>
      </c>
      <c r="I184" s="243">
        <v>-83.141622340425542</v>
      </c>
      <c r="K184" s="247">
        <f t="shared" si="19"/>
        <v>0</v>
      </c>
    </row>
    <row r="185" spans="2:18" ht="16" customHeight="1" x14ac:dyDescent="0.2">
      <c r="B185" s="229" t="s">
        <v>441</v>
      </c>
      <c r="C185" s="243">
        <v>0</v>
      </c>
      <c r="E185" s="243">
        <v>-854.87945690887818</v>
      </c>
      <c r="G185" s="243">
        <f t="shared" si="18"/>
        <v>-854.87945690887818</v>
      </c>
      <c r="I185" s="243">
        <v>0</v>
      </c>
      <c r="K185" s="247">
        <f t="shared" si="19"/>
        <v>0</v>
      </c>
    </row>
    <row r="186" spans="2:18" ht="16" customHeight="1" x14ac:dyDescent="0.2">
      <c r="B186" s="229" t="s">
        <v>436</v>
      </c>
      <c r="C186" s="243">
        <v>0</v>
      </c>
      <c r="E186" s="243">
        <v>-1201.0257495724293</v>
      </c>
      <c r="G186" s="243">
        <f t="shared" si="18"/>
        <v>-1201.0257495724293</v>
      </c>
      <c r="I186" s="243">
        <v>0</v>
      </c>
      <c r="K186" s="247">
        <f t="shared" si="19"/>
        <v>0</v>
      </c>
    </row>
    <row r="187" spans="2:18" ht="16" customHeight="1" x14ac:dyDescent="0.2">
      <c r="B187" s="229" t="s">
        <v>433</v>
      </c>
      <c r="C187" s="243">
        <v>0</v>
      </c>
      <c r="E187" s="243">
        <v>25028853.3010469</v>
      </c>
      <c r="G187" s="243">
        <f t="shared" si="18"/>
        <v>25028853.3010469</v>
      </c>
      <c r="I187" s="243">
        <v>0</v>
      </c>
      <c r="K187" s="247">
        <f t="shared" si="19"/>
        <v>0</v>
      </c>
    </row>
    <row r="188" spans="2:18" ht="16" customHeight="1" x14ac:dyDescent="0.2">
      <c r="B188" s="229" t="s">
        <v>439</v>
      </c>
      <c r="C188" s="243">
        <v>0</v>
      </c>
      <c r="E188" s="243">
        <v>-847.04018592884336</v>
      </c>
      <c r="G188" s="243">
        <f t="shared" si="18"/>
        <v>-847.04018592884336</v>
      </c>
      <c r="I188" s="243">
        <v>0</v>
      </c>
      <c r="K188" s="247">
        <f t="shared" si="19"/>
        <v>0</v>
      </c>
    </row>
    <row r="189" spans="2:18" x14ac:dyDescent="0.2">
      <c r="B189" s="230" t="s">
        <v>438</v>
      </c>
      <c r="C189" s="243">
        <v>0</v>
      </c>
      <c r="E189" s="243">
        <v>-1314.3311496223889</v>
      </c>
      <c r="G189" s="243">
        <f t="shared" si="18"/>
        <v>0</v>
      </c>
      <c r="I189" s="243">
        <v>-1314.3311496223889</v>
      </c>
      <c r="K189" s="247">
        <f t="shared" si="19"/>
        <v>0</v>
      </c>
    </row>
    <row r="190" spans="2:18" x14ac:dyDescent="0.2">
      <c r="B190" s="230" t="s">
        <v>424</v>
      </c>
      <c r="C190" s="243">
        <v>0</v>
      </c>
      <c r="E190" s="243">
        <v>-1201.0257495724293</v>
      </c>
      <c r="G190" s="243">
        <f t="shared" si="18"/>
        <v>-1201.0257495724293</v>
      </c>
      <c r="I190" s="243">
        <v>0</v>
      </c>
      <c r="K190" s="247">
        <f t="shared" si="19"/>
        <v>0</v>
      </c>
      <c r="N190" s="52"/>
      <c r="P190" s="52"/>
      <c r="Q190" s="52"/>
      <c r="R190" s="52"/>
    </row>
    <row r="191" spans="2:18" x14ac:dyDescent="0.2">
      <c r="B191" s="230" t="s">
        <v>456</v>
      </c>
      <c r="C191" s="243">
        <v>0</v>
      </c>
      <c r="E191" s="243">
        <v>25028853.3010469</v>
      </c>
      <c r="G191" s="243">
        <f t="shared" si="18"/>
        <v>25028853.3010469</v>
      </c>
      <c r="I191" s="243">
        <v>0</v>
      </c>
      <c r="K191" s="247">
        <f t="shared" si="19"/>
        <v>0</v>
      </c>
      <c r="N191" s="52"/>
      <c r="P191" s="52"/>
      <c r="Q191" s="52"/>
      <c r="R191" s="52"/>
    </row>
    <row r="192" spans="2:18" x14ac:dyDescent="0.2">
      <c r="B192" s="230" t="s">
        <v>425</v>
      </c>
      <c r="C192" s="243">
        <v>0</v>
      </c>
      <c r="E192" s="243">
        <v>-634.9</v>
      </c>
      <c r="G192" s="243">
        <f t="shared" si="18"/>
        <v>-634.9</v>
      </c>
      <c r="I192" s="243">
        <v>0</v>
      </c>
      <c r="K192" s="247">
        <f t="shared" si="19"/>
        <v>0</v>
      </c>
      <c r="N192" s="52"/>
      <c r="P192" s="52"/>
      <c r="Q192" s="52"/>
      <c r="R192" s="52"/>
    </row>
    <row r="193" spans="2:19" x14ac:dyDescent="0.2">
      <c r="B193" s="230" t="s">
        <v>427</v>
      </c>
      <c r="C193" s="243">
        <v>0</v>
      </c>
      <c r="E193" s="243">
        <v>-601.6</v>
      </c>
      <c r="G193" s="243">
        <f t="shared" si="18"/>
        <v>0</v>
      </c>
      <c r="I193" s="243">
        <v>-601.6</v>
      </c>
      <c r="K193" s="247">
        <f t="shared" si="19"/>
        <v>0</v>
      </c>
      <c r="N193" s="52"/>
      <c r="P193" s="52"/>
      <c r="Q193" s="52"/>
      <c r="R193" s="52"/>
    </row>
    <row r="194" spans="2:19" x14ac:dyDescent="0.2">
      <c r="B194" s="230" t="s">
        <v>426</v>
      </c>
      <c r="C194" s="243">
        <v>0</v>
      </c>
      <c r="E194" s="243">
        <v>-107.73184041802253</v>
      </c>
      <c r="G194" s="243">
        <f t="shared" si="18"/>
        <v>0</v>
      </c>
      <c r="I194" s="243">
        <v>-107.73184041802253</v>
      </c>
      <c r="K194" s="247">
        <f t="shared" si="19"/>
        <v>0</v>
      </c>
      <c r="N194" s="52"/>
      <c r="P194" s="52"/>
      <c r="Q194" s="52"/>
      <c r="R194" s="52"/>
    </row>
    <row r="195" spans="2:19" x14ac:dyDescent="0.2">
      <c r="B195" s="230" t="s">
        <v>484</v>
      </c>
      <c r="C195" s="243">
        <v>0</v>
      </c>
      <c r="E195" s="243">
        <v>369.41807770961151</v>
      </c>
      <c r="G195" s="243">
        <f t="shared" si="18"/>
        <v>369.41807770961151</v>
      </c>
      <c r="I195" s="243">
        <v>0</v>
      </c>
      <c r="K195" s="247">
        <f t="shared" si="19"/>
        <v>0</v>
      </c>
    </row>
    <row r="196" spans="2:19" ht="16" customHeight="1" x14ac:dyDescent="0.2">
      <c r="B196" s="244" t="s">
        <v>422</v>
      </c>
      <c r="C196" s="243">
        <v>0</v>
      </c>
      <c r="E196" s="243">
        <v>-5.2876555731943364</v>
      </c>
      <c r="G196" s="243">
        <f t="shared" si="18"/>
        <v>-5.2876555731943364</v>
      </c>
      <c r="I196" s="243">
        <v>0</v>
      </c>
      <c r="K196" s="247">
        <f t="shared" si="19"/>
        <v>0</v>
      </c>
    </row>
    <row r="197" spans="2:19" ht="16" customHeight="1" x14ac:dyDescent="0.2">
      <c r="B197" s="244" t="s">
        <v>552</v>
      </c>
      <c r="C197" s="243">
        <v>0</v>
      </c>
      <c r="E197" s="243">
        <v>-16.063792643147199</v>
      </c>
      <c r="G197" s="243"/>
      <c r="I197" s="243">
        <v>-16.063792643147199</v>
      </c>
      <c r="K197" s="247">
        <f t="shared" si="19"/>
        <v>0</v>
      </c>
    </row>
    <row r="198" spans="2:19" x14ac:dyDescent="0.2">
      <c r="B198" s="230" t="s">
        <v>421</v>
      </c>
      <c r="C198" s="243">
        <v>0</v>
      </c>
      <c r="E198" s="243">
        <v>-1029.2848669218351</v>
      </c>
      <c r="G198" s="243">
        <f t="shared" ref="G198:G205" si="20">BG111</f>
        <v>0</v>
      </c>
      <c r="I198" s="243">
        <v>-1029.2848669218351</v>
      </c>
      <c r="K198" s="247">
        <f t="shared" si="19"/>
        <v>0</v>
      </c>
      <c r="L198" s="52"/>
    </row>
    <row r="199" spans="2:19" x14ac:dyDescent="0.2">
      <c r="B199" s="132" t="s">
        <v>423</v>
      </c>
      <c r="C199" s="243">
        <v>0</v>
      </c>
      <c r="E199" s="243">
        <v>-83.374524714828908</v>
      </c>
      <c r="G199" s="243">
        <f t="shared" si="20"/>
        <v>0</v>
      </c>
      <c r="I199" s="243">
        <v>-83.374524714828908</v>
      </c>
      <c r="K199" s="247">
        <f t="shared" si="19"/>
        <v>0</v>
      </c>
    </row>
    <row r="200" spans="2:19" x14ac:dyDescent="0.2">
      <c r="B200" s="230" t="s">
        <v>515</v>
      </c>
      <c r="C200" s="243">
        <v>0</v>
      </c>
      <c r="E200" s="243">
        <v>-4.5562340979421263</v>
      </c>
      <c r="G200" s="243">
        <f t="shared" si="20"/>
        <v>-4.5562340979421263</v>
      </c>
      <c r="I200" s="243">
        <v>0</v>
      </c>
      <c r="K200" s="247">
        <f t="shared" si="19"/>
        <v>0</v>
      </c>
    </row>
    <row r="201" spans="2:19" x14ac:dyDescent="0.2">
      <c r="B201" s="230" t="s">
        <v>517</v>
      </c>
      <c r="C201" s="243">
        <v>0</v>
      </c>
      <c r="E201" s="243">
        <v>-4.5562340979421263</v>
      </c>
      <c r="G201" s="243">
        <f t="shared" si="20"/>
        <v>-4.5562340979421263</v>
      </c>
      <c r="I201" s="243">
        <v>-4.5562340979421254</v>
      </c>
      <c r="K201" s="247" t="s">
        <v>518</v>
      </c>
    </row>
    <row r="202" spans="2:19" x14ac:dyDescent="0.2">
      <c r="B202" s="230" t="s">
        <v>445</v>
      </c>
      <c r="C202" s="243">
        <v>0</v>
      </c>
      <c r="E202" s="243">
        <v>-57.335418970198283</v>
      </c>
      <c r="G202" s="243">
        <f t="shared" si="20"/>
        <v>-57.335418970198283</v>
      </c>
      <c r="I202" s="243">
        <v>0</v>
      </c>
      <c r="K202" s="247">
        <f t="shared" si="19"/>
        <v>0</v>
      </c>
      <c r="P202" s="238"/>
      <c r="Q202" s="238"/>
      <c r="R202" s="238"/>
      <c r="S202" s="238"/>
    </row>
    <row r="203" spans="2:19" x14ac:dyDescent="0.2">
      <c r="B203" s="230" t="s">
        <v>446</v>
      </c>
      <c r="C203" s="243">
        <v>0</v>
      </c>
      <c r="E203" s="243">
        <v>0</v>
      </c>
      <c r="G203" s="243">
        <f t="shared" si="20"/>
        <v>0</v>
      </c>
      <c r="I203" s="243">
        <v>0</v>
      </c>
      <c r="K203" s="247">
        <f t="shared" si="19"/>
        <v>0</v>
      </c>
    </row>
    <row r="204" spans="2:19" x14ac:dyDescent="0.2">
      <c r="B204" s="230" t="s">
        <v>447</v>
      </c>
      <c r="C204" s="243">
        <v>0</v>
      </c>
      <c r="E204" s="243">
        <v>-105.59301148993288</v>
      </c>
      <c r="G204" s="243">
        <f t="shared" si="20"/>
        <v>0</v>
      </c>
      <c r="I204" s="243">
        <v>-105.59301148993288</v>
      </c>
      <c r="K204" s="247">
        <f t="shared" si="19"/>
        <v>0</v>
      </c>
    </row>
    <row r="205" spans="2:19" x14ac:dyDescent="0.2">
      <c r="B205" s="230" t="s">
        <v>457</v>
      </c>
      <c r="C205" s="243">
        <v>0</v>
      </c>
      <c r="E205" s="243">
        <v>-89.61</v>
      </c>
      <c r="G205" s="243">
        <f t="shared" si="20"/>
        <v>0</v>
      </c>
      <c r="I205" s="243">
        <v>-89.61</v>
      </c>
      <c r="K205" s="247">
        <f t="shared" si="19"/>
        <v>0</v>
      </c>
    </row>
    <row r="206" spans="2:19" ht="17" customHeight="1" x14ac:dyDescent="0.2">
      <c r="B206" s="230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0"/>
      <c r="G207" s="52"/>
      <c r="I207" s="52"/>
    </row>
    <row r="208" spans="2:19" x14ac:dyDescent="0.2">
      <c r="B208" s="230"/>
    </row>
    <row r="209" spans="2:15" x14ac:dyDescent="0.2">
      <c r="D209" s="238"/>
      <c r="E209" s="238"/>
      <c r="L209" s="238"/>
      <c r="M209" s="238"/>
    </row>
    <row r="212" spans="2:15" x14ac:dyDescent="0.2">
      <c r="D212" s="238"/>
      <c r="E212" s="238"/>
    </row>
    <row r="213" spans="2:15" x14ac:dyDescent="0.2">
      <c r="B213" s="132" t="s">
        <v>325</v>
      </c>
      <c r="C213" s="248">
        <v>0</v>
      </c>
      <c r="N213" s="238"/>
      <c r="O213" s="238"/>
    </row>
    <row r="214" spans="2:15" x14ac:dyDescent="0.2">
      <c r="B214" s="132" t="s">
        <v>326</v>
      </c>
      <c r="C214" s="248">
        <v>0</v>
      </c>
    </row>
    <row r="215" spans="2:15" x14ac:dyDescent="0.2">
      <c r="B215" s="132" t="s">
        <v>327</v>
      </c>
      <c r="C215" s="248">
        <f>Ore_to_PI!AA195</f>
        <v>80616.370239891301</v>
      </c>
    </row>
    <row r="216" spans="2:15" x14ac:dyDescent="0.2">
      <c r="B216" s="132" t="s">
        <v>455</v>
      </c>
      <c r="C216" s="248">
        <f>Ore_to_PI!AS28</f>
        <v>609792.2517593482</v>
      </c>
      <c r="F216" s="238"/>
      <c r="G216" s="238"/>
      <c r="I216" s="238"/>
      <c r="J216" s="238"/>
      <c r="K216" s="238"/>
    </row>
    <row r="217" spans="2:15" x14ac:dyDescent="0.2">
      <c r="B217" s="132" t="s">
        <v>435</v>
      </c>
      <c r="C217" s="248">
        <f>Ore_to_PI!AS113</f>
        <v>2824.8856477449194</v>
      </c>
    </row>
    <row r="218" spans="2:15" x14ac:dyDescent="0.2">
      <c r="B218" s="132" t="s">
        <v>434</v>
      </c>
      <c r="C218" s="248">
        <f>Ore_to_PI!AS190</f>
        <v>282.1287710315147</v>
      </c>
    </row>
    <row r="219" spans="2:15" x14ac:dyDescent="0.2">
      <c r="B219" s="132" t="s">
        <v>351</v>
      </c>
      <c r="C219" s="248">
        <f>Ore_to_PI!BL35</f>
        <v>12479.249680000003</v>
      </c>
    </row>
    <row r="220" spans="2:15" x14ac:dyDescent="0.2">
      <c r="B220" s="132" t="s">
        <v>348</v>
      </c>
      <c r="C220" s="248">
        <f>Ore_to_PI!BK116</f>
        <v>34.678095164114971</v>
      </c>
    </row>
    <row r="221" spans="2:15" x14ac:dyDescent="0.2">
      <c r="B221" s="132" t="s">
        <v>362</v>
      </c>
      <c r="C221" s="248">
        <f>Ore_to_PI!BK195</f>
        <v>50.358084153937838</v>
      </c>
    </row>
    <row r="222" spans="2:15" x14ac:dyDescent="0.2">
      <c r="B222" s="132" t="s">
        <v>349</v>
      </c>
      <c r="C222" s="248">
        <v>0</v>
      </c>
    </row>
    <row r="223" spans="2:15" x14ac:dyDescent="0.2">
      <c r="B223" s="132" t="s">
        <v>344</v>
      </c>
      <c r="C223" s="248">
        <v>0</v>
      </c>
    </row>
    <row r="224" spans="2:15" x14ac:dyDescent="0.2">
      <c r="B224" s="132" t="s">
        <v>514</v>
      </c>
      <c r="C224" s="248">
        <f>Ore_to_PI!DB229</f>
        <v>33191.859393697465</v>
      </c>
    </row>
    <row r="225" spans="2:11" x14ac:dyDescent="0.2">
      <c r="B225" s="132" t="s">
        <v>516</v>
      </c>
      <c r="C225" s="248">
        <v>0</v>
      </c>
    </row>
    <row r="226" spans="2:11" x14ac:dyDescent="0.2">
      <c r="B226" s="132" t="s">
        <v>76</v>
      </c>
      <c r="C226" s="248">
        <v>0</v>
      </c>
    </row>
    <row r="227" spans="2:11" x14ac:dyDescent="0.2">
      <c r="B227" s="132" t="s">
        <v>337</v>
      </c>
      <c r="C227" s="250">
        <f>Ore_to_PI!ES117</f>
        <v>318930.1042317453</v>
      </c>
    </row>
    <row r="228" spans="2:11" x14ac:dyDescent="0.2">
      <c r="B228" s="230"/>
      <c r="C228" s="249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topLeftCell="A17" zoomScale="63" workbookViewId="0">
      <selection activeCell="C84" sqref="C84:C92"/>
    </sheetView>
  </sheetViews>
  <sheetFormatPr baseColWidth="10" defaultColWidth="11.5" defaultRowHeight="15" x14ac:dyDescent="0.2"/>
  <sheetData>
    <row r="17" spans="5:68" ht="112" customHeight="1" x14ac:dyDescent="0.2">
      <c r="AT17" s="231" t="s">
        <v>325</v>
      </c>
      <c r="AU17" s="231" t="s">
        <v>326</v>
      </c>
      <c r="AV17" s="231" t="s">
        <v>327</v>
      </c>
      <c r="AW17" s="231" t="s">
        <v>455</v>
      </c>
      <c r="AX17" s="231" t="s">
        <v>435</v>
      </c>
      <c r="AY17" s="231" t="s">
        <v>434</v>
      </c>
      <c r="AZ17" s="231" t="s">
        <v>351</v>
      </c>
      <c r="BA17" s="231" t="s">
        <v>348</v>
      </c>
      <c r="BB17" s="231" t="s">
        <v>362</v>
      </c>
      <c r="BC17" s="231" t="s">
        <v>349</v>
      </c>
      <c r="BD17" s="231" t="s">
        <v>344</v>
      </c>
      <c r="BE17" s="231" t="s">
        <v>514</v>
      </c>
      <c r="BF17" s="231" t="s">
        <v>516</v>
      </c>
      <c r="BG17" s="231" t="s">
        <v>76</v>
      </c>
      <c r="BH17" s="231" t="s">
        <v>337</v>
      </c>
      <c r="BN17" s="231" t="s">
        <v>331</v>
      </c>
      <c r="BO17" s="231" t="s">
        <v>793</v>
      </c>
    </row>
    <row r="18" spans="5:68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2"/>
      <c r="AK18" s="14"/>
      <c r="AL18" s="14"/>
      <c r="AM18" s="14"/>
      <c r="AN18" s="14"/>
      <c r="AO18" s="14"/>
      <c r="AP18" s="14"/>
      <c r="AQ18" s="14"/>
      <c r="AR18" s="14"/>
      <c r="AS18" s="132" t="s">
        <v>333</v>
      </c>
      <c r="AT18" s="251">
        <f>Ore_to_PI!M52</f>
        <v>0.13269354065302774</v>
      </c>
      <c r="AU18" s="251"/>
      <c r="AV18" s="251"/>
      <c r="AW18" s="251"/>
      <c r="AX18" s="251"/>
      <c r="AY18" s="251"/>
      <c r="AZ18" s="251"/>
      <c r="BA18" s="251"/>
      <c r="BB18" s="251"/>
      <c r="BC18" s="251"/>
      <c r="BD18" s="251"/>
      <c r="BE18" s="251"/>
      <c r="BF18" s="251"/>
      <c r="BG18" s="251"/>
      <c r="BH18" s="252"/>
      <c r="BI18" s="250">
        <f>SUM(AT18:BH18)</f>
        <v>0.13269354065302774</v>
      </c>
      <c r="BJ18" s="14"/>
      <c r="BK18" s="14"/>
      <c r="BL18" s="132"/>
      <c r="BM18" s="132" t="s">
        <v>333</v>
      </c>
      <c r="BN18" s="253"/>
      <c r="BO18" s="253"/>
      <c r="BP18" s="250">
        <f>SUM(BN18:BO18)</f>
        <v>0</v>
      </c>
    </row>
    <row r="19" spans="5:68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2"/>
      <c r="AK19" s="14"/>
      <c r="AL19" s="14"/>
      <c r="AM19" s="14"/>
      <c r="AN19" s="14"/>
      <c r="AO19" s="14"/>
      <c r="AP19" s="14"/>
      <c r="AQ19" s="14"/>
      <c r="AR19" s="14"/>
      <c r="AS19" s="132" t="s">
        <v>335</v>
      </c>
      <c r="AT19" s="251"/>
      <c r="AU19" s="251">
        <f>Ore_to_PI!M132</f>
        <v>9.915968969593851E-2</v>
      </c>
      <c r="AV19" s="251"/>
      <c r="AW19" s="251"/>
      <c r="AX19" s="251"/>
      <c r="AY19" s="251"/>
      <c r="AZ19" s="251"/>
      <c r="BA19" s="251"/>
      <c r="BB19" s="251"/>
      <c r="BC19" s="251"/>
      <c r="BD19" s="251"/>
      <c r="BE19" s="251"/>
      <c r="BF19" s="251"/>
      <c r="BG19" s="251"/>
      <c r="BH19" s="252"/>
      <c r="BI19" s="250">
        <f t="shared" ref="BI19:BI53" si="0">SUM(AT19:BH19)</f>
        <v>9.915968969593851E-2</v>
      </c>
      <c r="BJ19" s="14"/>
      <c r="BK19" s="14"/>
      <c r="BL19" s="132"/>
      <c r="BM19" s="132" t="s">
        <v>335</v>
      </c>
      <c r="BN19" s="253"/>
      <c r="BO19" s="253"/>
      <c r="BP19" s="250">
        <f t="shared" ref="BP19:BP53" si="1">SUM(BN19:BO19)</f>
        <v>0</v>
      </c>
    </row>
    <row r="20" spans="5:68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2"/>
      <c r="AK20" s="14"/>
      <c r="AL20" s="14"/>
      <c r="AM20" s="14"/>
      <c r="AN20" s="14"/>
      <c r="AO20" s="14"/>
      <c r="AP20" s="14"/>
      <c r="AQ20" s="14"/>
      <c r="AR20" s="14"/>
      <c r="AS20" s="132" t="s">
        <v>336</v>
      </c>
      <c r="AT20" s="251"/>
      <c r="AU20" s="251"/>
      <c r="AV20" s="251">
        <f>Ore_to_PI!M218</f>
        <v>749.09839029167188</v>
      </c>
      <c r="AW20" s="251"/>
      <c r="AX20" s="251"/>
      <c r="AY20" s="251"/>
      <c r="AZ20" s="251"/>
      <c r="BA20" s="251"/>
      <c r="BB20" s="251"/>
      <c r="BC20" s="251"/>
      <c r="BD20" s="251"/>
      <c r="BE20" s="251"/>
      <c r="BF20" s="251"/>
      <c r="BG20" s="251"/>
      <c r="BH20" s="252"/>
      <c r="BI20" s="250">
        <f t="shared" si="0"/>
        <v>749.09839029167188</v>
      </c>
      <c r="BJ20" s="14"/>
      <c r="BK20" s="14"/>
      <c r="BL20" s="132"/>
      <c r="BM20" s="132" t="s">
        <v>336</v>
      </c>
      <c r="BN20" s="253"/>
      <c r="BO20" s="253"/>
      <c r="BP20" s="250">
        <f t="shared" si="1"/>
        <v>0</v>
      </c>
    </row>
    <row r="21" spans="5:68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2"/>
      <c r="AK21" s="14"/>
      <c r="AL21" s="14"/>
      <c r="AM21" s="14"/>
      <c r="AN21" s="14"/>
      <c r="AO21" s="14"/>
      <c r="AP21" s="14"/>
      <c r="AQ21" s="14"/>
      <c r="AR21" s="14"/>
      <c r="AS21" s="132" t="s">
        <v>355</v>
      </c>
      <c r="AT21" s="251">
        <f>Ore_to_PI!M78</f>
        <v>2.8850732100840337E-2</v>
      </c>
      <c r="AU21" s="251">
        <f>AT21</f>
        <v>2.8850732100840337E-2</v>
      </c>
      <c r="AV21" s="251">
        <f>AT21</f>
        <v>2.8850732100840337E-2</v>
      </c>
      <c r="AW21" s="251"/>
      <c r="AX21" s="251"/>
      <c r="AY21" s="251"/>
      <c r="AZ21" s="251"/>
      <c r="BA21" s="251"/>
      <c r="BB21" s="251"/>
      <c r="BC21" s="251">
        <f>AT21</f>
        <v>2.8850732100840337E-2</v>
      </c>
      <c r="BD21" s="251">
        <f>Ore_to_PI!BS238</f>
        <v>2.8850732100840337E-2</v>
      </c>
      <c r="BE21" s="251"/>
      <c r="BF21" s="251"/>
      <c r="BG21" s="251"/>
      <c r="BH21" s="251">
        <f>BC21</f>
        <v>2.8850732100840337E-2</v>
      </c>
      <c r="BI21" s="250">
        <f t="shared" si="0"/>
        <v>0.17310439260504201</v>
      </c>
      <c r="BJ21" s="14"/>
      <c r="BK21" s="14"/>
      <c r="BL21" s="132"/>
      <c r="BM21" s="132" t="s">
        <v>355</v>
      </c>
      <c r="BN21" s="253"/>
      <c r="BO21" s="253"/>
      <c r="BP21" s="250">
        <f t="shared" si="1"/>
        <v>0</v>
      </c>
    </row>
    <row r="22" spans="5:68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2"/>
      <c r="AK22" s="14"/>
      <c r="AL22" s="14"/>
      <c r="AM22" s="14"/>
      <c r="AN22" s="14"/>
      <c r="AO22" s="14"/>
      <c r="AP22" s="14"/>
      <c r="AQ22" s="14"/>
      <c r="AR22" s="14"/>
      <c r="AS22" s="132" t="s">
        <v>377</v>
      </c>
      <c r="AT22" s="251"/>
      <c r="AU22" s="251"/>
      <c r="AV22" s="251"/>
      <c r="AW22" s="251"/>
      <c r="AX22" s="251"/>
      <c r="AY22" s="251"/>
      <c r="AZ22" s="251"/>
      <c r="BA22" s="251"/>
      <c r="BB22" s="251"/>
      <c r="BC22" s="251">
        <f>Ore_to_PI!BS157</f>
        <v>1.604276E-2</v>
      </c>
      <c r="BD22" s="251">
        <f>BC22</f>
        <v>1.604276E-2</v>
      </c>
      <c r="BE22" s="251"/>
      <c r="BF22" s="251"/>
      <c r="BG22" s="251"/>
      <c r="BH22" s="251">
        <f>BC22</f>
        <v>1.604276E-2</v>
      </c>
      <c r="BI22" s="250">
        <f t="shared" si="0"/>
        <v>4.8128279999999996E-2</v>
      </c>
      <c r="BJ22" s="14"/>
      <c r="BK22" s="14"/>
      <c r="BL22" s="132"/>
      <c r="BM22" s="132" t="s">
        <v>377</v>
      </c>
      <c r="BN22" s="253"/>
      <c r="BO22" s="253"/>
      <c r="BP22" s="250">
        <f t="shared" si="1"/>
        <v>0</v>
      </c>
    </row>
    <row r="23" spans="5:68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2"/>
      <c r="AK23" s="14"/>
      <c r="AL23" s="14"/>
      <c r="AM23" s="14"/>
      <c r="AN23" s="14"/>
      <c r="AO23" s="14"/>
      <c r="AP23" s="14"/>
      <c r="AQ23" s="14"/>
      <c r="AR23" s="14"/>
      <c r="AS23" s="132" t="s">
        <v>466</v>
      </c>
      <c r="AT23" s="251">
        <f>Ore_to_PI!M64</f>
        <v>0.16731462</v>
      </c>
      <c r="AU23" s="251">
        <f>AT23</f>
        <v>0.16731462</v>
      </c>
      <c r="AV23" s="251">
        <f>AU23</f>
        <v>0.16731462</v>
      </c>
      <c r="AW23" s="251"/>
      <c r="AX23" s="251"/>
      <c r="AY23" s="251"/>
      <c r="AZ23" s="251"/>
      <c r="BA23" s="251"/>
      <c r="BB23" s="251"/>
      <c r="BC23" s="251"/>
      <c r="BD23" s="251"/>
      <c r="BE23" s="251"/>
      <c r="BF23" s="251"/>
      <c r="BG23" s="251"/>
      <c r="BH23" s="252"/>
      <c r="BI23" s="250">
        <f t="shared" si="0"/>
        <v>0.50194386000000002</v>
      </c>
      <c r="BJ23" s="14"/>
      <c r="BK23" s="14"/>
      <c r="BL23" s="132"/>
      <c r="BM23" s="132" t="s">
        <v>466</v>
      </c>
      <c r="BN23" s="253"/>
      <c r="BO23" s="253"/>
      <c r="BP23" s="250">
        <f t="shared" si="1"/>
        <v>0</v>
      </c>
    </row>
    <row r="24" spans="5:68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2"/>
      <c r="AK24" s="14"/>
      <c r="AL24" s="14"/>
      <c r="AM24" s="14"/>
      <c r="AN24" s="14"/>
      <c r="AO24" s="14"/>
      <c r="AP24" s="14"/>
      <c r="AQ24" s="14"/>
      <c r="AR24" s="14"/>
      <c r="AS24" s="132" t="s">
        <v>467</v>
      </c>
      <c r="AT24" s="251"/>
      <c r="AU24" s="251">
        <f>Ore_to_PI!M156</f>
        <v>0.11423092</v>
      </c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2"/>
      <c r="BI24" s="250">
        <f t="shared" si="0"/>
        <v>0.11423092</v>
      </c>
      <c r="BJ24" s="14"/>
      <c r="BK24" s="14"/>
      <c r="BL24" s="132"/>
      <c r="BM24" s="132" t="s">
        <v>467</v>
      </c>
      <c r="BN24" s="253"/>
      <c r="BO24" s="253"/>
      <c r="BP24" s="250">
        <f t="shared" si="1"/>
        <v>0</v>
      </c>
    </row>
    <row r="25" spans="5:68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2"/>
      <c r="AK25" s="14"/>
      <c r="AL25" s="14"/>
      <c r="AM25" s="14"/>
      <c r="AN25" s="14"/>
      <c r="AO25" s="14"/>
      <c r="AP25" s="14"/>
      <c r="AQ25" s="14"/>
      <c r="AR25" s="14"/>
      <c r="AS25" s="132" t="s">
        <v>411</v>
      </c>
      <c r="AT25" s="251"/>
      <c r="AU25" s="251"/>
      <c r="AV25" s="251"/>
      <c r="AW25" s="251"/>
      <c r="AX25" s="251"/>
      <c r="AY25" s="251"/>
      <c r="AZ25" s="251"/>
      <c r="BA25" s="251"/>
      <c r="BB25" s="251"/>
      <c r="BC25" s="251"/>
      <c r="BD25" s="251"/>
      <c r="BE25" s="251"/>
      <c r="BF25" s="251"/>
      <c r="BG25" s="251"/>
      <c r="BH25" s="252">
        <f>Ore_to_PI!ED106</f>
        <v>0.1402688</v>
      </c>
      <c r="BI25" s="250">
        <f t="shared" si="0"/>
        <v>0.1402688</v>
      </c>
      <c r="BJ25" s="14"/>
      <c r="BK25" s="14"/>
      <c r="BL25" s="132"/>
      <c r="BM25" s="132" t="s">
        <v>411</v>
      </c>
      <c r="BN25" s="253"/>
      <c r="BO25" s="253"/>
      <c r="BP25" s="250">
        <f t="shared" si="1"/>
        <v>0</v>
      </c>
    </row>
    <row r="26" spans="5:68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2"/>
      <c r="AK26" s="14"/>
      <c r="AL26" s="14"/>
      <c r="AM26" s="14"/>
      <c r="AN26" s="14"/>
      <c r="AO26" s="14"/>
      <c r="AP26" s="14"/>
      <c r="AQ26" s="14"/>
      <c r="AR26" s="14"/>
      <c r="AS26" s="132" t="s">
        <v>459</v>
      </c>
      <c r="AT26" s="251"/>
      <c r="AU26" s="251"/>
      <c r="AV26" s="251">
        <v>0</v>
      </c>
      <c r="AW26" s="251">
        <v>0</v>
      </c>
      <c r="AX26" s="251">
        <v>0</v>
      </c>
      <c r="AY26" s="251">
        <v>0</v>
      </c>
      <c r="AZ26" s="251">
        <v>0</v>
      </c>
      <c r="BA26" s="251">
        <v>0</v>
      </c>
      <c r="BB26" s="251">
        <v>0</v>
      </c>
      <c r="BC26" s="251"/>
      <c r="BD26" s="251"/>
      <c r="BE26" s="251">
        <v>0</v>
      </c>
      <c r="BF26" s="251"/>
      <c r="BG26" s="251"/>
      <c r="BH26" s="252">
        <v>0</v>
      </c>
      <c r="BI26" s="250">
        <f t="shared" si="0"/>
        <v>0</v>
      </c>
      <c r="BJ26" s="14"/>
      <c r="BK26" s="14"/>
      <c r="BL26" s="132"/>
      <c r="BM26" s="132" t="s">
        <v>459</v>
      </c>
      <c r="BN26" s="253"/>
      <c r="BO26" s="253"/>
      <c r="BP26" s="250">
        <f t="shared" si="1"/>
        <v>0</v>
      </c>
    </row>
    <row r="27" spans="5:68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39"/>
      <c r="AK27" s="14"/>
      <c r="AL27" s="14"/>
      <c r="AM27" s="14"/>
      <c r="AN27" s="14"/>
      <c r="AO27" s="14"/>
      <c r="AP27" s="14"/>
      <c r="AQ27" s="14"/>
      <c r="AR27" s="14"/>
      <c r="AS27" s="229" t="s">
        <v>442</v>
      </c>
      <c r="AT27" s="251"/>
      <c r="AU27" s="251"/>
      <c r="AV27" s="251"/>
      <c r="AW27" s="251">
        <f>Ore_to_PI!M52</f>
        <v>0.13269354065302774</v>
      </c>
      <c r="AX27" s="251"/>
      <c r="AY27" s="251"/>
      <c r="AZ27" s="251"/>
      <c r="BA27" s="251"/>
      <c r="BB27" s="251"/>
      <c r="BC27" s="251"/>
      <c r="BD27" s="251"/>
      <c r="BE27" s="251"/>
      <c r="BF27" s="251"/>
      <c r="BG27" s="251"/>
      <c r="BH27" s="252"/>
      <c r="BI27" s="250">
        <f t="shared" si="0"/>
        <v>0.13269354065302774</v>
      </c>
      <c r="BJ27" s="14"/>
      <c r="BK27" s="14"/>
      <c r="BL27" s="229"/>
      <c r="BM27" s="132" t="s">
        <v>442</v>
      </c>
      <c r="BN27" s="253"/>
      <c r="BO27" s="253"/>
      <c r="BP27" s="250">
        <f t="shared" si="1"/>
        <v>0</v>
      </c>
    </row>
    <row r="28" spans="5:68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29"/>
      <c r="AK28" s="14"/>
      <c r="AL28" s="14"/>
      <c r="AM28" s="14"/>
      <c r="AN28" s="14"/>
      <c r="AO28" s="14"/>
      <c r="AP28" s="14"/>
      <c r="AQ28" s="14"/>
      <c r="AR28" s="14"/>
      <c r="AS28" s="132" t="s">
        <v>409</v>
      </c>
      <c r="AT28" s="251"/>
      <c r="AU28" s="251"/>
      <c r="AV28" s="251"/>
      <c r="AW28" s="251"/>
      <c r="AX28" s="251"/>
      <c r="AY28" s="251"/>
      <c r="AZ28" s="251"/>
      <c r="BA28" s="251"/>
      <c r="BB28" s="251"/>
      <c r="BC28" s="251"/>
      <c r="BD28" s="251"/>
      <c r="BE28" s="251"/>
      <c r="BF28" s="251"/>
      <c r="BG28" s="251"/>
      <c r="BH28" s="252"/>
      <c r="BI28" s="250">
        <f t="shared" si="0"/>
        <v>0</v>
      </c>
      <c r="BJ28" s="14"/>
      <c r="BK28" s="14"/>
      <c r="BL28" s="132"/>
      <c r="BM28" s="132" t="s">
        <v>409</v>
      </c>
      <c r="BN28" s="253"/>
      <c r="BO28" s="253">
        <f>Ore_to_PI!AF70</f>
        <v>2.8866500168439717E-2</v>
      </c>
      <c r="BP28" s="250">
        <f t="shared" si="1"/>
        <v>2.8866500168439717E-2</v>
      </c>
    </row>
    <row r="29" spans="5:68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0"/>
      <c r="AK29" s="14"/>
      <c r="AL29" s="14"/>
      <c r="AM29" s="14"/>
      <c r="AN29" s="14"/>
      <c r="AO29" s="14"/>
      <c r="AP29" s="14"/>
      <c r="AQ29" s="14"/>
      <c r="AR29" s="14"/>
      <c r="AS29" s="229" t="s">
        <v>412</v>
      </c>
      <c r="AT29" s="251"/>
      <c r="AU29" s="251"/>
      <c r="AV29" s="251"/>
      <c r="AW29" s="251"/>
      <c r="AX29" s="251">
        <f>Ore_to_PI!AG132</f>
        <v>9.915968969593851E-2</v>
      </c>
      <c r="AY29" s="251"/>
      <c r="AZ29" s="251"/>
      <c r="BA29" s="251"/>
      <c r="BB29" s="251"/>
      <c r="BC29" s="251"/>
      <c r="BD29" s="251"/>
      <c r="BE29" s="251"/>
      <c r="BF29" s="251"/>
      <c r="BG29" s="251"/>
      <c r="BH29" s="252"/>
      <c r="BI29" s="250">
        <f t="shared" si="0"/>
        <v>9.915968969593851E-2</v>
      </c>
      <c r="BJ29" s="14"/>
      <c r="BK29" s="14"/>
      <c r="BL29" s="229"/>
      <c r="BM29" s="132" t="s">
        <v>412</v>
      </c>
      <c r="BN29" s="254"/>
      <c r="BO29" s="253"/>
      <c r="BP29" s="250">
        <f t="shared" si="1"/>
        <v>0</v>
      </c>
    </row>
    <row r="30" spans="5:68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0"/>
      <c r="AK30" s="14"/>
      <c r="AL30" s="14"/>
      <c r="AM30" s="14"/>
      <c r="AN30" s="14"/>
      <c r="AO30" s="14"/>
      <c r="AP30" s="14"/>
      <c r="AQ30" s="14"/>
      <c r="AR30" s="14"/>
      <c r="AS30" s="132" t="s">
        <v>437</v>
      </c>
      <c r="AT30" s="251"/>
      <c r="AU30" s="251"/>
      <c r="AV30" s="251"/>
      <c r="AW30" s="251"/>
      <c r="AX30" s="251"/>
      <c r="AY30" s="251"/>
      <c r="AZ30" s="251"/>
      <c r="BA30" s="251"/>
      <c r="BB30" s="251"/>
      <c r="BC30" s="251"/>
      <c r="BD30" s="251"/>
      <c r="BE30" s="251"/>
      <c r="BF30" s="251"/>
      <c r="BG30" s="255"/>
      <c r="BH30" s="252"/>
      <c r="BI30" s="250">
        <f t="shared" si="0"/>
        <v>0</v>
      </c>
      <c r="BJ30" s="14"/>
      <c r="BK30" s="14"/>
      <c r="BL30" s="132"/>
      <c r="BM30" s="132" t="s">
        <v>437</v>
      </c>
      <c r="BN30" s="253"/>
      <c r="BO30" s="253">
        <f>Ore_to_PI!AG149</f>
        <v>2.8844047800852795E-2</v>
      </c>
      <c r="BP30" s="250">
        <f t="shared" si="1"/>
        <v>2.8844047800852795E-2</v>
      </c>
    </row>
    <row r="31" spans="5:68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0"/>
      <c r="AK31" s="14"/>
      <c r="AL31" s="14"/>
      <c r="AM31" s="14"/>
      <c r="AN31" s="14"/>
      <c r="AO31" s="14"/>
      <c r="AP31" s="14"/>
      <c r="AQ31" s="14"/>
      <c r="AR31" s="14"/>
      <c r="AS31" s="230" t="s">
        <v>430</v>
      </c>
      <c r="AT31" s="251"/>
      <c r="AU31" s="251"/>
      <c r="AV31" s="251"/>
      <c r="AW31" s="251"/>
      <c r="AX31" s="251"/>
      <c r="AY31" s="251">
        <f>Ore_to_PI!AZ218</f>
        <v>749.09839029167188</v>
      </c>
      <c r="AZ31" s="251"/>
      <c r="BA31" s="251"/>
      <c r="BB31" s="251"/>
      <c r="BC31" s="251"/>
      <c r="BD31" s="251"/>
      <c r="BE31" s="251"/>
      <c r="BF31" s="251"/>
      <c r="BG31" s="251"/>
      <c r="BH31" s="256"/>
      <c r="BI31" s="250">
        <f t="shared" si="0"/>
        <v>749.09839029167188</v>
      </c>
      <c r="BJ31" s="14"/>
      <c r="BK31" s="14"/>
      <c r="BL31" s="230"/>
      <c r="BM31" s="132" t="s">
        <v>430</v>
      </c>
      <c r="BN31" s="253"/>
      <c r="BO31" s="253"/>
      <c r="BP31" s="250">
        <f t="shared" si="1"/>
        <v>0</v>
      </c>
    </row>
    <row r="32" spans="5:68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0"/>
      <c r="AK32" s="14"/>
      <c r="AL32" s="14"/>
      <c r="AM32" s="14"/>
      <c r="AN32" s="14"/>
      <c r="AO32" s="14"/>
      <c r="AP32" s="14"/>
      <c r="AQ32" s="14"/>
      <c r="AR32" s="14"/>
      <c r="AS32" s="132" t="s">
        <v>416</v>
      </c>
      <c r="AT32" s="251"/>
      <c r="AU32" s="251"/>
      <c r="AV32" s="251"/>
      <c r="AW32" s="251"/>
      <c r="AX32" s="251"/>
      <c r="AY32" s="251"/>
      <c r="AZ32" s="251"/>
      <c r="BA32" s="251"/>
      <c r="BB32" s="251"/>
      <c r="BC32" s="251"/>
      <c r="BD32" s="251"/>
      <c r="BE32" s="251"/>
      <c r="BF32" s="251"/>
      <c r="BG32" s="251"/>
      <c r="BH32" s="252"/>
      <c r="BI32" s="250">
        <f t="shared" si="0"/>
        <v>0</v>
      </c>
      <c r="BJ32" s="14"/>
      <c r="BK32" s="14"/>
      <c r="BL32" s="132"/>
      <c r="BM32" s="132" t="s">
        <v>416</v>
      </c>
      <c r="BN32" s="253"/>
      <c r="BO32" s="253">
        <f>Ore_to_PI!AG234</f>
        <v>2.8866500168439717E-2</v>
      </c>
      <c r="BP32" s="250">
        <f t="shared" si="1"/>
        <v>2.8866500168439717E-2</v>
      </c>
    </row>
    <row r="33" spans="5:68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0"/>
      <c r="AK33" s="14"/>
      <c r="AL33" s="14"/>
      <c r="AM33" s="14"/>
      <c r="AN33" s="14"/>
      <c r="AO33" s="14"/>
      <c r="AP33" s="14"/>
      <c r="AQ33" s="14"/>
      <c r="AR33" s="14"/>
      <c r="AS33" s="229" t="s">
        <v>441</v>
      </c>
      <c r="AT33" s="251"/>
      <c r="AU33" s="251"/>
      <c r="AV33" s="251"/>
      <c r="AW33" s="251"/>
      <c r="AX33" s="251"/>
      <c r="AY33" s="251"/>
      <c r="AZ33" s="251">
        <f>Ore_to_PI!AY52</f>
        <v>0.13269354065302774</v>
      </c>
      <c r="BA33" s="251"/>
      <c r="BB33" s="251"/>
      <c r="BC33" s="251"/>
      <c r="BD33" s="251"/>
      <c r="BE33" s="251"/>
      <c r="BF33" s="251"/>
      <c r="BG33" s="251"/>
      <c r="BH33" s="252"/>
      <c r="BI33" s="250">
        <f t="shared" si="0"/>
        <v>0.13269354065302774</v>
      </c>
      <c r="BJ33" s="14"/>
      <c r="BK33" s="14"/>
      <c r="BL33" s="229"/>
      <c r="BM33" s="132" t="s">
        <v>441</v>
      </c>
      <c r="BN33" s="253"/>
      <c r="BO33" s="253"/>
      <c r="BP33" s="250">
        <f t="shared" si="1"/>
        <v>0</v>
      </c>
    </row>
    <row r="34" spans="5:68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0"/>
      <c r="AK34" s="14"/>
      <c r="AL34" s="14"/>
      <c r="AM34" s="14"/>
      <c r="AN34" s="14"/>
      <c r="AO34" s="14"/>
      <c r="AP34" s="14"/>
      <c r="AQ34" s="14"/>
      <c r="AR34" s="14"/>
      <c r="AS34" s="229" t="s">
        <v>436</v>
      </c>
      <c r="AT34" s="251"/>
      <c r="AU34" s="251"/>
      <c r="AV34" s="251"/>
      <c r="AW34" s="251"/>
      <c r="AX34" s="251"/>
      <c r="AY34" s="251"/>
      <c r="AZ34" s="251"/>
      <c r="BA34" s="251">
        <f>Ore_to_PI!AZ132</f>
        <v>9.915968969593851E-2</v>
      </c>
      <c r="BB34" s="251"/>
      <c r="BC34" s="251"/>
      <c r="BD34" s="251"/>
      <c r="BE34" s="251"/>
      <c r="BF34" s="251"/>
      <c r="BG34" s="251"/>
      <c r="BH34" s="252"/>
      <c r="BI34" s="250">
        <f t="shared" si="0"/>
        <v>9.915968969593851E-2</v>
      </c>
      <c r="BJ34" s="14"/>
      <c r="BK34" s="14"/>
      <c r="BL34" s="229"/>
      <c r="BM34" s="132" t="s">
        <v>436</v>
      </c>
      <c r="BN34" s="253"/>
      <c r="BO34" s="253"/>
      <c r="BP34" s="250">
        <f t="shared" si="1"/>
        <v>0</v>
      </c>
    </row>
    <row r="35" spans="5:68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0"/>
      <c r="AK35" s="14"/>
      <c r="AL35" s="14"/>
      <c r="AM35" s="14"/>
      <c r="AN35" s="14"/>
      <c r="AO35" s="14"/>
      <c r="AP35" s="14"/>
      <c r="AQ35" s="14"/>
      <c r="AR35" s="14"/>
      <c r="AS35" s="229" t="s">
        <v>433</v>
      </c>
      <c r="AT35" s="251"/>
      <c r="AU35" s="251"/>
      <c r="AV35" s="251"/>
      <c r="AW35" s="251"/>
      <c r="AX35" s="251"/>
      <c r="AY35" s="251"/>
      <c r="AZ35" s="251"/>
      <c r="BA35" s="251"/>
      <c r="BB35" s="251">
        <f>Ore_to_PI!BS218</f>
        <v>749.09839029167188</v>
      </c>
      <c r="BC35" s="251"/>
      <c r="BD35" s="251"/>
      <c r="BE35" s="251"/>
      <c r="BF35" s="251"/>
      <c r="BG35" s="251"/>
      <c r="BH35" s="252"/>
      <c r="BI35" s="250">
        <f t="shared" si="0"/>
        <v>749.09839029167188</v>
      </c>
      <c r="BJ35" s="14"/>
      <c r="BK35" s="14"/>
      <c r="BL35" s="229"/>
      <c r="BM35" s="132" t="s">
        <v>433</v>
      </c>
      <c r="BN35" s="253"/>
      <c r="BO35" s="253"/>
      <c r="BP35" s="250">
        <f t="shared" si="1"/>
        <v>0</v>
      </c>
    </row>
    <row r="36" spans="5:68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4"/>
      <c r="AK36" s="14"/>
      <c r="AL36" s="14"/>
      <c r="AM36" s="14"/>
      <c r="AN36" s="14"/>
      <c r="AO36" s="14"/>
      <c r="AP36" s="14"/>
      <c r="AQ36" s="14"/>
      <c r="AR36" s="14"/>
      <c r="AS36" s="229" t="s">
        <v>439</v>
      </c>
      <c r="AT36" s="251"/>
      <c r="AU36" s="251"/>
      <c r="AV36" s="251"/>
      <c r="AW36" s="251"/>
      <c r="AX36" s="251"/>
      <c r="AY36" s="251"/>
      <c r="AZ36" s="251"/>
      <c r="BA36" s="251"/>
      <c r="BB36" s="251"/>
      <c r="BC36" s="251"/>
      <c r="BD36" s="251"/>
      <c r="BE36" s="251"/>
      <c r="BF36" s="251"/>
      <c r="BG36" s="251">
        <f>Ore_to_PI!BR48</f>
        <v>0.13338795034407031</v>
      </c>
      <c r="BH36" s="252"/>
      <c r="BI36" s="250">
        <f t="shared" si="0"/>
        <v>0.13338795034407031</v>
      </c>
      <c r="BJ36" s="14"/>
      <c r="BK36" s="14"/>
      <c r="BL36" s="229"/>
      <c r="BM36" s="132" t="s">
        <v>439</v>
      </c>
      <c r="BN36" s="253"/>
      <c r="BO36" s="253"/>
      <c r="BP36" s="250">
        <f t="shared" si="1"/>
        <v>0</v>
      </c>
    </row>
    <row r="37" spans="5:68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0"/>
      <c r="AK37" s="14"/>
      <c r="AL37" s="14"/>
      <c r="AM37" s="14"/>
      <c r="AN37" s="14"/>
      <c r="AO37" s="14"/>
      <c r="AP37" s="14"/>
      <c r="AQ37" s="14"/>
      <c r="AR37" s="14"/>
      <c r="AS37" s="230" t="s">
        <v>438</v>
      </c>
      <c r="AT37" s="251"/>
      <c r="AU37" s="251"/>
      <c r="AV37" s="251"/>
      <c r="AW37" s="251"/>
      <c r="AX37" s="251"/>
      <c r="AY37" s="251"/>
      <c r="AZ37" s="251"/>
      <c r="BA37" s="251"/>
      <c r="BB37" s="251"/>
      <c r="BC37" s="251"/>
      <c r="BD37" s="251"/>
      <c r="BE37" s="251"/>
      <c r="BF37" s="251"/>
      <c r="BG37" s="251"/>
      <c r="BH37" s="256"/>
      <c r="BI37" s="250">
        <f t="shared" si="0"/>
        <v>0</v>
      </c>
      <c r="BJ37" s="249"/>
      <c r="BK37" s="14"/>
      <c r="BL37" s="230"/>
      <c r="BM37" s="132" t="s">
        <v>438</v>
      </c>
      <c r="BN37" s="253"/>
      <c r="BO37" s="253">
        <f>Ore_to_PI!BR63</f>
        <v>9.1994895485800074E-2</v>
      </c>
      <c r="BP37" s="250">
        <f t="shared" si="1"/>
        <v>9.1994895485800074E-2</v>
      </c>
    </row>
    <row r="38" spans="5:68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0"/>
      <c r="AK38" s="14"/>
      <c r="AL38" s="14"/>
      <c r="AM38" s="14"/>
      <c r="AN38" s="14"/>
      <c r="AO38" s="14"/>
      <c r="AP38" s="14"/>
      <c r="AQ38" s="14"/>
      <c r="AR38" s="14"/>
      <c r="AS38" s="230" t="s">
        <v>424</v>
      </c>
      <c r="AT38" s="251"/>
      <c r="AU38" s="251"/>
      <c r="AV38" s="251"/>
      <c r="AW38" s="251"/>
      <c r="AX38" s="251"/>
      <c r="AY38" s="251"/>
      <c r="AZ38" s="251"/>
      <c r="BA38" s="251"/>
      <c r="BB38" s="251"/>
      <c r="BC38" s="251">
        <f>Ore_to_PI!BS132</f>
        <v>9.915968969593851E-2</v>
      </c>
      <c r="BD38" s="251"/>
      <c r="BE38" s="251"/>
      <c r="BF38" s="251"/>
      <c r="BG38" s="251"/>
      <c r="BH38" s="252"/>
      <c r="BI38" s="250">
        <f t="shared" si="0"/>
        <v>9.915968969593851E-2</v>
      </c>
      <c r="BJ38" s="14"/>
      <c r="BK38" s="14"/>
      <c r="BL38" s="230"/>
      <c r="BM38" s="132" t="s">
        <v>424</v>
      </c>
      <c r="BN38" s="253"/>
      <c r="BO38" s="253"/>
      <c r="BP38" s="250">
        <f t="shared" si="1"/>
        <v>0</v>
      </c>
    </row>
    <row r="39" spans="5:68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0"/>
      <c r="AK39" s="14"/>
      <c r="AL39" s="14"/>
      <c r="AM39" s="14"/>
      <c r="AN39" s="14"/>
      <c r="AO39" s="14"/>
      <c r="AP39" s="14"/>
      <c r="AQ39" s="14"/>
      <c r="AR39" s="14"/>
      <c r="AS39" s="230" t="s">
        <v>456</v>
      </c>
      <c r="AT39" s="251"/>
      <c r="AU39" s="251"/>
      <c r="AV39" s="251"/>
      <c r="AW39" s="251"/>
      <c r="AX39" s="251"/>
      <c r="AY39" s="251"/>
      <c r="AZ39" s="251"/>
      <c r="BA39" s="251"/>
      <c r="BB39" s="251"/>
      <c r="BC39" s="251"/>
      <c r="BD39" s="251">
        <f>Ore_to_PI!BS218</f>
        <v>749.09839029167188</v>
      </c>
      <c r="BE39" s="251"/>
      <c r="BF39" s="251"/>
      <c r="BG39" s="251"/>
      <c r="BH39" s="252"/>
      <c r="BI39" s="250">
        <f t="shared" si="0"/>
        <v>749.09839029167188</v>
      </c>
      <c r="BJ39" s="14"/>
      <c r="BK39" s="14"/>
      <c r="BL39" s="230"/>
      <c r="BM39" s="132" t="s">
        <v>456</v>
      </c>
      <c r="BN39" s="253"/>
      <c r="BO39" s="253"/>
      <c r="BP39" s="250">
        <f t="shared" si="1"/>
        <v>0</v>
      </c>
    </row>
    <row r="40" spans="5:68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0"/>
      <c r="AK40" s="14"/>
      <c r="AL40" s="14"/>
      <c r="AM40" s="14"/>
      <c r="AN40" s="14"/>
      <c r="AO40" s="14"/>
      <c r="AP40" s="14"/>
      <c r="AQ40" s="14"/>
      <c r="AR40" s="14"/>
      <c r="AS40" s="230" t="s">
        <v>425</v>
      </c>
      <c r="AT40" s="251"/>
      <c r="AU40" s="251"/>
      <c r="AV40" s="251"/>
      <c r="AW40" s="251"/>
      <c r="AX40" s="251"/>
      <c r="AY40" s="251"/>
      <c r="AZ40" s="251"/>
      <c r="BA40" s="251"/>
      <c r="BB40" s="251"/>
      <c r="BC40" s="251"/>
      <c r="BD40" s="251"/>
      <c r="BE40" s="251"/>
      <c r="BF40" s="251"/>
      <c r="BG40" s="251">
        <f>Ore_to_PI!CN131</f>
        <v>5.6077400000000006E-2</v>
      </c>
      <c r="BH40" s="252"/>
      <c r="BI40" s="250">
        <f t="shared" si="0"/>
        <v>5.6077400000000006E-2</v>
      </c>
      <c r="BJ40" s="14"/>
      <c r="BK40" s="14"/>
      <c r="BL40" s="230"/>
      <c r="BM40" s="132" t="s">
        <v>425</v>
      </c>
      <c r="BN40" s="253"/>
      <c r="BO40" s="253"/>
      <c r="BP40" s="250">
        <f t="shared" si="1"/>
        <v>0</v>
      </c>
    </row>
    <row r="41" spans="5:68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0"/>
      <c r="AK41" s="14"/>
      <c r="AL41" s="14"/>
      <c r="AM41" s="14"/>
      <c r="AN41" s="14"/>
      <c r="AO41" s="14"/>
      <c r="AP41" s="14"/>
      <c r="AQ41" s="14"/>
      <c r="AR41" s="14"/>
      <c r="AS41" s="230" t="s">
        <v>427</v>
      </c>
      <c r="AT41" s="251"/>
      <c r="AU41" s="251"/>
      <c r="AV41" s="251"/>
      <c r="AW41" s="251"/>
      <c r="AX41" s="251"/>
      <c r="AY41" s="251"/>
      <c r="AZ41" s="251"/>
      <c r="BA41" s="251"/>
      <c r="BB41" s="251"/>
      <c r="BC41" s="251"/>
      <c r="BD41" s="251"/>
      <c r="BE41" s="251"/>
      <c r="BF41" s="251"/>
      <c r="BG41" s="251"/>
      <c r="BH41" s="256"/>
      <c r="BI41" s="250">
        <f t="shared" si="0"/>
        <v>0</v>
      </c>
      <c r="BJ41" s="14"/>
      <c r="BK41" s="14"/>
      <c r="BL41" s="230"/>
      <c r="BM41" s="132" t="s">
        <v>427</v>
      </c>
      <c r="BN41" s="253"/>
      <c r="BO41" s="253">
        <f>Ore_to_PI!CN119</f>
        <v>4.0304400000000004E-2</v>
      </c>
      <c r="BP41" s="250">
        <f t="shared" si="1"/>
        <v>4.0304400000000004E-2</v>
      </c>
    </row>
    <row r="42" spans="5:68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0"/>
      <c r="AK42" s="14"/>
      <c r="AL42" s="14"/>
      <c r="AM42" s="14"/>
      <c r="AN42" s="14"/>
      <c r="AO42" s="14"/>
      <c r="AP42" s="14"/>
      <c r="AQ42" s="14"/>
      <c r="AR42" s="14"/>
      <c r="AS42" s="230" t="s">
        <v>426</v>
      </c>
      <c r="AT42" s="251"/>
      <c r="AU42" s="251"/>
      <c r="AV42" s="251"/>
      <c r="AW42" s="251"/>
      <c r="AX42" s="251"/>
      <c r="AY42" s="251"/>
      <c r="AZ42" s="251"/>
      <c r="BA42" s="251"/>
      <c r="BB42" s="251"/>
      <c r="BC42" s="251"/>
      <c r="BD42" s="251"/>
      <c r="BE42" s="251"/>
      <c r="BF42" s="251"/>
      <c r="BG42" s="251"/>
      <c r="BH42" s="252"/>
      <c r="BI42" s="250">
        <f t="shared" si="0"/>
        <v>0</v>
      </c>
      <c r="BJ42" s="14"/>
      <c r="BK42" s="14"/>
      <c r="BL42" s="230"/>
      <c r="BM42" s="132" t="s">
        <v>426</v>
      </c>
      <c r="BN42" s="253"/>
      <c r="BO42" s="253">
        <f>Ore_to_PI!CN145</f>
        <v>2.8919462161030023E-2</v>
      </c>
      <c r="BP42" s="250">
        <f t="shared" si="1"/>
        <v>2.8919462161030023E-2</v>
      </c>
    </row>
    <row r="43" spans="5:68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0"/>
      <c r="AK43" s="14"/>
      <c r="AL43" s="14"/>
      <c r="AM43" s="14"/>
      <c r="AN43" s="14"/>
      <c r="AO43" s="14"/>
      <c r="AP43" s="14"/>
      <c r="AQ43" s="14"/>
      <c r="AR43" s="14"/>
      <c r="AS43" s="230" t="s">
        <v>484</v>
      </c>
      <c r="AT43" s="251"/>
      <c r="AU43" s="251"/>
      <c r="AV43" s="251"/>
      <c r="AW43" s="251"/>
      <c r="AX43" s="251"/>
      <c r="AY43" s="251"/>
      <c r="AZ43" s="251"/>
      <c r="BA43" s="251"/>
      <c r="BB43" s="251"/>
      <c r="BC43" s="251"/>
      <c r="BD43" s="251"/>
      <c r="BE43" s="251"/>
      <c r="BF43" s="251"/>
      <c r="BG43" s="251">
        <f>Ore_to_PI!CN211</f>
        <v>1.2281186094069529E-2</v>
      </c>
      <c r="BH43" s="252"/>
      <c r="BI43" s="250">
        <f t="shared" si="0"/>
        <v>1.2281186094069529E-2</v>
      </c>
      <c r="BJ43" s="14"/>
      <c r="BK43" s="14"/>
      <c r="BL43" s="230"/>
      <c r="BM43" s="132" t="s">
        <v>484</v>
      </c>
      <c r="BN43" s="253"/>
      <c r="BO43" s="253"/>
      <c r="BP43" s="250">
        <f t="shared" si="1"/>
        <v>0</v>
      </c>
    </row>
    <row r="44" spans="5:68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0"/>
      <c r="AK44" s="14"/>
      <c r="AL44" s="14"/>
      <c r="AM44" s="14"/>
      <c r="AN44" s="14"/>
      <c r="AO44" s="14"/>
      <c r="AP44" s="14"/>
      <c r="AQ44" s="14"/>
      <c r="AR44" s="14"/>
      <c r="AS44" s="244" t="s">
        <v>422</v>
      </c>
      <c r="AT44" s="251"/>
      <c r="AU44" s="251"/>
      <c r="AV44" s="251"/>
      <c r="AW44" s="251"/>
      <c r="AX44" s="251"/>
      <c r="AY44" s="251"/>
      <c r="AZ44" s="251"/>
      <c r="BA44" s="251"/>
      <c r="BB44" s="251"/>
      <c r="BC44" s="251"/>
      <c r="BD44" s="251"/>
      <c r="BE44" s="251">
        <f>Ore_to_PI!CN243</f>
        <v>3.063549266582438E-3</v>
      </c>
      <c r="BF44" s="251"/>
      <c r="BG44" s="251"/>
      <c r="BH44" s="252"/>
      <c r="BI44" s="250">
        <f t="shared" si="0"/>
        <v>3.063549266582438E-3</v>
      </c>
      <c r="BJ44" s="14"/>
      <c r="BK44" s="14"/>
      <c r="BL44" s="244"/>
      <c r="BM44" s="132" t="s">
        <v>422</v>
      </c>
      <c r="BN44" s="253"/>
      <c r="BO44" s="253"/>
      <c r="BP44" s="250">
        <f t="shared" si="1"/>
        <v>0</v>
      </c>
    </row>
    <row r="45" spans="5:68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0"/>
      <c r="AK45" s="14"/>
      <c r="AL45" s="14"/>
      <c r="AM45" s="14"/>
      <c r="AN45" s="14"/>
      <c r="AO45" s="14"/>
      <c r="AP45" s="14"/>
      <c r="AQ45" s="14"/>
      <c r="AR45" s="14"/>
      <c r="AS45" s="230" t="s">
        <v>552</v>
      </c>
      <c r="AT45" s="251"/>
      <c r="AU45" s="251"/>
      <c r="AV45" s="251"/>
      <c r="AW45" s="251"/>
      <c r="AX45" s="251"/>
      <c r="AY45" s="251"/>
      <c r="AZ45" s="251"/>
      <c r="BA45" s="251"/>
      <c r="BB45" s="251"/>
      <c r="BC45" s="251"/>
      <c r="BD45" s="251"/>
      <c r="BE45" s="251"/>
      <c r="BF45" s="251"/>
      <c r="BG45" s="251"/>
      <c r="BH45" s="252"/>
      <c r="BI45" s="250">
        <f t="shared" si="0"/>
        <v>0</v>
      </c>
      <c r="BJ45" s="14"/>
      <c r="BK45" s="14"/>
      <c r="BL45" s="230"/>
      <c r="BM45" s="132" t="s">
        <v>552</v>
      </c>
      <c r="BN45" s="253"/>
      <c r="BO45" s="253">
        <f>Ore_to_PI!CN282</f>
        <v>1.5333215521897698E-2</v>
      </c>
      <c r="BP45" s="250">
        <f t="shared" si="1"/>
        <v>1.5333215521897698E-2</v>
      </c>
    </row>
    <row r="46" spans="5:68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0"/>
      <c r="AK46" s="14"/>
      <c r="AL46" s="14"/>
      <c r="AM46" s="14"/>
      <c r="AN46" s="14"/>
      <c r="AO46" s="14"/>
      <c r="AP46" s="14"/>
      <c r="AQ46" s="14"/>
      <c r="AR46" s="14"/>
      <c r="AS46" s="132" t="s">
        <v>421</v>
      </c>
      <c r="AT46" s="251"/>
      <c r="AU46" s="251"/>
      <c r="AV46" s="251"/>
      <c r="AW46" s="251"/>
      <c r="AX46" s="251"/>
      <c r="AY46" s="251"/>
      <c r="AZ46" s="251"/>
      <c r="BA46" s="251"/>
      <c r="BB46" s="251"/>
      <c r="BC46" s="251"/>
      <c r="BD46" s="251"/>
      <c r="BE46" s="251"/>
      <c r="BF46" s="251"/>
      <c r="BG46" s="251"/>
      <c r="BH46" s="252"/>
      <c r="BI46" s="250">
        <f t="shared" si="0"/>
        <v>0</v>
      </c>
      <c r="BJ46" s="14"/>
      <c r="BK46" s="14"/>
      <c r="BL46" s="132"/>
      <c r="BM46" s="132" t="s">
        <v>421</v>
      </c>
      <c r="BN46" s="253"/>
      <c r="BO46" s="253">
        <f>Ore_to_PI!CN229</f>
        <v>7.6146278527480557E-2</v>
      </c>
      <c r="BP46" s="250">
        <f t="shared" si="1"/>
        <v>7.6146278527480557E-2</v>
      </c>
    </row>
    <row r="47" spans="5:68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0"/>
      <c r="AK47" s="14"/>
      <c r="AL47" s="14"/>
      <c r="AM47" s="14"/>
      <c r="AN47" s="14"/>
      <c r="AO47" s="14"/>
      <c r="AP47" s="14"/>
      <c r="AQ47" s="14"/>
      <c r="AR47" s="14"/>
      <c r="AS47" s="230" t="s">
        <v>423</v>
      </c>
      <c r="AT47" s="251"/>
      <c r="AU47" s="251"/>
      <c r="AV47" s="251"/>
      <c r="AW47" s="251"/>
      <c r="AX47" s="251"/>
      <c r="AY47" s="251"/>
      <c r="AZ47" s="251"/>
      <c r="BA47" s="251"/>
      <c r="BB47" s="251"/>
      <c r="BC47" s="251"/>
      <c r="BD47" s="251"/>
      <c r="BE47" s="251"/>
      <c r="BF47" s="251"/>
      <c r="BG47" s="251"/>
      <c r="BH47" s="252"/>
      <c r="BI47" s="250">
        <f t="shared" si="0"/>
        <v>0</v>
      </c>
      <c r="BJ47" s="14"/>
      <c r="BK47" s="14"/>
      <c r="BL47" s="230"/>
      <c r="BM47" s="132" t="s">
        <v>423</v>
      </c>
      <c r="BN47" s="253"/>
      <c r="BO47" s="253">
        <f>Ore_to_PI!CN258</f>
        <v>2.7633244258555133E-2</v>
      </c>
      <c r="BP47" s="250">
        <f t="shared" si="1"/>
        <v>2.7633244258555133E-2</v>
      </c>
    </row>
    <row r="48" spans="5:68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0"/>
      <c r="AK48" s="14"/>
      <c r="AL48" s="14"/>
      <c r="AM48" s="14"/>
      <c r="AN48" s="14"/>
      <c r="AO48" s="14"/>
      <c r="AP48" s="14"/>
      <c r="AQ48" s="14"/>
      <c r="AR48" s="14"/>
      <c r="AS48" s="230" t="s">
        <v>515</v>
      </c>
      <c r="AT48" s="251"/>
      <c r="AU48" s="251"/>
      <c r="AV48" s="251"/>
      <c r="AW48" s="251"/>
      <c r="AX48" s="251"/>
      <c r="AY48" s="251"/>
      <c r="AZ48" s="251"/>
      <c r="BA48" s="251"/>
      <c r="BB48" s="251"/>
      <c r="BC48" s="251"/>
      <c r="BD48" s="251"/>
      <c r="BE48" s="251"/>
      <c r="BF48" s="251">
        <f>Ore_to_PI!DH241</f>
        <v>3.0984239376704225E-3</v>
      </c>
      <c r="BG48" s="251"/>
      <c r="BH48" s="256"/>
      <c r="BI48" s="250">
        <f t="shared" si="0"/>
        <v>3.0984239376704225E-3</v>
      </c>
      <c r="BJ48" s="14"/>
      <c r="BK48" s="14"/>
      <c r="BL48" s="230"/>
      <c r="BM48" s="132" t="s">
        <v>515</v>
      </c>
      <c r="BN48" s="253"/>
      <c r="BO48" s="253"/>
      <c r="BP48" s="250">
        <f t="shared" si="1"/>
        <v>0</v>
      </c>
    </row>
    <row r="49" spans="5:68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0"/>
      <c r="AK49" s="14"/>
      <c r="AL49" s="14"/>
      <c r="AM49" s="14"/>
      <c r="AN49" s="14"/>
      <c r="AO49" s="14"/>
      <c r="AP49" s="14"/>
      <c r="AQ49" s="14"/>
      <c r="AR49" s="14"/>
      <c r="AS49" s="230" t="s">
        <v>517</v>
      </c>
      <c r="AT49" s="251"/>
      <c r="AU49" s="251"/>
      <c r="AV49" s="251"/>
      <c r="AW49" s="251"/>
      <c r="AX49" s="251"/>
      <c r="AY49" s="251"/>
      <c r="AZ49" s="251"/>
      <c r="BA49" s="251"/>
      <c r="BB49" s="251"/>
      <c r="BC49" s="251"/>
      <c r="BD49" s="251"/>
      <c r="BE49" s="251"/>
      <c r="BF49" s="251"/>
      <c r="BG49" s="251"/>
      <c r="BH49" s="251">
        <f>Ore_to_PI!EC241</f>
        <v>3.0984239376704225E-3</v>
      </c>
      <c r="BI49" s="250">
        <f t="shared" si="0"/>
        <v>3.0984239376704225E-3</v>
      </c>
      <c r="BJ49" s="14"/>
      <c r="BK49" s="14"/>
      <c r="BL49" s="230"/>
      <c r="BM49" s="132" t="s">
        <v>517</v>
      </c>
      <c r="BN49" s="253">
        <f>Ore_to_PI!EC241</f>
        <v>3.0984239376704225E-3</v>
      </c>
      <c r="BO49" s="253"/>
      <c r="BP49" s="250">
        <f t="shared" si="1"/>
        <v>3.0984239376704225E-3</v>
      </c>
    </row>
    <row r="50" spans="5:68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0"/>
      <c r="AK50" s="14"/>
      <c r="AL50" s="14"/>
      <c r="AM50" s="14"/>
      <c r="AN50" s="14"/>
      <c r="AO50" s="14"/>
      <c r="AP50" s="14"/>
      <c r="AQ50" s="14"/>
      <c r="AR50" s="14"/>
      <c r="AS50" s="230" t="s">
        <v>445</v>
      </c>
      <c r="AT50" s="251"/>
      <c r="AU50" s="251"/>
      <c r="AV50" s="251"/>
      <c r="AW50" s="251"/>
      <c r="AX50" s="251"/>
      <c r="AY50" s="251"/>
      <c r="AZ50" s="251"/>
      <c r="BA50" s="251"/>
      <c r="BB50" s="251"/>
      <c r="BC50" s="251"/>
      <c r="BD50" s="251"/>
      <c r="BE50" s="251"/>
      <c r="BF50" s="251"/>
      <c r="BG50" s="251"/>
      <c r="BH50" s="255">
        <f>Ore_to_PI!ED134</f>
        <v>5.0493969078662611E-2</v>
      </c>
      <c r="BI50" s="250">
        <f t="shared" si="0"/>
        <v>5.0493969078662611E-2</v>
      </c>
      <c r="BJ50" s="14"/>
      <c r="BK50" s="14"/>
      <c r="BL50" s="230"/>
      <c r="BM50" s="132" t="s">
        <v>445</v>
      </c>
      <c r="BN50" s="253"/>
      <c r="BO50" s="253"/>
      <c r="BP50" s="250">
        <f t="shared" si="1"/>
        <v>0</v>
      </c>
    </row>
    <row r="51" spans="5:68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0"/>
      <c r="AK51" s="14"/>
      <c r="AL51" s="14"/>
      <c r="AM51" s="14"/>
      <c r="AN51" s="14"/>
      <c r="AO51" s="14"/>
      <c r="AP51" s="14"/>
      <c r="AQ51" s="14"/>
      <c r="AR51" s="14"/>
      <c r="AS51" s="230" t="s">
        <v>446</v>
      </c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0">
        <f t="shared" si="0"/>
        <v>0</v>
      </c>
      <c r="BJ51" s="14"/>
      <c r="BK51" s="14"/>
      <c r="BL51" s="230"/>
      <c r="BM51" s="132" t="s">
        <v>446</v>
      </c>
      <c r="BN51" s="253">
        <f>Ore_to_PI!FD131</f>
        <v>5.5844999999999999E-2</v>
      </c>
      <c r="BO51" s="253"/>
      <c r="BP51" s="250">
        <f t="shared" si="1"/>
        <v>5.5844999999999999E-2</v>
      </c>
    </row>
    <row r="52" spans="5:68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0"/>
      <c r="AK52" s="14"/>
      <c r="AL52" s="14"/>
      <c r="AM52" s="14"/>
      <c r="AN52" s="14"/>
      <c r="AO52" s="14"/>
      <c r="AP52" s="14"/>
      <c r="AQ52" s="14"/>
      <c r="AR52" s="14"/>
      <c r="AS52" s="230" t="s">
        <v>447</v>
      </c>
      <c r="AT52" s="257"/>
      <c r="AU52" s="257"/>
      <c r="AV52" s="257"/>
      <c r="AW52" s="257"/>
      <c r="AX52" s="257"/>
      <c r="AY52" s="257"/>
      <c r="AZ52" s="257"/>
      <c r="BA52" s="257"/>
      <c r="BB52" s="257"/>
      <c r="BC52" s="257"/>
      <c r="BD52" s="257"/>
      <c r="BE52" s="257"/>
      <c r="BF52" s="257"/>
      <c r="BG52" s="257"/>
      <c r="BH52" s="258"/>
      <c r="BI52" s="250">
        <f t="shared" si="0"/>
        <v>0</v>
      </c>
      <c r="BJ52" s="14"/>
      <c r="BK52" s="14"/>
      <c r="BL52" s="14"/>
      <c r="BM52" s="259" t="s">
        <v>447</v>
      </c>
      <c r="BN52" s="260"/>
      <c r="BO52" s="237">
        <f>Ore_to_PI!FD149</f>
        <v>2.934040124525995E-2</v>
      </c>
      <c r="BP52" s="250">
        <f t="shared" si="1"/>
        <v>2.934040124525995E-2</v>
      </c>
    </row>
    <row r="53" spans="5:68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0"/>
      <c r="AK53" s="14"/>
      <c r="AL53" s="14"/>
      <c r="AM53" s="14"/>
      <c r="AN53" s="14"/>
      <c r="AO53" s="14"/>
      <c r="AP53" s="14"/>
      <c r="AQ53" s="14"/>
      <c r="AR53" s="14"/>
      <c r="AS53" s="230" t="s">
        <v>457</v>
      </c>
      <c r="AT53" s="261"/>
      <c r="AU53" s="261"/>
      <c r="AV53" s="261"/>
      <c r="AW53" s="261"/>
      <c r="AX53" s="261"/>
      <c r="AY53" s="261"/>
      <c r="AZ53" s="261"/>
      <c r="BA53" s="261"/>
      <c r="BB53" s="261"/>
      <c r="BC53" s="261"/>
      <c r="BD53" s="261"/>
      <c r="BE53" s="261"/>
      <c r="BF53" s="261"/>
      <c r="BG53" s="261"/>
      <c r="BH53" s="261"/>
      <c r="BI53" s="250">
        <f t="shared" si="0"/>
        <v>0</v>
      </c>
      <c r="BJ53" s="14"/>
      <c r="BK53" s="14"/>
      <c r="BL53" s="14"/>
      <c r="BM53" s="259" t="s">
        <v>457</v>
      </c>
      <c r="BN53" s="260"/>
      <c r="BO53" s="237">
        <f>Ore_to_PI!FD109</f>
        <v>0.11616169999999999</v>
      </c>
      <c r="BP53" s="250">
        <f t="shared" si="1"/>
        <v>0.11616169999999999</v>
      </c>
    </row>
    <row r="54" spans="5:68" x14ac:dyDescent="0.2">
      <c r="E54" s="14"/>
      <c r="F54" s="385"/>
      <c r="G54" s="385"/>
      <c r="H54" s="262"/>
      <c r="I54" s="262"/>
      <c r="J54" s="262"/>
      <c r="K54" s="262"/>
      <c r="L54" s="262"/>
      <c r="M54" s="262"/>
      <c r="N54" s="262"/>
      <c r="O54" s="262"/>
      <c r="P54" s="262"/>
      <c r="Q54" s="262"/>
      <c r="R54" s="262"/>
      <c r="S54" s="262"/>
      <c r="T54" s="262"/>
      <c r="U54" s="262"/>
      <c r="V54" s="262"/>
      <c r="W54" s="262"/>
      <c r="X54" s="262"/>
      <c r="Y54" s="262"/>
      <c r="Z54" s="262"/>
      <c r="AA54" s="262"/>
      <c r="AB54" s="262"/>
      <c r="AC54" s="262"/>
      <c r="AD54" s="262"/>
      <c r="AE54" s="262"/>
      <c r="AF54" s="262"/>
      <c r="AG54" s="262"/>
      <c r="AH54" s="262"/>
      <c r="AI54" s="262"/>
      <c r="AJ54" s="230"/>
      <c r="AK54" s="262"/>
      <c r="AL54" s="262"/>
      <c r="AM54" s="262"/>
      <c r="AN54" s="262"/>
      <c r="AO54" s="262"/>
      <c r="AP54" s="262"/>
      <c r="AQ54" s="262"/>
      <c r="AR54" s="14"/>
      <c r="AS54" s="14"/>
      <c r="AT54" s="379" t="s">
        <v>328</v>
      </c>
      <c r="AU54" s="339"/>
      <c r="AV54" s="339"/>
      <c r="AW54" s="339"/>
      <c r="AX54" s="339"/>
      <c r="AY54" s="339"/>
      <c r="AZ54" s="339"/>
      <c r="BA54" s="339"/>
      <c r="BB54" s="339"/>
      <c r="BC54" s="339"/>
      <c r="BD54" s="339"/>
      <c r="BE54" s="339"/>
      <c r="BF54" s="339"/>
      <c r="BG54" s="339"/>
      <c r="BH54" s="339"/>
      <c r="BI54" s="52" t="s">
        <v>369</v>
      </c>
      <c r="BJ54" s="14"/>
      <c r="BK54" s="14"/>
      <c r="BL54" s="14"/>
      <c r="BM54" s="249"/>
      <c r="BN54" s="382" t="s">
        <v>330</v>
      </c>
      <c r="BO54" s="382">
        <v>-89.61</v>
      </c>
      <c r="BP54" s="52" t="s">
        <v>381</v>
      </c>
    </row>
    <row r="55" spans="5:68" x14ac:dyDescent="0.2">
      <c r="AQ55" s="14"/>
      <c r="AR55" s="14"/>
      <c r="AS55" s="14"/>
      <c r="AT55" s="263">
        <f>SUM(AT18:AT53)</f>
        <v>0.32885889275386804</v>
      </c>
      <c r="AU55" s="263">
        <f t="shared" ref="AU55:BH55" si="2">SUM(AU18:AU53)</f>
        <v>0.40955596179677889</v>
      </c>
      <c r="AV55" s="263">
        <f t="shared" si="2"/>
        <v>749.2945556437727</v>
      </c>
      <c r="AW55" s="263">
        <f t="shared" si="2"/>
        <v>0.13269354065302774</v>
      </c>
      <c r="AX55" s="263">
        <f t="shared" si="2"/>
        <v>9.915968969593851E-2</v>
      </c>
      <c r="AY55" s="263">
        <f t="shared" si="2"/>
        <v>749.09839029167188</v>
      </c>
      <c r="AZ55" s="263">
        <f t="shared" si="2"/>
        <v>0.13269354065302774</v>
      </c>
      <c r="BA55" s="263">
        <f t="shared" si="2"/>
        <v>9.915968969593851E-2</v>
      </c>
      <c r="BB55" s="263">
        <f t="shared" si="2"/>
        <v>749.09839029167188</v>
      </c>
      <c r="BC55" s="263">
        <f t="shared" si="2"/>
        <v>0.14405318179677884</v>
      </c>
      <c r="BD55" s="263">
        <f t="shared" si="2"/>
        <v>749.14328378377274</v>
      </c>
      <c r="BE55" s="263">
        <f t="shared" si="2"/>
        <v>3.063549266582438E-3</v>
      </c>
      <c r="BF55" s="263">
        <f t="shared" si="2"/>
        <v>3.0984239376704225E-3</v>
      </c>
      <c r="BG55" s="263">
        <f t="shared" si="2"/>
        <v>0.20174653643813983</v>
      </c>
      <c r="BH55" s="263">
        <f t="shared" si="2"/>
        <v>0.23875468511717338</v>
      </c>
      <c r="BJ55" s="14"/>
      <c r="BK55" s="14"/>
      <c r="BL55" s="14"/>
      <c r="BM55" s="14"/>
      <c r="BN55" s="249"/>
      <c r="BO55" s="14"/>
    </row>
    <row r="56" spans="5:68" ht="236" customHeight="1" x14ac:dyDescent="0.2">
      <c r="E56" s="60"/>
      <c r="F56" s="231" t="s">
        <v>333</v>
      </c>
      <c r="G56" s="231" t="s">
        <v>335</v>
      </c>
      <c r="H56" s="231" t="s">
        <v>336</v>
      </c>
      <c r="I56" s="231" t="s">
        <v>355</v>
      </c>
      <c r="J56" s="231" t="s">
        <v>377</v>
      </c>
      <c r="K56" s="231" t="s">
        <v>466</v>
      </c>
      <c r="L56" s="231" t="s">
        <v>467</v>
      </c>
      <c r="M56" s="231" t="s">
        <v>411</v>
      </c>
      <c r="N56" s="231" t="s">
        <v>459</v>
      </c>
      <c r="O56" s="232" t="s">
        <v>442</v>
      </c>
      <c r="P56" s="231" t="s">
        <v>409</v>
      </c>
      <c r="Q56" s="232" t="s">
        <v>412</v>
      </c>
      <c r="R56" s="231" t="s">
        <v>437</v>
      </c>
      <c r="S56" s="233" t="s">
        <v>430</v>
      </c>
      <c r="T56" s="231" t="s">
        <v>416</v>
      </c>
      <c r="U56" s="232" t="s">
        <v>441</v>
      </c>
      <c r="V56" s="232" t="s">
        <v>436</v>
      </c>
      <c r="W56" s="232" t="s">
        <v>433</v>
      </c>
      <c r="X56" s="232" t="s">
        <v>439</v>
      </c>
      <c r="Y56" s="233" t="s">
        <v>438</v>
      </c>
      <c r="Z56" s="233" t="s">
        <v>424</v>
      </c>
      <c r="AA56" s="233" t="s">
        <v>456</v>
      </c>
      <c r="AB56" s="233" t="s">
        <v>425</v>
      </c>
      <c r="AC56" s="233" t="s">
        <v>427</v>
      </c>
      <c r="AD56" s="233" t="s">
        <v>426</v>
      </c>
      <c r="AE56" s="233" t="s">
        <v>484</v>
      </c>
      <c r="AF56" s="235" t="s">
        <v>422</v>
      </c>
      <c r="AG56" s="235" t="s">
        <v>552</v>
      </c>
      <c r="AH56" s="233" t="s">
        <v>421</v>
      </c>
      <c r="AI56" s="231" t="s">
        <v>423</v>
      </c>
      <c r="AJ56" s="233" t="s">
        <v>515</v>
      </c>
      <c r="AK56" s="233" t="s">
        <v>517</v>
      </c>
      <c r="AL56" s="233" t="s">
        <v>445</v>
      </c>
      <c r="AM56" s="233" t="s">
        <v>446</v>
      </c>
      <c r="AN56" s="233" t="s">
        <v>447</v>
      </c>
      <c r="AO56" s="233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 x14ac:dyDescent="0.2">
      <c r="E57" s="132" t="s">
        <v>325</v>
      </c>
      <c r="F57" s="234"/>
      <c r="G57" s="234"/>
      <c r="H57" s="234"/>
      <c r="I57" s="234"/>
      <c r="J57" s="234"/>
      <c r="K57" s="234"/>
      <c r="L57" s="234"/>
      <c r="M57" s="234"/>
      <c r="N57" s="234"/>
      <c r="O57" s="251">
        <f>Ore_to_PI!M52</f>
        <v>0.13269354065302774</v>
      </c>
      <c r="P57" s="251">
        <f>Ore_to_PI!AF70</f>
        <v>2.8866500168439717E-2</v>
      </c>
      <c r="Q57" s="251"/>
      <c r="R57" s="251"/>
      <c r="S57" s="251"/>
      <c r="T57" s="251"/>
      <c r="U57" s="251"/>
      <c r="V57" s="251"/>
      <c r="W57" s="251"/>
      <c r="X57" s="251"/>
      <c r="Y57" s="251"/>
      <c r="Z57" s="251"/>
      <c r="AA57" s="251"/>
      <c r="AB57" s="251"/>
      <c r="AC57" s="251"/>
      <c r="AD57" s="251"/>
      <c r="AE57" s="251"/>
      <c r="AF57" s="251"/>
      <c r="AG57" s="251"/>
      <c r="AH57" s="251"/>
      <c r="AI57" s="251"/>
      <c r="AJ57" s="251"/>
      <c r="AK57" s="251"/>
      <c r="AL57" s="251"/>
      <c r="AM57" s="251"/>
      <c r="AN57" s="251"/>
      <c r="AO57" s="251"/>
      <c r="AP57" s="248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 x14ac:dyDescent="0.2">
      <c r="E58" s="132" t="s">
        <v>326</v>
      </c>
      <c r="F58" s="234"/>
      <c r="G58" s="234"/>
      <c r="H58" s="234"/>
      <c r="I58" s="234"/>
      <c r="J58" s="234"/>
      <c r="K58" s="234"/>
      <c r="L58" s="234"/>
      <c r="M58" s="234"/>
      <c r="N58" s="234"/>
      <c r="O58" s="251"/>
      <c r="P58" s="251"/>
      <c r="Q58" s="251">
        <f>Ore_to_PI!AG132</f>
        <v>9.915968969593851E-2</v>
      </c>
      <c r="R58" s="251">
        <f>Ore_to_PI!AG149</f>
        <v>2.8844047800852795E-2</v>
      </c>
      <c r="S58" s="251"/>
      <c r="T58" s="251"/>
      <c r="U58" s="251"/>
      <c r="V58" s="251"/>
      <c r="W58" s="251"/>
      <c r="X58" s="251"/>
      <c r="Y58" s="251"/>
      <c r="Z58" s="251"/>
      <c r="AA58" s="251"/>
      <c r="AB58" s="251"/>
      <c r="AC58" s="251"/>
      <c r="AD58" s="251"/>
      <c r="AE58" s="251"/>
      <c r="AF58" s="251"/>
      <c r="AG58" s="251"/>
      <c r="AH58" s="251"/>
      <c r="AI58" s="251"/>
      <c r="AJ58" s="251"/>
      <c r="AK58" s="251"/>
      <c r="AL58" s="251"/>
      <c r="AM58" s="251"/>
      <c r="AN58" s="251"/>
      <c r="AO58" s="251"/>
      <c r="AP58" s="248">
        <f t="shared" ref="AP58:AP71" si="3">SUM(F58:AO58)</f>
        <v>0.12800373749679131</v>
      </c>
      <c r="AQ58" s="14"/>
      <c r="AR58" s="14"/>
      <c r="AS58" s="14"/>
      <c r="AT58" s="249"/>
      <c r="AU58" s="249"/>
      <c r="AV58" s="249"/>
      <c r="AW58" s="249"/>
      <c r="AX58" s="249"/>
      <c r="AY58" s="249"/>
      <c r="AZ58" s="249"/>
      <c r="BA58" s="249"/>
      <c r="BB58" s="249"/>
      <c r="BC58" s="249"/>
      <c r="BD58" s="249"/>
      <c r="BE58" s="249"/>
      <c r="BF58" s="249"/>
      <c r="BG58" s="249"/>
      <c r="BH58" s="14"/>
      <c r="BI58" s="14"/>
      <c r="BJ58" s="14"/>
      <c r="BK58" s="14"/>
      <c r="BL58" s="14"/>
      <c r="BM58" s="249"/>
      <c r="BN58" s="249"/>
      <c r="BO58" s="14"/>
    </row>
    <row r="59" spans="5:68" x14ac:dyDescent="0.2">
      <c r="E59" s="132" t="s">
        <v>327</v>
      </c>
      <c r="F59" s="234"/>
      <c r="G59" s="234"/>
      <c r="H59" s="234"/>
      <c r="I59" s="234"/>
      <c r="J59" s="234"/>
      <c r="K59" s="234"/>
      <c r="L59" s="234"/>
      <c r="M59" s="234"/>
      <c r="N59" s="234"/>
      <c r="O59" s="251"/>
      <c r="P59" s="251"/>
      <c r="Q59" s="251"/>
      <c r="R59" s="251"/>
      <c r="S59" s="251">
        <f>Ore_to_PI!AG218</f>
        <v>749.09839029167188</v>
      </c>
      <c r="T59" s="251">
        <f>Ore_to_PI!AG234</f>
        <v>2.8866500168439717E-2</v>
      </c>
      <c r="U59" s="251"/>
      <c r="V59" s="251"/>
      <c r="W59" s="251"/>
      <c r="X59" s="251"/>
      <c r="Y59" s="251"/>
      <c r="Z59" s="251"/>
      <c r="AA59" s="251"/>
      <c r="AB59" s="251"/>
      <c r="AC59" s="251"/>
      <c r="AD59" s="251"/>
      <c r="AE59" s="251"/>
      <c r="AF59" s="251"/>
      <c r="AG59" s="251"/>
      <c r="AH59" s="251"/>
      <c r="AI59" s="251"/>
      <c r="AJ59" s="251"/>
      <c r="AK59" s="251"/>
      <c r="AL59" s="251"/>
      <c r="AM59" s="251"/>
      <c r="AN59" s="251"/>
      <c r="AO59" s="251"/>
      <c r="AP59" s="248">
        <f t="shared" si="3"/>
        <v>749.1272567918403</v>
      </c>
      <c r="AQ59" s="14"/>
      <c r="AR59" s="14"/>
      <c r="AS59" s="14"/>
      <c r="AT59" s="249"/>
      <c r="AU59" s="249"/>
      <c r="AV59" s="249"/>
      <c r="AW59" s="249"/>
      <c r="AX59" s="249"/>
      <c r="AY59" s="249"/>
      <c r="AZ59" s="249"/>
      <c r="BA59" s="249"/>
      <c r="BB59" s="249"/>
      <c r="BC59" s="249"/>
      <c r="BD59" s="249"/>
      <c r="BE59" s="249"/>
      <c r="BF59" s="249"/>
      <c r="BG59" s="249"/>
      <c r="BH59" s="14"/>
      <c r="BI59" s="14"/>
      <c r="BJ59" s="14"/>
      <c r="BK59" s="14"/>
      <c r="BL59" s="14"/>
      <c r="BM59" s="249"/>
      <c r="BN59" s="249"/>
      <c r="BO59" s="14"/>
    </row>
    <row r="60" spans="5:68" x14ac:dyDescent="0.2">
      <c r="E60" s="132" t="s">
        <v>455</v>
      </c>
      <c r="F60" s="234"/>
      <c r="G60" s="234"/>
      <c r="H60" s="234"/>
      <c r="I60" s="234"/>
      <c r="J60" s="234"/>
      <c r="K60" s="234"/>
      <c r="L60" s="234"/>
      <c r="M60" s="234"/>
      <c r="N60" s="234"/>
      <c r="O60" s="251"/>
      <c r="P60" s="251"/>
      <c r="Q60" s="251"/>
      <c r="R60" s="251"/>
      <c r="S60" s="251"/>
      <c r="T60" s="251"/>
      <c r="U60" s="251">
        <f>Ore_to_PI!AF52</f>
        <v>0.13269354065302774</v>
      </c>
      <c r="V60" s="251"/>
      <c r="W60" s="251"/>
      <c r="X60" s="251"/>
      <c r="Y60" s="251"/>
      <c r="Z60" s="251"/>
      <c r="AA60" s="251"/>
      <c r="AB60" s="251"/>
      <c r="AC60" s="251"/>
      <c r="AD60" s="251"/>
      <c r="AE60" s="251"/>
      <c r="AF60" s="251"/>
      <c r="AG60" s="251"/>
      <c r="AH60" s="251"/>
      <c r="AI60" s="251"/>
      <c r="AJ60" s="251"/>
      <c r="AK60" s="251"/>
      <c r="AL60" s="251"/>
      <c r="AM60" s="251"/>
      <c r="AN60" s="251"/>
      <c r="AO60" s="251"/>
      <c r="AP60" s="248">
        <f t="shared" si="3"/>
        <v>0.13269354065302774</v>
      </c>
      <c r="AQ60" s="14"/>
      <c r="AR60" s="14"/>
      <c r="AS60" s="14"/>
      <c r="AT60" s="249"/>
      <c r="AU60" s="249"/>
      <c r="AV60" s="249"/>
      <c r="AW60" s="249"/>
      <c r="AX60" s="249"/>
      <c r="AY60" s="249"/>
      <c r="AZ60" s="249"/>
      <c r="BA60" s="249"/>
      <c r="BB60" s="249"/>
      <c r="BC60" s="249"/>
      <c r="BD60" s="249"/>
      <c r="BE60" s="249"/>
      <c r="BF60" s="249"/>
      <c r="BG60" s="249"/>
      <c r="BH60" s="14"/>
      <c r="BI60" s="14"/>
      <c r="BJ60" s="14"/>
      <c r="BK60" s="14"/>
      <c r="BL60" s="14"/>
      <c r="BM60" s="249"/>
      <c r="BN60" s="249"/>
      <c r="BO60" s="14"/>
    </row>
    <row r="61" spans="5:68" x14ac:dyDescent="0.2">
      <c r="E61" s="132" t="s">
        <v>435</v>
      </c>
      <c r="F61" s="234"/>
      <c r="G61" s="234"/>
      <c r="H61" s="234"/>
      <c r="I61" s="234"/>
      <c r="J61" s="234"/>
      <c r="K61" s="234"/>
      <c r="L61" s="234"/>
      <c r="M61" s="234"/>
      <c r="N61" s="234"/>
      <c r="O61" s="251"/>
      <c r="P61" s="251"/>
      <c r="Q61" s="251"/>
      <c r="R61" s="251"/>
      <c r="S61" s="251"/>
      <c r="T61" s="251"/>
      <c r="U61" s="251"/>
      <c r="V61" s="251">
        <f>Ore_to_PI!AZ132</f>
        <v>9.915968969593851E-2</v>
      </c>
      <c r="W61" s="251"/>
      <c r="X61" s="251"/>
      <c r="Y61" s="251"/>
      <c r="Z61" s="251"/>
      <c r="AA61" s="251"/>
      <c r="AB61" s="251"/>
      <c r="AC61" s="251"/>
      <c r="AD61" s="251"/>
      <c r="AE61" s="251"/>
      <c r="AF61" s="251"/>
      <c r="AG61" s="251"/>
      <c r="AH61" s="251"/>
      <c r="AI61" s="251"/>
      <c r="AJ61" s="251"/>
      <c r="AK61" s="251"/>
      <c r="AL61" s="251"/>
      <c r="AM61" s="251"/>
      <c r="AN61" s="251"/>
      <c r="AO61" s="251"/>
      <c r="AP61" s="248">
        <f t="shared" si="3"/>
        <v>9.915968969593851E-2</v>
      </c>
      <c r="AQ61" s="14"/>
      <c r="AR61" s="14"/>
      <c r="AS61" s="14"/>
      <c r="AT61" s="249"/>
      <c r="AU61" s="249"/>
      <c r="AV61" s="249"/>
      <c r="AW61" s="249"/>
      <c r="AX61" s="249"/>
      <c r="AY61" s="249"/>
      <c r="AZ61" s="249"/>
      <c r="BA61" s="249"/>
      <c r="BB61" s="249"/>
      <c r="BC61" s="249"/>
      <c r="BD61" s="249"/>
      <c r="BE61" s="249"/>
      <c r="BF61" s="249"/>
      <c r="BG61" s="249"/>
      <c r="BH61" s="14"/>
      <c r="BI61" s="14"/>
      <c r="BJ61" s="14"/>
      <c r="BK61" s="14"/>
      <c r="BL61" s="14"/>
      <c r="BM61" s="249"/>
      <c r="BN61" s="249"/>
      <c r="BO61" s="14"/>
    </row>
    <row r="62" spans="5:68" x14ac:dyDescent="0.2">
      <c r="E62" s="132" t="s">
        <v>434</v>
      </c>
      <c r="F62" s="234"/>
      <c r="G62" s="234"/>
      <c r="H62" s="234"/>
      <c r="I62" s="234"/>
      <c r="J62" s="234"/>
      <c r="K62" s="234"/>
      <c r="L62" s="234"/>
      <c r="M62" s="234"/>
      <c r="N62" s="234"/>
      <c r="O62" s="251"/>
      <c r="P62" s="251"/>
      <c r="Q62" s="251"/>
      <c r="R62" s="251"/>
      <c r="S62" s="251"/>
      <c r="T62" s="251"/>
      <c r="U62" s="251"/>
      <c r="V62" s="251"/>
      <c r="W62" s="251">
        <f>Ore_to_PI!AZ218</f>
        <v>749.09839029167188</v>
      </c>
      <c r="X62" s="251"/>
      <c r="Y62" s="251"/>
      <c r="Z62" s="251"/>
      <c r="AA62" s="251"/>
      <c r="AB62" s="251"/>
      <c r="AC62" s="251"/>
      <c r="AD62" s="251"/>
      <c r="AE62" s="251"/>
      <c r="AF62" s="251"/>
      <c r="AG62" s="251"/>
      <c r="AH62" s="251"/>
      <c r="AI62" s="251"/>
      <c r="AJ62" s="251"/>
      <c r="AK62" s="251"/>
      <c r="AL62" s="251"/>
      <c r="AM62" s="251"/>
      <c r="AN62" s="251"/>
      <c r="AO62" s="251"/>
      <c r="AP62" s="248">
        <f t="shared" si="3"/>
        <v>749.09839029167188</v>
      </c>
      <c r="AQ62" s="14"/>
      <c r="AR62" s="14"/>
      <c r="AS62" s="14"/>
      <c r="AT62" s="249"/>
      <c r="AU62" s="249"/>
      <c r="AV62" s="249"/>
      <c r="AW62" s="249"/>
      <c r="AX62" s="249"/>
      <c r="AY62" s="249"/>
      <c r="AZ62" s="249"/>
      <c r="BA62" s="249"/>
      <c r="BB62" s="249"/>
      <c r="BC62" s="249"/>
      <c r="BD62" s="249"/>
      <c r="BE62" s="249"/>
      <c r="BF62" s="249"/>
      <c r="BG62" s="249"/>
      <c r="BH62" s="14"/>
      <c r="BI62" s="14"/>
      <c r="BJ62" s="14"/>
      <c r="BK62" s="14"/>
      <c r="BL62" s="14"/>
      <c r="BM62" s="249"/>
      <c r="BN62" s="249"/>
      <c r="BO62" s="14"/>
    </row>
    <row r="63" spans="5:68" x14ac:dyDescent="0.2">
      <c r="E63" s="132" t="s">
        <v>351</v>
      </c>
      <c r="F63" s="234"/>
      <c r="G63" s="234"/>
      <c r="H63" s="234"/>
      <c r="I63" s="234"/>
      <c r="J63" s="234"/>
      <c r="K63" s="234"/>
      <c r="L63" s="234"/>
      <c r="M63" s="234"/>
      <c r="N63" s="234"/>
      <c r="O63" s="251"/>
      <c r="P63" s="251"/>
      <c r="Q63" s="251"/>
      <c r="R63" s="251"/>
      <c r="S63" s="251"/>
      <c r="T63" s="251"/>
      <c r="U63" s="251"/>
      <c r="V63" s="251"/>
      <c r="W63" s="251"/>
      <c r="X63" s="251">
        <f>Ore_to_PI!BR48</f>
        <v>0.13338795034407031</v>
      </c>
      <c r="Y63" s="251">
        <f>Ore_to_PI!BR63</f>
        <v>9.1994895485800074E-2</v>
      </c>
      <c r="Z63" s="251"/>
      <c r="AA63" s="251"/>
      <c r="AB63" s="251"/>
      <c r="AC63" s="251"/>
      <c r="AD63" s="251"/>
      <c r="AE63" s="251"/>
      <c r="AF63" s="251"/>
      <c r="AG63" s="251"/>
      <c r="AH63" s="251"/>
      <c r="AI63" s="251"/>
      <c r="AJ63" s="251"/>
      <c r="AK63" s="251"/>
      <c r="AL63" s="251"/>
      <c r="AM63" s="251"/>
      <c r="AN63" s="251"/>
      <c r="AO63" s="251"/>
      <c r="AP63" s="248">
        <f t="shared" si="3"/>
        <v>0.22538284582987039</v>
      </c>
      <c r="AQ63" s="14"/>
      <c r="AR63" s="14"/>
      <c r="AS63" s="14"/>
      <c r="AT63" s="249"/>
      <c r="AU63" s="249"/>
      <c r="AV63" s="249"/>
      <c r="AW63" s="249"/>
      <c r="AX63" s="249"/>
      <c r="AY63" s="249"/>
      <c r="AZ63" s="249"/>
      <c r="BA63" s="249"/>
      <c r="BB63" s="249"/>
      <c r="BC63" s="249"/>
      <c r="BD63" s="249"/>
      <c r="BE63" s="249"/>
      <c r="BF63" s="249"/>
      <c r="BG63" s="249"/>
      <c r="BH63" s="14"/>
      <c r="BI63" s="14"/>
      <c r="BJ63" s="14"/>
      <c r="BK63" s="14"/>
      <c r="BL63" s="14"/>
      <c r="BM63" s="249"/>
      <c r="BN63" s="249"/>
      <c r="BO63" s="14"/>
    </row>
    <row r="64" spans="5:68" x14ac:dyDescent="0.2">
      <c r="E64" s="132" t="s">
        <v>348</v>
      </c>
      <c r="F64" s="234"/>
      <c r="G64" s="234"/>
      <c r="H64" s="234"/>
      <c r="I64" s="234"/>
      <c r="J64" s="234"/>
      <c r="K64" s="234"/>
      <c r="L64" s="234"/>
      <c r="M64" s="234"/>
      <c r="N64" s="234"/>
      <c r="O64" s="251"/>
      <c r="P64" s="251"/>
      <c r="Q64" s="251"/>
      <c r="R64" s="251"/>
      <c r="S64" s="251"/>
      <c r="T64" s="251"/>
      <c r="U64" s="251"/>
      <c r="V64" s="251"/>
      <c r="W64" s="251"/>
      <c r="X64" s="251"/>
      <c r="Y64" s="251"/>
      <c r="Z64" s="251">
        <f>Ore_to_PI!BS132</f>
        <v>9.915968969593851E-2</v>
      </c>
      <c r="AA64" s="251"/>
      <c r="AB64" s="251"/>
      <c r="AC64" s="251"/>
      <c r="AD64" s="251"/>
      <c r="AE64" s="251"/>
      <c r="AF64" s="251"/>
      <c r="AG64" s="251"/>
      <c r="AH64" s="251"/>
      <c r="AI64" s="251"/>
      <c r="AJ64" s="251"/>
      <c r="AK64" s="251"/>
      <c r="AL64" s="251"/>
      <c r="AM64" s="251"/>
      <c r="AN64" s="251"/>
      <c r="AO64" s="251"/>
      <c r="AP64" s="248">
        <f t="shared" si="3"/>
        <v>9.915968969593851E-2</v>
      </c>
      <c r="AQ64" s="14"/>
      <c r="AR64" s="14"/>
      <c r="AS64" s="14"/>
      <c r="AT64" s="249"/>
      <c r="AU64" s="249"/>
      <c r="AV64" s="249"/>
      <c r="AW64" s="249"/>
      <c r="AX64" s="249"/>
      <c r="AY64" s="249"/>
      <c r="AZ64" s="249"/>
      <c r="BA64" s="249"/>
      <c r="BB64" s="249"/>
      <c r="BC64" s="249"/>
      <c r="BD64" s="249"/>
      <c r="BE64" s="249"/>
      <c r="BF64" s="249"/>
      <c r="BG64" s="249"/>
      <c r="BH64" s="14"/>
      <c r="BI64" s="14"/>
      <c r="BJ64" s="14"/>
      <c r="BK64" s="14"/>
      <c r="BL64" s="14"/>
      <c r="BM64" s="249"/>
      <c r="BN64" s="249"/>
      <c r="BO64" s="14"/>
    </row>
    <row r="65" spans="5:67" x14ac:dyDescent="0.2">
      <c r="E65" s="132" t="s">
        <v>362</v>
      </c>
      <c r="F65" s="234"/>
      <c r="G65" s="234"/>
      <c r="H65" s="234"/>
      <c r="I65" s="234"/>
      <c r="J65" s="234"/>
      <c r="K65" s="234"/>
      <c r="L65" s="234"/>
      <c r="M65" s="234"/>
      <c r="N65" s="234"/>
      <c r="O65" s="251"/>
      <c r="P65" s="251"/>
      <c r="Q65" s="251"/>
      <c r="R65" s="251"/>
      <c r="S65" s="251"/>
      <c r="T65" s="251"/>
      <c r="U65" s="251"/>
      <c r="V65" s="251"/>
      <c r="W65" s="251"/>
      <c r="X65" s="251"/>
      <c r="Y65" s="251"/>
      <c r="Z65" s="251"/>
      <c r="AA65" s="251">
        <f>Ore_to_PI!BS218</f>
        <v>749.09839029167188</v>
      </c>
      <c r="AB65" s="251"/>
      <c r="AC65" s="251"/>
      <c r="AD65" s="251"/>
      <c r="AE65" s="251"/>
      <c r="AF65" s="251"/>
      <c r="AG65" s="251"/>
      <c r="AH65" s="251"/>
      <c r="AI65" s="251"/>
      <c r="AJ65" s="251"/>
      <c r="AK65" s="251"/>
      <c r="AL65" s="251"/>
      <c r="AM65" s="251"/>
      <c r="AN65" s="251"/>
      <c r="AO65" s="251"/>
      <c r="AP65" s="248">
        <f t="shared" si="3"/>
        <v>749.09839029167188</v>
      </c>
      <c r="AQ65" s="14"/>
      <c r="AR65" s="14"/>
      <c r="AS65" s="14"/>
      <c r="AT65" s="249"/>
      <c r="AU65" s="249"/>
      <c r="AV65" s="249"/>
      <c r="AW65" s="249"/>
      <c r="AX65" s="249"/>
      <c r="AY65" s="249"/>
      <c r="AZ65" s="249"/>
      <c r="BA65" s="249"/>
      <c r="BB65" s="249"/>
      <c r="BC65" s="249"/>
      <c r="BD65" s="249"/>
      <c r="BE65" s="249"/>
      <c r="BF65" s="249"/>
      <c r="BG65" s="249"/>
      <c r="BH65" s="14"/>
      <c r="BI65" s="14"/>
      <c r="BJ65" s="14"/>
      <c r="BK65" s="14"/>
      <c r="BL65" s="14"/>
      <c r="BM65" s="249"/>
      <c r="BN65" s="249"/>
      <c r="BO65" s="14"/>
    </row>
    <row r="66" spans="5:67" x14ac:dyDescent="0.2">
      <c r="E66" s="132" t="s">
        <v>349</v>
      </c>
      <c r="F66" s="234"/>
      <c r="G66" s="234"/>
      <c r="H66" s="234"/>
      <c r="I66" s="234"/>
      <c r="J66" s="234"/>
      <c r="K66" s="234"/>
      <c r="L66" s="234"/>
      <c r="M66" s="234"/>
      <c r="N66" s="234"/>
      <c r="O66" s="251"/>
      <c r="P66" s="251"/>
      <c r="Q66" s="251"/>
      <c r="R66" s="251"/>
      <c r="S66" s="251"/>
      <c r="T66" s="251"/>
      <c r="U66" s="251"/>
      <c r="V66" s="251"/>
      <c r="W66" s="251"/>
      <c r="X66" s="251"/>
      <c r="Y66" s="251"/>
      <c r="Z66" s="251"/>
      <c r="AA66" s="251"/>
      <c r="AB66" s="251">
        <f>Ore_to_PI!CN131</f>
        <v>5.6077400000000006E-2</v>
      </c>
      <c r="AC66" s="251">
        <f>Ore_to_PI!CN119</f>
        <v>4.0304400000000004E-2</v>
      </c>
      <c r="AD66" s="251">
        <f>Ore_to_PI!CN145</f>
        <v>2.8919462161030023E-2</v>
      </c>
      <c r="AE66" s="251"/>
      <c r="AF66" s="251"/>
      <c r="AG66" s="251"/>
      <c r="AH66" s="251"/>
      <c r="AI66" s="251"/>
      <c r="AJ66" s="251"/>
      <c r="AK66" s="251"/>
      <c r="AL66" s="251"/>
      <c r="AM66" s="251"/>
      <c r="AN66" s="251"/>
      <c r="AO66" s="251"/>
      <c r="AP66" s="248">
        <f t="shared" si="3"/>
        <v>0.12530126216103005</v>
      </c>
      <c r="AQ66" s="14"/>
      <c r="AR66" s="14"/>
      <c r="AS66" s="14"/>
      <c r="AT66" s="249"/>
      <c r="AU66" s="249"/>
      <c r="AV66" s="249"/>
      <c r="AW66" s="249"/>
      <c r="AX66" s="249"/>
      <c r="AY66" s="249"/>
      <c r="AZ66" s="249"/>
      <c r="BA66" s="249"/>
      <c r="BB66" s="249"/>
      <c r="BC66" s="249"/>
      <c r="BD66" s="249"/>
      <c r="BE66" s="249"/>
      <c r="BF66" s="249"/>
      <c r="BG66" s="249"/>
      <c r="BH66" s="14"/>
      <c r="BI66" s="14"/>
      <c r="BJ66" s="14"/>
      <c r="BK66" s="14"/>
      <c r="BL66" s="14"/>
      <c r="BM66" s="249"/>
      <c r="BN66" s="249"/>
      <c r="BO66" s="14"/>
    </row>
    <row r="67" spans="5:67" x14ac:dyDescent="0.2">
      <c r="E67" s="132" t="s">
        <v>344</v>
      </c>
      <c r="F67" s="234"/>
      <c r="G67" s="234"/>
      <c r="H67" s="234"/>
      <c r="I67" s="234"/>
      <c r="J67" s="234"/>
      <c r="K67" s="234"/>
      <c r="L67" s="234"/>
      <c r="M67" s="234"/>
      <c r="N67" s="234"/>
      <c r="O67" s="251"/>
      <c r="P67" s="251"/>
      <c r="Q67" s="251"/>
      <c r="R67" s="251"/>
      <c r="S67" s="251"/>
      <c r="T67" s="251"/>
      <c r="U67" s="251"/>
      <c r="V67" s="251"/>
      <c r="W67" s="251"/>
      <c r="X67" s="251"/>
      <c r="Y67" s="251"/>
      <c r="Z67" s="251"/>
      <c r="AA67" s="251"/>
      <c r="AB67" s="251"/>
      <c r="AC67" s="251"/>
      <c r="AD67" s="251"/>
      <c r="AE67" s="251">
        <f>Ore_to_PI!CN211</f>
        <v>1.2281186094069529E-2</v>
      </c>
      <c r="AF67" s="251">
        <f>Ore_to_PI!CN243</f>
        <v>3.063549266582438E-3</v>
      </c>
      <c r="AG67" s="251">
        <f>Ore_to_PI!CN282</f>
        <v>1.5333215521897698E-2</v>
      </c>
      <c r="AH67" s="251">
        <f>Ore_to_PI!CN229</f>
        <v>7.6146278527480557E-2</v>
      </c>
      <c r="AI67" s="251">
        <f>Ore_to_PI!CN258</f>
        <v>2.7633244258555133E-2</v>
      </c>
      <c r="AJ67" s="251"/>
      <c r="AK67" s="251"/>
      <c r="AL67" s="251"/>
      <c r="AM67" s="251"/>
      <c r="AN67" s="251"/>
      <c r="AO67" s="251"/>
      <c r="AP67" s="248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 x14ac:dyDescent="0.2">
      <c r="E68" s="132" t="s">
        <v>514</v>
      </c>
      <c r="F68" s="234"/>
      <c r="G68" s="234"/>
      <c r="H68" s="234"/>
      <c r="I68" s="234"/>
      <c r="J68" s="234"/>
      <c r="K68" s="234"/>
      <c r="L68" s="234"/>
      <c r="M68" s="234"/>
      <c r="N68" s="234"/>
      <c r="O68" s="251"/>
      <c r="P68" s="251"/>
      <c r="Q68" s="251"/>
      <c r="R68" s="251"/>
      <c r="S68" s="251"/>
      <c r="T68" s="251"/>
      <c r="U68" s="251"/>
      <c r="V68" s="251"/>
      <c r="W68" s="251"/>
      <c r="X68" s="251"/>
      <c r="Y68" s="251"/>
      <c r="Z68" s="251"/>
      <c r="AA68" s="251"/>
      <c r="AB68" s="251"/>
      <c r="AC68" s="251"/>
      <c r="AD68" s="251"/>
      <c r="AE68" s="251"/>
      <c r="AF68" s="251"/>
      <c r="AG68" s="251"/>
      <c r="AH68" s="251"/>
      <c r="AI68" s="251"/>
      <c r="AJ68" s="251">
        <f>Ore_to_PI!DH241</f>
        <v>3.0984239376704225E-3</v>
      </c>
      <c r="AK68" s="251"/>
      <c r="AL68" s="251"/>
      <c r="AM68" s="251"/>
      <c r="AN68" s="251"/>
      <c r="AO68" s="251"/>
      <c r="AP68" s="248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 x14ac:dyDescent="0.2">
      <c r="E69" s="132" t="s">
        <v>516</v>
      </c>
      <c r="F69" s="234"/>
      <c r="G69" s="234"/>
      <c r="H69" s="234"/>
      <c r="I69" s="234"/>
      <c r="J69" s="234"/>
      <c r="K69" s="234"/>
      <c r="L69" s="234"/>
      <c r="M69" s="234"/>
      <c r="N69" s="234"/>
      <c r="O69" s="251"/>
      <c r="P69" s="251"/>
      <c r="Q69" s="251"/>
      <c r="R69" s="251"/>
      <c r="S69" s="251"/>
      <c r="T69" s="251"/>
      <c r="U69" s="251"/>
      <c r="V69" s="251"/>
      <c r="W69" s="251"/>
      <c r="X69" s="251"/>
      <c r="Y69" s="251"/>
      <c r="Z69" s="251"/>
      <c r="AA69" s="251"/>
      <c r="AB69" s="251"/>
      <c r="AC69" s="251"/>
      <c r="AD69" s="251"/>
      <c r="AE69" s="251"/>
      <c r="AF69" s="251"/>
      <c r="AG69" s="251"/>
      <c r="AH69" s="251"/>
      <c r="AI69" s="251"/>
      <c r="AJ69" s="251"/>
      <c r="AK69" s="251">
        <f>Ore_to_PI!EC241</f>
        <v>3.0984239376704225E-3</v>
      </c>
      <c r="AL69" s="251"/>
      <c r="AM69" s="251"/>
      <c r="AN69" s="251"/>
      <c r="AO69" s="251"/>
      <c r="AP69" s="248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 x14ac:dyDescent="0.2">
      <c r="E70" s="132" t="s">
        <v>76</v>
      </c>
      <c r="F70" s="234"/>
      <c r="G70" s="234"/>
      <c r="H70" s="234"/>
      <c r="I70" s="234"/>
      <c r="J70" s="234"/>
      <c r="K70" s="234"/>
      <c r="L70" s="234"/>
      <c r="M70" s="234"/>
      <c r="N70" s="234"/>
      <c r="O70" s="251"/>
      <c r="P70" s="251"/>
      <c r="Q70" s="251"/>
      <c r="R70" s="251"/>
      <c r="S70" s="251"/>
      <c r="T70" s="251"/>
      <c r="U70" s="251"/>
      <c r="V70" s="251"/>
      <c r="W70" s="251"/>
      <c r="X70" s="251"/>
      <c r="Y70" s="251"/>
      <c r="Z70" s="251"/>
      <c r="AA70" s="251"/>
      <c r="AB70" s="251"/>
      <c r="AC70" s="251"/>
      <c r="AD70" s="251"/>
      <c r="AE70" s="251"/>
      <c r="AF70" s="251"/>
      <c r="AG70" s="251"/>
      <c r="AH70" s="251"/>
      <c r="AI70" s="255"/>
      <c r="AJ70" s="251"/>
      <c r="AK70" s="251"/>
      <c r="AL70" s="255">
        <f>Ore_to_PI!ED134</f>
        <v>5.0493969078662611E-2</v>
      </c>
      <c r="AM70" s="251"/>
      <c r="AN70" s="251"/>
      <c r="AO70" s="251"/>
      <c r="AP70" s="248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 x14ac:dyDescent="0.2">
      <c r="E71" s="132" t="s">
        <v>337</v>
      </c>
      <c r="F71" s="234"/>
      <c r="G71" s="234"/>
      <c r="H71" s="234"/>
      <c r="I71" s="236"/>
      <c r="J71" s="234"/>
      <c r="K71" s="234"/>
      <c r="L71" s="234"/>
      <c r="M71" s="234"/>
      <c r="N71" s="234"/>
      <c r="O71" s="251"/>
      <c r="P71" s="251"/>
      <c r="Q71" s="251"/>
      <c r="R71" s="251"/>
      <c r="S71" s="251"/>
      <c r="T71" s="251"/>
      <c r="U71" s="251"/>
      <c r="V71" s="251"/>
      <c r="W71" s="251"/>
      <c r="X71" s="251"/>
      <c r="Y71" s="251"/>
      <c r="Z71" s="251"/>
      <c r="AA71" s="251"/>
      <c r="AB71" s="251"/>
      <c r="AC71" s="251"/>
      <c r="AD71" s="264"/>
      <c r="AE71" s="251"/>
      <c r="AF71" s="251"/>
      <c r="AG71" s="251"/>
      <c r="AH71" s="251"/>
      <c r="AI71" s="251"/>
      <c r="AJ71" s="251"/>
      <c r="AK71" s="251"/>
      <c r="AL71" s="251"/>
      <c r="AM71" s="251">
        <f>Ore_to_PI!FD131</f>
        <v>5.5844999999999999E-2</v>
      </c>
      <c r="AN71" s="251">
        <f>Ore_to_PI!FD149</f>
        <v>2.934040124525995E-2</v>
      </c>
      <c r="AO71" s="251">
        <f>Ore_to_PI!FD109</f>
        <v>0.11616169999999999</v>
      </c>
      <c r="AP71" s="248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 x14ac:dyDescent="0.2">
      <c r="E72" s="132"/>
      <c r="F72" s="382" t="s">
        <v>329</v>
      </c>
      <c r="G72" s="382"/>
      <c r="H72" s="382"/>
      <c r="I72" s="382"/>
      <c r="J72" s="382"/>
      <c r="K72" s="382"/>
      <c r="L72" s="382"/>
      <c r="M72" s="382"/>
      <c r="N72" s="382"/>
      <c r="O72" s="382"/>
      <c r="P72" s="382"/>
      <c r="Q72" s="382"/>
      <c r="R72" s="382"/>
      <c r="S72" s="382"/>
      <c r="T72" s="382"/>
      <c r="U72" s="382"/>
      <c r="V72" s="382"/>
      <c r="W72" s="382"/>
      <c r="X72" s="382"/>
      <c r="Y72" s="382"/>
      <c r="Z72" s="382"/>
      <c r="AA72" s="382"/>
      <c r="AB72" s="382"/>
      <c r="AC72" s="382"/>
      <c r="AD72" s="382"/>
      <c r="AE72" s="382"/>
      <c r="AF72" s="382"/>
      <c r="AG72" s="382"/>
      <c r="AH72" s="382"/>
      <c r="AI72" s="382"/>
      <c r="AJ72" s="382"/>
      <c r="AK72" s="382"/>
      <c r="AL72" s="382"/>
      <c r="AM72" s="382"/>
      <c r="AN72" s="382"/>
      <c r="AO72" s="382"/>
      <c r="AP72" s="249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 x14ac:dyDescent="0.2">
      <c r="E73" s="132"/>
      <c r="F73" s="248">
        <f>SUM(F57:F71)</f>
        <v>0</v>
      </c>
      <c r="G73" s="248">
        <f t="shared" ref="G73:AO73" si="4">SUM(G57:G71)</f>
        <v>0</v>
      </c>
      <c r="H73" s="248">
        <f t="shared" si="4"/>
        <v>0</v>
      </c>
      <c r="I73" s="248">
        <f t="shared" si="4"/>
        <v>0</v>
      </c>
      <c r="J73" s="248">
        <f t="shared" si="4"/>
        <v>0</v>
      </c>
      <c r="K73" s="248">
        <f t="shared" si="4"/>
        <v>0</v>
      </c>
      <c r="L73" s="248">
        <f t="shared" si="4"/>
        <v>0</v>
      </c>
      <c r="M73" s="248">
        <f t="shared" si="4"/>
        <v>0</v>
      </c>
      <c r="N73" s="248">
        <f t="shared" si="4"/>
        <v>0</v>
      </c>
      <c r="O73" s="248">
        <f t="shared" si="4"/>
        <v>0.13269354065302774</v>
      </c>
      <c r="P73" s="248">
        <f t="shared" si="4"/>
        <v>2.8866500168439717E-2</v>
      </c>
      <c r="Q73" s="248">
        <f t="shared" si="4"/>
        <v>9.915968969593851E-2</v>
      </c>
      <c r="R73" s="248">
        <f t="shared" si="4"/>
        <v>2.8844047800852795E-2</v>
      </c>
      <c r="S73" s="248">
        <f t="shared" si="4"/>
        <v>749.09839029167188</v>
      </c>
      <c r="T73" s="248">
        <f t="shared" si="4"/>
        <v>2.8866500168439717E-2</v>
      </c>
      <c r="U73" s="248">
        <f t="shared" si="4"/>
        <v>0.13269354065302774</v>
      </c>
      <c r="V73" s="248">
        <f t="shared" si="4"/>
        <v>9.915968969593851E-2</v>
      </c>
      <c r="W73" s="248">
        <f t="shared" si="4"/>
        <v>749.09839029167188</v>
      </c>
      <c r="X73" s="248">
        <f t="shared" si="4"/>
        <v>0.13338795034407031</v>
      </c>
      <c r="Y73" s="248">
        <f t="shared" si="4"/>
        <v>9.1994895485800074E-2</v>
      </c>
      <c r="Z73" s="248">
        <f t="shared" si="4"/>
        <v>9.915968969593851E-2</v>
      </c>
      <c r="AA73" s="248">
        <f t="shared" si="4"/>
        <v>749.09839029167188</v>
      </c>
      <c r="AB73" s="248">
        <f t="shared" si="4"/>
        <v>5.6077400000000006E-2</v>
      </c>
      <c r="AC73" s="248">
        <f t="shared" si="4"/>
        <v>4.0304400000000004E-2</v>
      </c>
      <c r="AD73" s="248">
        <f t="shared" si="4"/>
        <v>2.8919462161030023E-2</v>
      </c>
      <c r="AE73" s="248">
        <f t="shared" si="4"/>
        <v>1.2281186094069529E-2</v>
      </c>
      <c r="AF73" s="248">
        <f t="shared" si="4"/>
        <v>3.063549266582438E-3</v>
      </c>
      <c r="AG73" s="248">
        <f t="shared" si="4"/>
        <v>1.5333215521897698E-2</v>
      </c>
      <c r="AH73" s="248">
        <f t="shared" si="4"/>
        <v>7.6146278527480557E-2</v>
      </c>
      <c r="AI73" s="248">
        <f t="shared" si="4"/>
        <v>2.7633244258555133E-2</v>
      </c>
      <c r="AJ73" s="248">
        <f t="shared" si="4"/>
        <v>3.0984239376704225E-3</v>
      </c>
      <c r="AK73" s="248">
        <f t="shared" si="4"/>
        <v>3.0984239376704225E-3</v>
      </c>
      <c r="AL73" s="248">
        <f t="shared" si="4"/>
        <v>5.0493969078662611E-2</v>
      </c>
      <c r="AM73" s="248">
        <f t="shared" si="4"/>
        <v>5.5844999999999999E-2</v>
      </c>
      <c r="AN73" s="248">
        <f t="shared" si="4"/>
        <v>2.934040124525995E-2</v>
      </c>
      <c r="AO73" s="248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 x14ac:dyDescent="0.2">
      <c r="E74" s="132"/>
      <c r="F74" s="382" t="s">
        <v>366</v>
      </c>
      <c r="G74" s="382"/>
      <c r="H74" s="382"/>
      <c r="I74" s="382"/>
      <c r="J74" s="382"/>
      <c r="K74" s="382"/>
      <c r="L74" s="382"/>
      <c r="M74" s="382"/>
      <c r="N74" s="382"/>
      <c r="O74" s="382"/>
      <c r="P74" s="382"/>
      <c r="Q74" s="382"/>
      <c r="R74" s="382"/>
      <c r="S74" s="382"/>
      <c r="T74" s="382"/>
      <c r="U74" s="382"/>
      <c r="V74" s="382"/>
      <c r="W74" s="382"/>
      <c r="X74" s="382"/>
      <c r="Y74" s="382"/>
      <c r="Z74" s="382"/>
      <c r="AA74" s="382"/>
      <c r="AB74" s="382"/>
      <c r="AC74" s="382"/>
      <c r="AD74" s="382"/>
      <c r="AE74" s="382"/>
      <c r="AF74" s="382"/>
      <c r="AG74" s="382"/>
      <c r="AH74" s="382"/>
      <c r="AI74" s="382"/>
      <c r="AJ74" s="382"/>
      <c r="AK74" s="382"/>
      <c r="AL74" s="382"/>
      <c r="AM74" s="382"/>
      <c r="AN74" s="382"/>
      <c r="AO74" s="382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 x14ac:dyDescent="0.2">
      <c r="E75" s="132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 x14ac:dyDescent="0.2">
      <c r="E76" s="132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 x14ac:dyDescent="0.2">
      <c r="E77" s="132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 x14ac:dyDescent="0.2">
      <c r="E78" s="132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 x14ac:dyDescent="0.2">
      <c r="E79" s="132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 x14ac:dyDescent="0.2">
      <c r="E80" s="132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 x14ac:dyDescent="0.2">
      <c r="E81" s="132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 x14ac:dyDescent="0.2">
      <c r="E82" s="132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6" customHeight="1" x14ac:dyDescent="0.2">
      <c r="E83" s="132"/>
      <c r="F83" s="231" t="s">
        <v>333</v>
      </c>
      <c r="G83" s="231" t="s">
        <v>335</v>
      </c>
      <c r="H83" s="231" t="s">
        <v>336</v>
      </c>
      <c r="I83" s="231" t="s">
        <v>355</v>
      </c>
      <c r="J83" s="231" t="s">
        <v>377</v>
      </c>
      <c r="K83" s="231" t="s">
        <v>466</v>
      </c>
      <c r="L83" s="231" t="s">
        <v>467</v>
      </c>
      <c r="M83" s="231" t="s">
        <v>411</v>
      </c>
      <c r="N83" s="231" t="s">
        <v>459</v>
      </c>
      <c r="O83" s="232" t="s">
        <v>442</v>
      </c>
      <c r="P83" s="231" t="s">
        <v>409</v>
      </c>
      <c r="Q83" s="232" t="s">
        <v>412</v>
      </c>
      <c r="R83" s="231" t="s">
        <v>437</v>
      </c>
      <c r="S83" s="233" t="s">
        <v>430</v>
      </c>
      <c r="T83" s="231" t="s">
        <v>416</v>
      </c>
      <c r="U83" s="232" t="s">
        <v>441</v>
      </c>
      <c r="V83" s="232" t="s">
        <v>436</v>
      </c>
      <c r="W83" s="232" t="s">
        <v>433</v>
      </c>
      <c r="X83" s="232" t="s">
        <v>439</v>
      </c>
      <c r="Y83" s="233" t="s">
        <v>438</v>
      </c>
      <c r="Z83" s="233" t="s">
        <v>424</v>
      </c>
      <c r="AA83" s="233" t="s">
        <v>456</v>
      </c>
      <c r="AB83" s="233" t="s">
        <v>425</v>
      </c>
      <c r="AC83" s="233" t="s">
        <v>427</v>
      </c>
      <c r="AD83" s="233" t="s">
        <v>426</v>
      </c>
      <c r="AE83" s="233" t="s">
        <v>484</v>
      </c>
      <c r="AF83" s="235" t="s">
        <v>422</v>
      </c>
      <c r="AG83" s="235" t="s">
        <v>552</v>
      </c>
      <c r="AH83" s="233" t="s">
        <v>421</v>
      </c>
      <c r="AI83" s="231" t="s">
        <v>423</v>
      </c>
      <c r="AJ83" s="233" t="s">
        <v>515</v>
      </c>
      <c r="AK83" s="233" t="s">
        <v>517</v>
      </c>
      <c r="AL83" s="233" t="s">
        <v>445</v>
      </c>
      <c r="AM83" s="233" t="s">
        <v>446</v>
      </c>
      <c r="AN83" s="233" t="s">
        <v>447</v>
      </c>
      <c r="AO83" s="233" t="s">
        <v>457</v>
      </c>
      <c r="AP83" s="233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x14ac:dyDescent="0.2">
      <c r="E84" s="132" t="s">
        <v>332</v>
      </c>
      <c r="F84" s="265">
        <f>Ore_to_PI!M52</f>
        <v>0.13269354065302774</v>
      </c>
      <c r="G84" s="265"/>
      <c r="H84" s="265"/>
      <c r="I84" s="265"/>
      <c r="J84" s="265"/>
      <c r="K84" s="265"/>
      <c r="L84" s="265"/>
      <c r="M84" s="265"/>
      <c r="N84" s="265"/>
      <c r="O84" s="265"/>
      <c r="P84" s="265"/>
      <c r="Q84" s="265"/>
      <c r="R84" s="265"/>
      <c r="S84" s="265"/>
      <c r="T84" s="265"/>
      <c r="U84" s="265"/>
      <c r="V84" s="265"/>
      <c r="W84" s="265"/>
      <c r="X84" s="265"/>
      <c r="Y84" s="265"/>
      <c r="Z84" s="265"/>
      <c r="AA84" s="265"/>
      <c r="AB84" s="265"/>
      <c r="AC84" s="265"/>
      <c r="AD84" s="265"/>
      <c r="AE84" s="265"/>
      <c r="AF84" s="265"/>
      <c r="AG84" s="265"/>
      <c r="AH84" s="265"/>
      <c r="AI84" s="265"/>
      <c r="AJ84" s="265"/>
      <c r="AK84" s="265"/>
      <c r="AL84" s="265"/>
      <c r="AM84" s="265"/>
      <c r="AN84" s="265"/>
      <c r="AO84" s="265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" customHeight="1" x14ac:dyDescent="0.2">
      <c r="E85" s="229" t="s">
        <v>413</v>
      </c>
      <c r="F85" s="265"/>
      <c r="G85" s="265">
        <f>Ore_to_PI!M132</f>
        <v>9.915968969593851E-2</v>
      </c>
      <c r="H85" s="265"/>
      <c r="I85" s="265"/>
      <c r="J85" s="265"/>
      <c r="K85" s="265"/>
      <c r="L85" s="265"/>
      <c r="M85" s="265"/>
      <c r="N85" s="265"/>
      <c r="O85" s="265"/>
      <c r="P85" s="265"/>
      <c r="Q85" s="265"/>
      <c r="R85" s="265"/>
      <c r="S85" s="265"/>
      <c r="T85" s="265"/>
      <c r="U85" s="265"/>
      <c r="V85" s="265"/>
      <c r="W85" s="265"/>
      <c r="X85" s="265"/>
      <c r="Y85" s="265"/>
      <c r="Z85" s="265"/>
      <c r="AA85" s="265"/>
      <c r="AB85" s="265"/>
      <c r="AC85" s="265"/>
      <c r="AD85" s="265"/>
      <c r="AE85" s="265"/>
      <c r="AF85" s="265"/>
      <c r="AG85" s="265"/>
      <c r="AH85" s="265"/>
      <c r="AI85" s="265"/>
      <c r="AJ85" s="265"/>
      <c r="AK85" s="265"/>
      <c r="AL85" s="265"/>
      <c r="AM85" s="265"/>
      <c r="AN85" s="265"/>
      <c r="AO85" s="265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x14ac:dyDescent="0.2">
      <c r="E86" s="230" t="s">
        <v>356</v>
      </c>
      <c r="F86" s="265"/>
      <c r="G86" s="265"/>
      <c r="H86" s="265">
        <f>Ore_to_PI!M218</f>
        <v>749.09839029167188</v>
      </c>
      <c r="I86" s="265"/>
      <c r="J86" s="265"/>
      <c r="K86" s="265"/>
      <c r="L86" s="265"/>
      <c r="M86" s="265"/>
      <c r="N86" s="265"/>
      <c r="O86" s="265"/>
      <c r="P86" s="265"/>
      <c r="Q86" s="265"/>
      <c r="R86" s="265"/>
      <c r="S86" s="265"/>
      <c r="T86" s="265"/>
      <c r="U86" s="265"/>
      <c r="V86" s="265"/>
      <c r="W86" s="265"/>
      <c r="X86" s="265"/>
      <c r="Y86" s="265"/>
      <c r="Z86" s="265"/>
      <c r="AA86" s="265"/>
      <c r="AB86" s="265"/>
      <c r="AC86" s="265"/>
      <c r="AD86" s="265"/>
      <c r="AE86" s="265"/>
      <c r="AF86" s="265"/>
      <c r="AG86" s="265"/>
      <c r="AH86" s="265"/>
      <c r="AI86" s="265"/>
      <c r="AJ86" s="265"/>
      <c r="AK86" s="265"/>
      <c r="AL86" s="265"/>
      <c r="AM86" s="265"/>
      <c r="AN86" s="265"/>
      <c r="AO86" s="265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 x14ac:dyDescent="0.2">
      <c r="E87" s="132" t="s">
        <v>380</v>
      </c>
      <c r="F87" s="265"/>
      <c r="G87" s="265"/>
      <c r="H87" s="265"/>
      <c r="I87" s="266">
        <f>Ore_to_PI!M242</f>
        <v>2.8850732100840337E-2</v>
      </c>
      <c r="J87" s="265"/>
      <c r="K87" s="265"/>
      <c r="L87" s="265"/>
      <c r="M87" s="265"/>
      <c r="N87" s="265"/>
      <c r="O87" s="265"/>
      <c r="P87" s="265"/>
      <c r="Q87" s="265"/>
      <c r="R87" s="265"/>
      <c r="S87" s="265"/>
      <c r="T87" s="265"/>
      <c r="U87" s="265"/>
      <c r="V87" s="265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5"/>
      <c r="AH87" s="265"/>
      <c r="AI87" s="265"/>
      <c r="AJ87" s="265"/>
      <c r="AK87" s="265"/>
      <c r="AL87" s="265"/>
      <c r="AM87" s="265"/>
      <c r="AN87" s="265"/>
      <c r="AO87" s="265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" customHeight="1" x14ac:dyDescent="0.2">
      <c r="E88" s="132" t="s">
        <v>376</v>
      </c>
      <c r="F88" s="265"/>
      <c r="G88" s="265"/>
      <c r="H88" s="265"/>
      <c r="I88" s="265"/>
      <c r="J88" s="267">
        <f>Ore_to_PI!BS249</f>
        <v>1.604276E-2</v>
      </c>
      <c r="K88" s="265"/>
      <c r="L88" s="265"/>
      <c r="M88" s="265"/>
      <c r="N88" s="265"/>
      <c r="O88" s="265"/>
      <c r="P88" s="265"/>
      <c r="Q88" s="265"/>
      <c r="R88" s="265"/>
      <c r="S88" s="265"/>
      <c r="T88" s="265"/>
      <c r="U88" s="265"/>
      <c r="V88" s="265"/>
      <c r="W88" s="265"/>
      <c r="X88" s="265"/>
      <c r="Y88" s="265"/>
      <c r="Z88" s="265"/>
      <c r="AA88" s="265"/>
      <c r="AB88" s="265"/>
      <c r="AC88" s="265"/>
      <c r="AD88" s="265"/>
      <c r="AE88" s="265"/>
      <c r="AF88" s="265"/>
      <c r="AG88" s="265"/>
      <c r="AH88" s="265"/>
      <c r="AI88" s="265"/>
      <c r="AJ88" s="265"/>
      <c r="AK88" s="265"/>
      <c r="AL88" s="265"/>
      <c r="AM88" s="265"/>
      <c r="AN88" s="265"/>
      <c r="AO88" s="265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 x14ac:dyDescent="0.2">
      <c r="E89" s="132" t="s">
        <v>469</v>
      </c>
      <c r="F89" s="265"/>
      <c r="G89" s="265"/>
      <c r="H89" s="265"/>
      <c r="I89" s="265"/>
      <c r="J89" s="265"/>
      <c r="K89" s="265">
        <f>Ore_to_PI!M227</f>
        <v>0.16731462</v>
      </c>
      <c r="L89" s="265"/>
      <c r="M89" s="265"/>
      <c r="N89" s="265"/>
      <c r="O89" s="265"/>
      <c r="P89" s="265"/>
      <c r="Q89" s="265"/>
      <c r="R89" s="265"/>
      <c r="S89" s="265"/>
      <c r="T89" s="265"/>
      <c r="U89" s="265"/>
      <c r="V89" s="265"/>
      <c r="W89" s="265"/>
      <c r="X89" s="265"/>
      <c r="Y89" s="265"/>
      <c r="Z89" s="265"/>
      <c r="AA89" s="265"/>
      <c r="AB89" s="265"/>
      <c r="AC89" s="265"/>
      <c r="AD89" s="265"/>
      <c r="AE89" s="265"/>
      <c r="AF89" s="265"/>
      <c r="AG89" s="265"/>
      <c r="AH89" s="265"/>
      <c r="AI89" s="265"/>
      <c r="AJ89" s="265"/>
      <c r="AK89" s="265"/>
      <c r="AL89" s="265"/>
      <c r="AM89" s="265"/>
      <c r="AN89" s="265"/>
      <c r="AO89" s="265"/>
      <c r="AP89" s="14"/>
      <c r="AQ89" s="14"/>
      <c r="AR89" s="14"/>
      <c r="AS89" s="14"/>
      <c r="AT89" s="235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 x14ac:dyDescent="0.2">
      <c r="E90" s="132" t="s">
        <v>468</v>
      </c>
      <c r="F90" s="265"/>
      <c r="G90" s="265"/>
      <c r="H90" s="265"/>
      <c r="I90" s="265"/>
      <c r="J90" s="265"/>
      <c r="K90" s="265"/>
      <c r="L90" s="265">
        <f>Ore_to_PI!M156</f>
        <v>0.11423092</v>
      </c>
      <c r="M90" s="265"/>
      <c r="N90" s="265"/>
      <c r="O90" s="265"/>
      <c r="P90" s="265"/>
      <c r="Q90" s="265"/>
      <c r="R90" s="265"/>
      <c r="S90" s="265"/>
      <c r="T90" s="265"/>
      <c r="U90" s="265"/>
      <c r="V90" s="265"/>
      <c r="W90" s="265"/>
      <c r="X90" s="265"/>
      <c r="Y90" s="265"/>
      <c r="Z90" s="265"/>
      <c r="AA90" s="265"/>
      <c r="AB90" s="265"/>
      <c r="AC90" s="265"/>
      <c r="AD90" s="265"/>
      <c r="AE90" s="265"/>
      <c r="AF90" s="265"/>
      <c r="AG90" s="265"/>
      <c r="AH90" s="265"/>
      <c r="AI90" s="265"/>
      <c r="AJ90" s="265"/>
      <c r="AK90" s="265"/>
      <c r="AL90" s="265"/>
      <c r="AM90" s="265"/>
      <c r="AN90" s="265"/>
      <c r="AO90" s="265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 x14ac:dyDescent="0.2">
      <c r="E91" s="132" t="s">
        <v>410</v>
      </c>
      <c r="F91" s="265"/>
      <c r="G91" s="265"/>
      <c r="H91" s="265"/>
      <c r="I91" s="265"/>
      <c r="J91" s="265"/>
      <c r="K91" s="265"/>
      <c r="L91" s="265"/>
      <c r="M91" s="265">
        <f>Ore_to_PI!ED106</f>
        <v>0.1402688</v>
      </c>
      <c r="N91" s="265"/>
      <c r="O91" s="265"/>
      <c r="P91" s="265"/>
      <c r="Q91" s="265"/>
      <c r="R91" s="265"/>
      <c r="S91" s="265"/>
      <c r="T91" s="265"/>
      <c r="U91" s="265"/>
      <c r="V91" s="265"/>
      <c r="W91" s="265"/>
      <c r="X91" s="265"/>
      <c r="Y91" s="265"/>
      <c r="Z91" s="265"/>
      <c r="AA91" s="265"/>
      <c r="AB91" s="265"/>
      <c r="AC91" s="265"/>
      <c r="AD91" s="265"/>
      <c r="AE91" s="265"/>
      <c r="AF91" s="265"/>
      <c r="AG91" s="265"/>
      <c r="AH91" s="265"/>
      <c r="AI91" s="265"/>
      <c r="AJ91" s="265"/>
      <c r="AK91" s="265"/>
      <c r="AL91" s="265"/>
      <c r="AM91" s="265"/>
      <c r="AN91" s="265"/>
      <c r="AO91" s="265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x14ac:dyDescent="0.2">
      <c r="E92" s="132" t="s">
        <v>458</v>
      </c>
      <c r="F92" s="265"/>
      <c r="G92" s="265"/>
      <c r="H92" s="265"/>
      <c r="I92" s="265"/>
      <c r="J92" s="265"/>
      <c r="K92" s="265"/>
      <c r="L92" s="265"/>
      <c r="M92" s="265"/>
      <c r="N92" s="265">
        <v>0</v>
      </c>
      <c r="O92" s="265"/>
      <c r="P92" s="265"/>
      <c r="Q92" s="265"/>
      <c r="R92" s="265"/>
      <c r="S92" s="265"/>
      <c r="T92" s="265"/>
      <c r="U92" s="265"/>
      <c r="V92" s="265"/>
      <c r="W92" s="265"/>
      <c r="X92" s="265"/>
      <c r="Y92" s="265"/>
      <c r="Z92" s="265"/>
      <c r="AA92" s="265"/>
      <c r="AB92" s="265"/>
      <c r="AC92" s="265"/>
      <c r="AD92" s="265"/>
      <c r="AE92" s="265"/>
      <c r="AF92" s="265"/>
      <c r="AG92" s="265"/>
      <c r="AH92" s="265"/>
      <c r="AI92" s="265"/>
      <c r="AJ92" s="265"/>
      <c r="AK92" s="265"/>
      <c r="AL92" s="265"/>
      <c r="AM92" s="265"/>
      <c r="AN92" s="265"/>
      <c r="AO92" s="265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 x14ac:dyDescent="0.2">
      <c r="E93" s="14"/>
      <c r="F93" s="382" t="s">
        <v>56</v>
      </c>
      <c r="G93" s="382"/>
      <c r="H93" s="382"/>
      <c r="I93" s="382"/>
      <c r="J93" s="382"/>
      <c r="K93" s="382"/>
      <c r="L93" s="382"/>
      <c r="M93" s="382"/>
      <c r="N93" s="382"/>
      <c r="O93" s="382"/>
      <c r="P93" s="382"/>
      <c r="Q93" s="382"/>
      <c r="R93" s="382"/>
      <c r="S93" s="382"/>
      <c r="T93" s="382"/>
      <c r="U93" s="382"/>
      <c r="V93" s="382"/>
      <c r="W93" s="382"/>
      <c r="X93" s="382"/>
      <c r="Y93" s="382"/>
      <c r="Z93" s="382"/>
      <c r="AA93" s="382"/>
      <c r="AB93" s="382"/>
      <c r="AC93" s="382"/>
      <c r="AD93" s="382"/>
      <c r="AE93" s="382"/>
      <c r="AF93" s="382"/>
      <c r="AG93" s="382"/>
      <c r="AH93" s="382"/>
      <c r="AI93" s="382"/>
      <c r="AJ93" s="382"/>
      <c r="AK93" s="382"/>
      <c r="AL93" s="382"/>
      <c r="AM93" s="382"/>
      <c r="AN93" s="382"/>
      <c r="AO93" s="382"/>
      <c r="AP93" s="249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x14ac:dyDescent="0.2">
      <c r="E94" s="14"/>
      <c r="F94" s="248">
        <f>SUM(F84:F92)</f>
        <v>0.13269354065302774</v>
      </c>
      <c r="G94" s="248">
        <f t="shared" ref="G94:N94" si="5">SUM(G84:G92)</f>
        <v>9.915968969593851E-2</v>
      </c>
      <c r="H94" s="248">
        <f t="shared" si="5"/>
        <v>749.09839029167188</v>
      </c>
      <c r="I94" s="248">
        <f t="shared" si="5"/>
        <v>2.8850732100840337E-2</v>
      </c>
      <c r="J94" s="248">
        <f t="shared" si="5"/>
        <v>1.604276E-2</v>
      </c>
      <c r="K94" s="248">
        <f t="shared" si="5"/>
        <v>0.16731462</v>
      </c>
      <c r="L94" s="248">
        <f t="shared" si="5"/>
        <v>0.11423092</v>
      </c>
      <c r="M94" s="248">
        <f t="shared" si="5"/>
        <v>0.1402688</v>
      </c>
      <c r="N94" s="248">
        <f t="shared" si="5"/>
        <v>0</v>
      </c>
      <c r="O94" s="248">
        <v>0</v>
      </c>
      <c r="P94" s="248">
        <v>0</v>
      </c>
      <c r="Q94" s="248">
        <v>0</v>
      </c>
      <c r="R94" s="248">
        <v>0</v>
      </c>
      <c r="S94" s="248">
        <v>0</v>
      </c>
      <c r="T94" s="248">
        <v>0</v>
      </c>
      <c r="U94" s="248">
        <v>0</v>
      </c>
      <c r="V94" s="248">
        <v>0</v>
      </c>
      <c r="W94" s="248">
        <v>0</v>
      </c>
      <c r="X94" s="248">
        <v>0</v>
      </c>
      <c r="Y94" s="248">
        <v>0</v>
      </c>
      <c r="Z94" s="248">
        <v>0</v>
      </c>
      <c r="AA94" s="248">
        <v>0</v>
      </c>
      <c r="AB94" s="248">
        <v>0</v>
      </c>
      <c r="AC94" s="248">
        <v>0</v>
      </c>
      <c r="AD94" s="248">
        <v>0</v>
      </c>
      <c r="AE94" s="248">
        <v>0</v>
      </c>
      <c r="AF94" s="248">
        <v>0</v>
      </c>
      <c r="AG94" s="248">
        <v>0</v>
      </c>
      <c r="AH94" s="248">
        <v>0</v>
      </c>
      <c r="AI94" s="248">
        <v>0</v>
      </c>
      <c r="AJ94" s="248">
        <v>0</v>
      </c>
      <c r="AK94" s="248">
        <v>0</v>
      </c>
      <c r="AL94" s="248">
        <v>0</v>
      </c>
      <c r="AM94" s="248">
        <v>0</v>
      </c>
      <c r="AN94" s="248">
        <v>0</v>
      </c>
      <c r="AO94" s="248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 x14ac:dyDescent="0.2">
      <c r="F95" s="379" t="s">
        <v>367</v>
      </c>
      <c r="G95" s="379"/>
      <c r="H95" s="379"/>
      <c r="I95" s="379"/>
      <c r="J95" s="379"/>
      <c r="K95" s="379"/>
      <c r="L95" s="379"/>
      <c r="M95" s="379"/>
      <c r="N95" s="379"/>
      <c r="O95" s="379"/>
      <c r="P95" s="379"/>
      <c r="Q95" s="379"/>
      <c r="R95" s="379"/>
      <c r="S95" s="379"/>
      <c r="T95" s="379"/>
      <c r="U95" s="379"/>
      <c r="V95" s="379"/>
      <c r="W95" s="379"/>
      <c r="X95" s="379"/>
      <c r="Y95" s="379"/>
      <c r="Z95" s="379"/>
      <c r="AA95" s="379"/>
      <c r="AB95" s="379"/>
      <c r="AC95" s="379"/>
      <c r="AD95" s="379"/>
      <c r="AE95" s="379"/>
      <c r="AF95" s="379"/>
      <c r="AG95" s="379"/>
      <c r="AH95" s="379"/>
      <c r="AI95" s="379"/>
      <c r="AJ95" s="379"/>
      <c r="AK95" s="379"/>
      <c r="AL95" s="379"/>
      <c r="AM95" s="379"/>
      <c r="AN95" s="379"/>
      <c r="AO95" s="379"/>
    </row>
    <row r="102" spans="5:14" x14ac:dyDescent="0.2">
      <c r="E102" s="132" t="s">
        <v>333</v>
      </c>
      <c r="F102" s="243">
        <f t="array" ref="F102:F137">TRANSPOSE(F94:AO94)</f>
        <v>0.13269354065302774</v>
      </c>
      <c r="G102" s="14"/>
      <c r="H102" s="243">
        <f t="array" ref="H102:H137">TRANSPOSE(F73:AO73)</f>
        <v>0</v>
      </c>
      <c r="I102" s="14"/>
      <c r="J102" s="243">
        <f>BI18</f>
        <v>0.13269354065302774</v>
      </c>
      <c r="K102" s="14"/>
      <c r="L102" s="243">
        <f t="array" ref="L102:L137">BP18:BP53</f>
        <v>0</v>
      </c>
      <c r="M102" s="14"/>
      <c r="N102" s="247">
        <f>F102+H102-J102-L102</f>
        <v>0</v>
      </c>
    </row>
    <row r="103" spans="5:14" x14ac:dyDescent="0.2">
      <c r="E103" s="132" t="s">
        <v>335</v>
      </c>
      <c r="F103" s="243">
        <v>9.915968969593851E-2</v>
      </c>
      <c r="G103" s="14"/>
      <c r="H103" s="243">
        <v>0</v>
      </c>
      <c r="I103" s="14"/>
      <c r="J103" s="243">
        <f t="shared" ref="J103:J137" si="6">BI19</f>
        <v>9.915968969593851E-2</v>
      </c>
      <c r="K103" s="14"/>
      <c r="L103" s="243">
        <v>0</v>
      </c>
      <c r="M103" s="14"/>
      <c r="N103" s="247">
        <f t="shared" ref="N103:N137" si="7">F103+H103-J103-L103</f>
        <v>0</v>
      </c>
    </row>
    <row r="104" spans="5:14" x14ac:dyDescent="0.2">
      <c r="E104" s="132" t="s">
        <v>336</v>
      </c>
      <c r="F104" s="243">
        <v>749.09839029167188</v>
      </c>
      <c r="G104" s="14"/>
      <c r="H104" s="243">
        <v>0</v>
      </c>
      <c r="I104" s="14"/>
      <c r="J104" s="243">
        <f t="shared" si="6"/>
        <v>749.09839029167188</v>
      </c>
      <c r="K104" s="14"/>
      <c r="L104" s="243">
        <v>0</v>
      </c>
      <c r="M104" s="14"/>
      <c r="N104" s="247">
        <f>F104+H104-J104-L104</f>
        <v>0</v>
      </c>
    </row>
    <row r="105" spans="5:14" x14ac:dyDescent="0.2">
      <c r="E105" s="132" t="s">
        <v>355</v>
      </c>
      <c r="F105" s="243">
        <v>2.8850732100840337E-2</v>
      </c>
      <c r="G105" s="14"/>
      <c r="H105" s="243">
        <v>0</v>
      </c>
      <c r="I105" s="14"/>
      <c r="J105" s="243">
        <f t="shared" si="6"/>
        <v>0.17310439260504201</v>
      </c>
      <c r="K105" s="14"/>
      <c r="L105" s="243">
        <v>0</v>
      </c>
      <c r="M105" s="14"/>
      <c r="N105" s="247" t="s">
        <v>619</v>
      </c>
    </row>
    <row r="106" spans="5:14" x14ac:dyDescent="0.2">
      <c r="E106" s="132" t="s">
        <v>377</v>
      </c>
      <c r="F106" s="243">
        <v>1.604276E-2</v>
      </c>
      <c r="G106" s="14"/>
      <c r="H106" s="243">
        <v>0</v>
      </c>
      <c r="I106" s="14"/>
      <c r="J106" s="243">
        <f t="shared" si="6"/>
        <v>4.8128279999999996E-2</v>
      </c>
      <c r="K106" s="14"/>
      <c r="L106" s="243">
        <v>0</v>
      </c>
      <c r="M106" s="14"/>
      <c r="N106" s="247" t="s">
        <v>619</v>
      </c>
    </row>
    <row r="107" spans="5:14" x14ac:dyDescent="0.2">
      <c r="E107" s="132" t="s">
        <v>407</v>
      </c>
      <c r="F107" s="243">
        <v>0.16731462</v>
      </c>
      <c r="G107" s="14"/>
      <c r="H107" s="243">
        <v>0</v>
      </c>
      <c r="I107" s="14"/>
      <c r="J107" s="243">
        <f t="shared" si="6"/>
        <v>0.50194386000000002</v>
      </c>
      <c r="K107" s="14"/>
      <c r="L107" s="243">
        <v>0</v>
      </c>
      <c r="M107" s="14"/>
      <c r="N107" s="247" t="s">
        <v>619</v>
      </c>
    </row>
    <row r="108" spans="5:14" x14ac:dyDescent="0.2">
      <c r="E108" s="132" t="s">
        <v>408</v>
      </c>
      <c r="F108" s="243">
        <v>0.11423092</v>
      </c>
      <c r="G108" s="14"/>
      <c r="H108" s="243">
        <v>0</v>
      </c>
      <c r="I108" s="14"/>
      <c r="J108" s="243">
        <f t="shared" si="6"/>
        <v>0.11423092</v>
      </c>
      <c r="K108" s="14"/>
      <c r="L108" s="243">
        <v>0</v>
      </c>
      <c r="M108" s="14"/>
      <c r="N108" s="247">
        <f t="shared" si="7"/>
        <v>0</v>
      </c>
    </row>
    <row r="109" spans="5:14" x14ac:dyDescent="0.2">
      <c r="E109" s="132" t="s">
        <v>411</v>
      </c>
      <c r="F109" s="243">
        <v>0.1402688</v>
      </c>
      <c r="G109" s="14"/>
      <c r="H109" s="243">
        <v>0</v>
      </c>
      <c r="I109" s="14"/>
      <c r="J109" s="243">
        <f t="shared" si="6"/>
        <v>0.1402688</v>
      </c>
      <c r="K109" s="14"/>
      <c r="L109" s="243">
        <v>0</v>
      </c>
      <c r="M109" s="14"/>
      <c r="N109" s="247">
        <f t="shared" si="7"/>
        <v>0</v>
      </c>
    </row>
    <row r="110" spans="5:14" x14ac:dyDescent="0.2">
      <c r="E110" s="132" t="s">
        <v>459</v>
      </c>
      <c r="F110" s="243">
        <v>0</v>
      </c>
      <c r="G110" s="14"/>
      <c r="H110" s="243">
        <v>0</v>
      </c>
      <c r="I110" s="14"/>
      <c r="J110" s="243">
        <f t="shared" si="6"/>
        <v>0</v>
      </c>
      <c r="K110" s="14"/>
      <c r="L110" s="243">
        <v>0</v>
      </c>
      <c r="M110" s="14"/>
      <c r="N110" s="247">
        <f t="shared" si="7"/>
        <v>0</v>
      </c>
    </row>
    <row r="111" spans="5:14" ht="16" customHeight="1" x14ac:dyDescent="0.2">
      <c r="E111" s="229" t="s">
        <v>442</v>
      </c>
      <c r="F111" s="243">
        <v>0</v>
      </c>
      <c r="G111" s="14"/>
      <c r="H111" s="243">
        <v>0.13269354065302774</v>
      </c>
      <c r="I111" s="14"/>
      <c r="J111" s="243">
        <f t="shared" si="6"/>
        <v>0.13269354065302774</v>
      </c>
      <c r="K111" s="14"/>
      <c r="L111" s="243">
        <v>0</v>
      </c>
      <c r="M111" s="14"/>
      <c r="N111" s="247">
        <f t="shared" si="7"/>
        <v>0</v>
      </c>
    </row>
    <row r="112" spans="5:14" x14ac:dyDescent="0.2">
      <c r="E112" s="132" t="s">
        <v>409</v>
      </c>
      <c r="F112" s="243">
        <v>0</v>
      </c>
      <c r="G112" s="14"/>
      <c r="H112" s="243">
        <v>2.8866500168439717E-2</v>
      </c>
      <c r="I112" s="14"/>
      <c r="J112" s="243">
        <f t="shared" si="6"/>
        <v>0</v>
      </c>
      <c r="K112" s="14"/>
      <c r="L112" s="243">
        <v>2.8866500168439717E-2</v>
      </c>
      <c r="M112" s="14"/>
      <c r="N112" s="247">
        <f t="shared" si="7"/>
        <v>0</v>
      </c>
    </row>
    <row r="113" spans="5:14" ht="16" customHeight="1" x14ac:dyDescent="0.2">
      <c r="E113" s="229" t="s">
        <v>412</v>
      </c>
      <c r="F113" s="243">
        <v>0</v>
      </c>
      <c r="G113" s="14"/>
      <c r="H113" s="243">
        <v>9.915968969593851E-2</v>
      </c>
      <c r="I113" s="14"/>
      <c r="J113" s="243">
        <f t="shared" si="6"/>
        <v>9.915968969593851E-2</v>
      </c>
      <c r="K113" s="14"/>
      <c r="L113" s="243">
        <v>0</v>
      </c>
      <c r="M113" s="14"/>
      <c r="N113" s="247">
        <f t="shared" si="7"/>
        <v>0</v>
      </c>
    </row>
    <row r="114" spans="5:14" x14ac:dyDescent="0.2">
      <c r="E114" s="132" t="s">
        <v>437</v>
      </c>
      <c r="F114" s="243">
        <v>0</v>
      </c>
      <c r="G114" s="14"/>
      <c r="H114" s="243">
        <v>2.8844047800852795E-2</v>
      </c>
      <c r="I114" s="14"/>
      <c r="J114" s="243">
        <f t="shared" si="6"/>
        <v>0</v>
      </c>
      <c r="K114" s="14"/>
      <c r="L114" s="243">
        <v>2.8844047800852795E-2</v>
      </c>
      <c r="M114" s="14"/>
      <c r="N114" s="247">
        <f t="shared" si="7"/>
        <v>0</v>
      </c>
    </row>
    <row r="115" spans="5:14" x14ac:dyDescent="0.2">
      <c r="E115" s="230" t="s">
        <v>430</v>
      </c>
      <c r="F115" s="243">
        <v>0</v>
      </c>
      <c r="G115" s="52" t="s">
        <v>371</v>
      </c>
      <c r="H115" s="243">
        <v>749.09839029167188</v>
      </c>
      <c r="I115" s="52" t="s">
        <v>373</v>
      </c>
      <c r="J115" s="243">
        <f t="shared" si="6"/>
        <v>749.09839029167188</v>
      </c>
      <c r="K115" s="52" t="s">
        <v>373</v>
      </c>
      <c r="L115" s="243">
        <v>0</v>
      </c>
      <c r="M115" s="52" t="s">
        <v>374</v>
      </c>
      <c r="N115" s="247">
        <f t="shared" si="7"/>
        <v>0</v>
      </c>
    </row>
    <row r="116" spans="5:14" x14ac:dyDescent="0.2">
      <c r="E116" s="132" t="s">
        <v>416</v>
      </c>
      <c r="F116" s="243">
        <v>0</v>
      </c>
      <c r="G116" s="14"/>
      <c r="H116" s="243">
        <v>2.8866500168439717E-2</v>
      </c>
      <c r="I116" s="14"/>
      <c r="J116" s="243">
        <f t="shared" si="6"/>
        <v>0</v>
      </c>
      <c r="K116" s="14"/>
      <c r="L116" s="243">
        <v>2.8866500168439717E-2</v>
      </c>
      <c r="M116" s="14"/>
      <c r="N116" s="247">
        <f t="shared" si="7"/>
        <v>0</v>
      </c>
    </row>
    <row r="117" spans="5:14" ht="16" customHeight="1" x14ac:dyDescent="0.2">
      <c r="E117" s="229" t="s">
        <v>441</v>
      </c>
      <c r="F117" s="243">
        <v>0</v>
      </c>
      <c r="G117" s="14"/>
      <c r="H117" s="243">
        <v>0.13269354065302774</v>
      </c>
      <c r="I117" s="14"/>
      <c r="J117" s="243">
        <f t="shared" si="6"/>
        <v>0.13269354065302774</v>
      </c>
      <c r="K117" s="14"/>
      <c r="L117" s="243">
        <v>0</v>
      </c>
      <c r="M117" s="14"/>
      <c r="N117" s="247">
        <f t="shared" si="7"/>
        <v>0</v>
      </c>
    </row>
    <row r="118" spans="5:14" ht="16" customHeight="1" x14ac:dyDescent="0.2">
      <c r="E118" s="229" t="s">
        <v>436</v>
      </c>
      <c r="F118" s="243">
        <v>0</v>
      </c>
      <c r="G118" s="14"/>
      <c r="H118" s="243">
        <v>9.915968969593851E-2</v>
      </c>
      <c r="I118" s="14"/>
      <c r="J118" s="243">
        <f t="shared" si="6"/>
        <v>9.915968969593851E-2</v>
      </c>
      <c r="K118" s="14"/>
      <c r="L118" s="243">
        <v>0</v>
      </c>
      <c r="M118" s="14"/>
      <c r="N118" s="247">
        <f t="shared" si="7"/>
        <v>0</v>
      </c>
    </row>
    <row r="119" spans="5:14" ht="16" customHeight="1" x14ac:dyDescent="0.2">
      <c r="E119" s="229" t="s">
        <v>433</v>
      </c>
      <c r="F119" s="243">
        <v>0</v>
      </c>
      <c r="G119" s="14"/>
      <c r="H119" s="243">
        <v>749.09839029167188</v>
      </c>
      <c r="I119" s="14"/>
      <c r="J119" s="243">
        <f t="shared" si="6"/>
        <v>749.09839029167188</v>
      </c>
      <c r="K119" s="14"/>
      <c r="L119" s="243">
        <v>0</v>
      </c>
      <c r="M119" s="14"/>
      <c r="N119" s="247">
        <f t="shared" si="7"/>
        <v>0</v>
      </c>
    </row>
    <row r="120" spans="5:14" ht="16" customHeight="1" x14ac:dyDescent="0.2">
      <c r="E120" s="229" t="s">
        <v>439</v>
      </c>
      <c r="F120" s="243">
        <v>0</v>
      </c>
      <c r="G120" s="14"/>
      <c r="H120" s="243">
        <v>0.13338795034407031</v>
      </c>
      <c r="I120" s="14"/>
      <c r="J120" s="243">
        <f t="shared" si="6"/>
        <v>0.13338795034407031</v>
      </c>
      <c r="K120" s="14"/>
      <c r="L120" s="243">
        <v>0</v>
      </c>
      <c r="M120" s="14"/>
      <c r="N120" s="247">
        <f t="shared" si="7"/>
        <v>0</v>
      </c>
    </row>
    <row r="121" spans="5:14" x14ac:dyDescent="0.2">
      <c r="E121" s="230" t="s">
        <v>438</v>
      </c>
      <c r="F121" s="243">
        <v>0</v>
      </c>
      <c r="G121" s="14"/>
      <c r="H121" s="243">
        <v>9.1994895485800074E-2</v>
      </c>
      <c r="I121" s="14"/>
      <c r="J121" s="243">
        <f t="shared" si="6"/>
        <v>0</v>
      </c>
      <c r="K121" s="14"/>
      <c r="L121" s="243">
        <v>9.1994895485800074E-2</v>
      </c>
      <c r="M121" s="14"/>
      <c r="N121" s="247">
        <f t="shared" si="7"/>
        <v>0</v>
      </c>
    </row>
    <row r="122" spans="5:14" x14ac:dyDescent="0.2">
      <c r="E122" s="230" t="s">
        <v>424</v>
      </c>
      <c r="F122" s="243">
        <v>0</v>
      </c>
      <c r="G122" s="14"/>
      <c r="H122" s="243">
        <v>9.915968969593851E-2</v>
      </c>
      <c r="I122" s="14"/>
      <c r="J122" s="243">
        <f t="shared" si="6"/>
        <v>9.915968969593851E-2</v>
      </c>
      <c r="K122" s="14"/>
      <c r="L122" s="243">
        <v>0</v>
      </c>
      <c r="M122" s="14"/>
      <c r="N122" s="247">
        <f t="shared" si="7"/>
        <v>0</v>
      </c>
    </row>
    <row r="123" spans="5:14" x14ac:dyDescent="0.2">
      <c r="E123" s="230" t="s">
        <v>456</v>
      </c>
      <c r="F123" s="243">
        <v>0</v>
      </c>
      <c r="G123" s="14"/>
      <c r="H123" s="243">
        <v>749.09839029167188</v>
      </c>
      <c r="I123" s="14"/>
      <c r="J123" s="243">
        <f t="shared" si="6"/>
        <v>749.09839029167188</v>
      </c>
      <c r="K123" s="14"/>
      <c r="L123" s="243">
        <v>0</v>
      </c>
      <c r="M123" s="14"/>
      <c r="N123" s="247">
        <f t="shared" si="7"/>
        <v>0</v>
      </c>
    </row>
    <row r="124" spans="5:14" x14ac:dyDescent="0.2">
      <c r="E124" s="230" t="s">
        <v>425</v>
      </c>
      <c r="F124" s="243">
        <v>0</v>
      </c>
      <c r="G124" s="14"/>
      <c r="H124" s="243">
        <v>5.6077400000000006E-2</v>
      </c>
      <c r="I124" s="14"/>
      <c r="J124" s="243">
        <f t="shared" si="6"/>
        <v>5.6077400000000006E-2</v>
      </c>
      <c r="K124" s="14"/>
      <c r="L124" s="243">
        <v>0</v>
      </c>
      <c r="M124" s="14"/>
      <c r="N124" s="247">
        <f t="shared" si="7"/>
        <v>0</v>
      </c>
    </row>
    <row r="125" spans="5:14" x14ac:dyDescent="0.2">
      <c r="E125" s="230" t="s">
        <v>427</v>
      </c>
      <c r="F125" s="243">
        <v>0</v>
      </c>
      <c r="G125" s="14"/>
      <c r="H125" s="243">
        <v>4.0304400000000004E-2</v>
      </c>
      <c r="I125" s="14"/>
      <c r="J125" s="243">
        <f t="shared" si="6"/>
        <v>0</v>
      </c>
      <c r="K125" s="14"/>
      <c r="L125" s="243">
        <v>4.0304400000000004E-2</v>
      </c>
      <c r="M125" s="14"/>
      <c r="N125" s="247">
        <f t="shared" si="7"/>
        <v>0</v>
      </c>
    </row>
    <row r="126" spans="5:14" x14ac:dyDescent="0.2">
      <c r="E126" s="230" t="s">
        <v>426</v>
      </c>
      <c r="F126" s="243">
        <v>0</v>
      </c>
      <c r="G126" s="14"/>
      <c r="H126" s="243">
        <v>2.8919462161030023E-2</v>
      </c>
      <c r="I126" s="14"/>
      <c r="J126" s="243">
        <f t="shared" si="6"/>
        <v>0</v>
      </c>
      <c r="K126" s="14"/>
      <c r="L126" s="243">
        <v>2.8919462161030023E-2</v>
      </c>
      <c r="M126" s="14"/>
      <c r="N126" s="247">
        <f t="shared" si="7"/>
        <v>0</v>
      </c>
    </row>
    <row r="127" spans="5:14" x14ac:dyDescent="0.2">
      <c r="E127" s="230" t="s">
        <v>484</v>
      </c>
      <c r="F127" s="243">
        <v>0</v>
      </c>
      <c r="G127" s="14"/>
      <c r="H127" s="243">
        <v>1.2281186094069529E-2</v>
      </c>
      <c r="I127" s="14"/>
      <c r="J127" s="243">
        <f t="shared" si="6"/>
        <v>1.2281186094069529E-2</v>
      </c>
      <c r="K127" s="14"/>
      <c r="L127" s="243">
        <v>0</v>
      </c>
      <c r="M127" s="14"/>
      <c r="N127" s="247">
        <f t="shared" si="7"/>
        <v>0</v>
      </c>
    </row>
    <row r="128" spans="5:14" ht="16" customHeight="1" x14ac:dyDescent="0.2">
      <c r="E128" s="244" t="s">
        <v>422</v>
      </c>
      <c r="F128" s="243">
        <v>0</v>
      </c>
      <c r="G128" s="14"/>
      <c r="H128" s="243">
        <v>3.063549266582438E-3</v>
      </c>
      <c r="I128" s="14"/>
      <c r="J128" s="243">
        <f t="shared" si="6"/>
        <v>3.063549266582438E-3</v>
      </c>
      <c r="K128" s="14"/>
      <c r="L128" s="243">
        <v>0</v>
      </c>
      <c r="M128" s="14"/>
      <c r="N128" s="247">
        <f t="shared" si="7"/>
        <v>0</v>
      </c>
    </row>
    <row r="129" spans="5:14" ht="16" customHeight="1" x14ac:dyDescent="0.2">
      <c r="E129" s="244" t="s">
        <v>552</v>
      </c>
      <c r="F129" s="243">
        <v>0</v>
      </c>
      <c r="G129" s="14"/>
      <c r="H129" s="243">
        <v>1.5333215521897698E-2</v>
      </c>
      <c r="I129" s="14"/>
      <c r="J129" s="243">
        <f t="shared" si="6"/>
        <v>0</v>
      </c>
      <c r="K129" s="14"/>
      <c r="L129" s="243">
        <v>1.5333215521897698E-2</v>
      </c>
      <c r="M129" s="14"/>
      <c r="N129" s="247">
        <f t="shared" si="7"/>
        <v>0</v>
      </c>
    </row>
    <row r="130" spans="5:14" x14ac:dyDescent="0.2">
      <c r="E130" s="230" t="s">
        <v>421</v>
      </c>
      <c r="F130" s="243">
        <v>0</v>
      </c>
      <c r="G130" s="14"/>
      <c r="H130" s="243">
        <v>7.6146278527480557E-2</v>
      </c>
      <c r="I130" s="14"/>
      <c r="J130" s="243">
        <f t="shared" si="6"/>
        <v>0</v>
      </c>
      <c r="K130" s="14"/>
      <c r="L130" s="243">
        <v>7.6146278527480557E-2</v>
      </c>
      <c r="M130" s="14"/>
      <c r="N130" s="247">
        <f t="shared" si="7"/>
        <v>0</v>
      </c>
    </row>
    <row r="131" spans="5:14" x14ac:dyDescent="0.2">
      <c r="E131" s="132" t="s">
        <v>423</v>
      </c>
      <c r="F131" s="243">
        <v>0</v>
      </c>
      <c r="G131" s="14"/>
      <c r="H131" s="243">
        <v>2.7633244258555133E-2</v>
      </c>
      <c r="I131" s="14"/>
      <c r="J131" s="243">
        <f t="shared" si="6"/>
        <v>0</v>
      </c>
      <c r="K131" s="14"/>
      <c r="L131" s="243">
        <v>2.7633244258555133E-2</v>
      </c>
      <c r="M131" s="14"/>
      <c r="N131" s="247">
        <f t="shared" si="7"/>
        <v>0</v>
      </c>
    </row>
    <row r="132" spans="5:14" x14ac:dyDescent="0.2">
      <c r="E132" s="230" t="s">
        <v>515</v>
      </c>
      <c r="F132" s="243">
        <v>0</v>
      </c>
      <c r="G132" s="14"/>
      <c r="H132" s="243">
        <v>3.0984239376704225E-3</v>
      </c>
      <c r="I132" s="14"/>
      <c r="J132" s="243">
        <f t="shared" si="6"/>
        <v>3.0984239376704225E-3</v>
      </c>
      <c r="K132" s="14"/>
      <c r="L132" s="243">
        <v>0</v>
      </c>
      <c r="M132" s="14"/>
      <c r="N132" s="247">
        <f t="shared" si="7"/>
        <v>0</v>
      </c>
    </row>
    <row r="133" spans="5:14" x14ac:dyDescent="0.2">
      <c r="E133" s="230" t="s">
        <v>517</v>
      </c>
      <c r="F133" s="243">
        <v>0</v>
      </c>
      <c r="G133" s="14"/>
      <c r="H133" s="243">
        <v>3.0984239376704225E-3</v>
      </c>
      <c r="I133" s="14"/>
      <c r="J133" s="243">
        <f t="shared" si="6"/>
        <v>3.0984239376704225E-3</v>
      </c>
      <c r="K133" s="14"/>
      <c r="L133" s="243">
        <v>3.0984239376704225E-3</v>
      </c>
      <c r="M133" s="14"/>
      <c r="N133" s="247" t="s">
        <v>619</v>
      </c>
    </row>
    <row r="134" spans="5:14" x14ac:dyDescent="0.2">
      <c r="E134" s="230" t="s">
        <v>445</v>
      </c>
      <c r="F134" s="243">
        <v>0</v>
      </c>
      <c r="G134" s="14"/>
      <c r="H134" s="243">
        <v>5.0493969078662611E-2</v>
      </c>
      <c r="I134" s="14"/>
      <c r="J134" s="243">
        <f t="shared" si="6"/>
        <v>5.0493969078662611E-2</v>
      </c>
      <c r="K134" s="14"/>
      <c r="L134" s="243">
        <v>0</v>
      </c>
      <c r="M134" s="14"/>
      <c r="N134" s="247">
        <f t="shared" si="7"/>
        <v>0</v>
      </c>
    </row>
    <row r="135" spans="5:14" x14ac:dyDescent="0.2">
      <c r="E135" s="230" t="s">
        <v>446</v>
      </c>
      <c r="F135" s="243">
        <v>0</v>
      </c>
      <c r="G135" s="14"/>
      <c r="H135" s="243">
        <v>5.5844999999999999E-2</v>
      </c>
      <c r="I135" s="14"/>
      <c r="J135" s="243">
        <f t="shared" si="6"/>
        <v>0</v>
      </c>
      <c r="K135" s="14"/>
      <c r="L135" s="243">
        <v>5.5844999999999999E-2</v>
      </c>
      <c r="M135" s="14"/>
      <c r="N135" s="247">
        <f t="shared" si="7"/>
        <v>0</v>
      </c>
    </row>
    <row r="136" spans="5:14" x14ac:dyDescent="0.2">
      <c r="E136" s="230" t="s">
        <v>447</v>
      </c>
      <c r="F136" s="243">
        <v>0</v>
      </c>
      <c r="G136" s="14"/>
      <c r="H136" s="243">
        <v>2.934040124525995E-2</v>
      </c>
      <c r="I136" s="14"/>
      <c r="J136" s="243">
        <f t="shared" si="6"/>
        <v>0</v>
      </c>
      <c r="K136" s="14"/>
      <c r="L136" s="243">
        <v>2.934040124525995E-2</v>
      </c>
      <c r="M136" s="14"/>
      <c r="N136" s="247">
        <f t="shared" si="7"/>
        <v>0</v>
      </c>
    </row>
    <row r="137" spans="5:14" x14ac:dyDescent="0.2">
      <c r="E137" s="230" t="s">
        <v>457</v>
      </c>
      <c r="F137" s="243">
        <v>0</v>
      </c>
      <c r="G137" s="14"/>
      <c r="H137" s="243">
        <v>0.11616169999999999</v>
      </c>
      <c r="I137" s="14"/>
      <c r="J137" s="243">
        <f t="shared" si="6"/>
        <v>0</v>
      </c>
      <c r="K137" s="14"/>
      <c r="L137" s="243">
        <v>0.11616169999999999</v>
      </c>
      <c r="M137" s="14"/>
      <c r="N137" s="247">
        <f t="shared" si="7"/>
        <v>0</v>
      </c>
    </row>
    <row r="138" spans="5:14" ht="17" customHeight="1" x14ac:dyDescent="0.2">
      <c r="E138" s="230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X196"/>
  <sheetViews>
    <sheetView tabSelected="1" topLeftCell="A152" zoomScale="117" workbookViewId="0">
      <selection activeCell="S153" sqref="S153"/>
    </sheetView>
  </sheetViews>
  <sheetFormatPr baseColWidth="10" defaultColWidth="11.5" defaultRowHeight="15" x14ac:dyDescent="0.2"/>
  <cols>
    <col min="14" max="14" width="12.6640625" customWidth="1"/>
  </cols>
  <sheetData>
    <row r="17" spans="5:76" ht="112" customHeight="1" x14ac:dyDescent="0.2">
      <c r="BB17" s="231" t="s">
        <v>325</v>
      </c>
      <c r="BC17" s="231" t="s">
        <v>326</v>
      </c>
      <c r="BD17" s="231" t="s">
        <v>327</v>
      </c>
      <c r="BE17" s="231" t="s">
        <v>455</v>
      </c>
      <c r="BF17" s="231" t="s">
        <v>435</v>
      </c>
      <c r="BG17" s="231" t="s">
        <v>434</v>
      </c>
      <c r="BH17" s="231" t="s">
        <v>351</v>
      </c>
      <c r="BI17" s="231" t="s">
        <v>348</v>
      </c>
      <c r="BJ17" s="231" t="s">
        <v>362</v>
      </c>
      <c r="BK17" s="231" t="s">
        <v>349</v>
      </c>
      <c r="BL17" s="231" t="s">
        <v>344</v>
      </c>
      <c r="BM17" s="231" t="s">
        <v>514</v>
      </c>
      <c r="BN17" s="231" t="s">
        <v>516</v>
      </c>
      <c r="BO17" s="231" t="s">
        <v>76</v>
      </c>
      <c r="BP17" s="231" t="s">
        <v>337</v>
      </c>
      <c r="BV17" s="231" t="s">
        <v>331</v>
      </c>
      <c r="BW17" s="231" t="s">
        <v>793</v>
      </c>
    </row>
    <row r="18" spans="5:76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2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32" t="s">
        <v>333</v>
      </c>
      <c r="BB18" s="251" t="e" cm="1" vm="1">
        <f t="array" aca="1" ref="BB18" ca="1">(MCC_M_RUVY_matrices_mat_level!AR83:BF118*MCC_h_RUVY_matrices_mat_level!AR83:BF118) /MCC_MW_RUVY_matrices_mat_level!AT18:BH53</f>
        <v>#VALUE!</v>
      </c>
      <c r="BC18" s="251">
        <v>0</v>
      </c>
      <c r="BD18" s="251">
        <v>0</v>
      </c>
      <c r="BE18" s="251">
        <v>0</v>
      </c>
      <c r="BF18" s="251">
        <v>0</v>
      </c>
      <c r="BG18" s="251">
        <v>0</v>
      </c>
      <c r="BH18" s="251">
        <v>0</v>
      </c>
      <c r="BI18" s="251">
        <v>0</v>
      </c>
      <c r="BJ18" s="251">
        <v>0</v>
      </c>
      <c r="BK18" s="251">
        <v>0</v>
      </c>
      <c r="BL18" s="251">
        <v>0</v>
      </c>
      <c r="BM18" s="251">
        <v>0</v>
      </c>
      <c r="BN18" s="251">
        <v>0</v>
      </c>
      <c r="BO18" s="251">
        <v>0</v>
      </c>
      <c r="BP18" s="251">
        <v>0</v>
      </c>
      <c r="BQ18" s="250" t="e" vm="2">
        <f ca="1">SUM(BB18:BP18)</f>
        <v>#VALUE!</v>
      </c>
      <c r="BR18" s="14"/>
      <c r="BS18" s="14"/>
      <c r="BT18" s="132"/>
      <c r="BU18" s="132" t="s">
        <v>333</v>
      </c>
      <c r="BV18" s="253" t="e" cm="1" vm="3">
        <f t="array" aca="1" ref="BV18" ca="1">(MCC_M_RUVY_matrices_mat_level!BL83:BM118*MCC_h_RUVY_matrices_mat_level!BL83:BM118) /MCC_MW_RUVY_matrices_mat_level!BN18:BO53</f>
        <v>#VALUE!</v>
      </c>
      <c r="BW18" s="253">
        <v>0</v>
      </c>
      <c r="BX18" s="250" t="e" vm="2">
        <f ca="1">SUM(BV18:BW18)</f>
        <v>#VALUE!</v>
      </c>
    </row>
    <row r="19" spans="5:76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2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32" t="s">
        <v>335</v>
      </c>
      <c r="BB19" s="251">
        <v>0</v>
      </c>
      <c r="BC19" s="251">
        <f>MCC_M_RUVY_matrices_mat_level!AS84*MCC_h_RUVY_matrices_mat_level!AS84 /MCC_MW_RUVY_matrices_mat_level!AU19</f>
        <v>-2526033.0144413249</v>
      </c>
      <c r="BD19" s="251">
        <v>0</v>
      </c>
      <c r="BE19" s="251">
        <v>0</v>
      </c>
      <c r="BF19" s="251">
        <v>0</v>
      </c>
      <c r="BG19" s="251">
        <v>0</v>
      </c>
      <c r="BH19" s="251">
        <v>0</v>
      </c>
      <c r="BI19" s="251">
        <v>0</v>
      </c>
      <c r="BJ19" s="251">
        <v>0</v>
      </c>
      <c r="BK19" s="251">
        <v>0</v>
      </c>
      <c r="BL19" s="251">
        <v>0</v>
      </c>
      <c r="BM19" s="251">
        <v>0</v>
      </c>
      <c r="BN19" s="251">
        <v>0</v>
      </c>
      <c r="BO19" s="251">
        <v>0</v>
      </c>
      <c r="BP19" s="251">
        <v>0</v>
      </c>
      <c r="BQ19" s="250">
        <f t="shared" ref="BQ19:BQ53" si="0">SUM(BB19:BP19)</f>
        <v>-2526033.0144413249</v>
      </c>
      <c r="BR19" s="14"/>
      <c r="BS19" s="14"/>
      <c r="BT19" s="132"/>
      <c r="BU19" s="132" t="s">
        <v>335</v>
      </c>
      <c r="BV19" s="253">
        <v>0</v>
      </c>
      <c r="BW19" s="253">
        <v>0</v>
      </c>
      <c r="BX19" s="250">
        <f>SUM(BV19:BW19)</f>
        <v>0</v>
      </c>
    </row>
    <row r="20" spans="5:76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2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32" t="s">
        <v>336</v>
      </c>
      <c r="BB20" s="251">
        <v>0</v>
      </c>
      <c r="BC20" s="251">
        <v>0</v>
      </c>
      <c r="BD20" s="251">
        <f>MCC_M_RUVY_matrices_mat_level!AT85*MCC_h_RUVY_matrices_mat_level!AT85 /MCC_MW_RUVY_matrices_mat_level!AV20</f>
        <v>9977311.3783394694</v>
      </c>
      <c r="BE20" s="251">
        <v>0</v>
      </c>
      <c r="BF20" s="251">
        <v>0</v>
      </c>
      <c r="BG20" s="251">
        <v>0</v>
      </c>
      <c r="BH20" s="251">
        <v>0</v>
      </c>
      <c r="BI20" s="251">
        <v>0</v>
      </c>
      <c r="BJ20" s="251">
        <v>0</v>
      </c>
      <c r="BK20" s="251">
        <v>0</v>
      </c>
      <c r="BL20" s="251">
        <v>0</v>
      </c>
      <c r="BM20" s="251">
        <v>0</v>
      </c>
      <c r="BN20" s="251">
        <v>0</v>
      </c>
      <c r="BO20" s="251">
        <v>0</v>
      </c>
      <c r="BP20" s="251">
        <v>0</v>
      </c>
      <c r="BQ20" s="250">
        <f t="shared" si="0"/>
        <v>9977311.3783394694</v>
      </c>
      <c r="BR20" s="14"/>
      <c r="BS20" s="14"/>
      <c r="BT20" s="132"/>
      <c r="BU20" s="132" t="s">
        <v>336</v>
      </c>
      <c r="BV20" s="253">
        <v>0</v>
      </c>
      <c r="BW20" s="253">
        <v>0</v>
      </c>
      <c r="BX20" s="250">
        <f>SUM(BV20:BW20)</f>
        <v>0</v>
      </c>
    </row>
    <row r="21" spans="5:76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2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32" t="s">
        <v>355</v>
      </c>
      <c r="BB21" s="251">
        <f>MCC_M_RUVY_matrices_mat_level!AR86*MCC_h_RUVY_matrices_mat_level!AR86 /MCC_MW_RUVY_matrices_mat_level!AT21</f>
        <v>0</v>
      </c>
      <c r="BC21" s="251">
        <f>MCC_M_RUVY_matrices_mat_level!AS86*MCC_h_RUVY_matrices_mat_level!AS86 /MCC_MW_RUVY_matrices_mat_level!AU21</f>
        <v>0</v>
      </c>
      <c r="BD21" s="251">
        <f>MCC_M_RUVY_matrices_mat_level!AT86*MCC_h_RUVY_matrices_mat_level!AT86 /MCC_MW_RUVY_matrices_mat_level!AV21</f>
        <v>0</v>
      </c>
      <c r="BE21" s="251">
        <v>0</v>
      </c>
      <c r="BF21" s="251">
        <v>0</v>
      </c>
      <c r="BG21" s="251">
        <v>0</v>
      </c>
      <c r="BH21" s="251">
        <v>0</v>
      </c>
      <c r="BI21" s="251">
        <v>0</v>
      </c>
      <c r="BJ21" s="251">
        <v>0</v>
      </c>
      <c r="BK21" s="251">
        <f>MCC_M_RUVY_matrices_mat_level!BA86*MCC_h_RUVY_matrices_mat_level!BA86 /MCC_MW_RUVY_matrices_mat_level!BC21</f>
        <v>0</v>
      </c>
      <c r="BL21" s="251">
        <f>MCC_M_RUVY_matrices_mat_level!BB86*MCC_h_RUVY_matrices_mat_level!BB86 /MCC_MW_RUVY_matrices_mat_level!BD21</f>
        <v>0</v>
      </c>
      <c r="BM21" s="251">
        <v>0</v>
      </c>
      <c r="BN21" s="251">
        <v>0</v>
      </c>
      <c r="BO21" s="251">
        <v>0</v>
      </c>
      <c r="BP21" s="251">
        <f>MCC_M_RUVY_matrices_mat_level!BF86*MCC_h_RUVY_matrices_mat_level!BF86 /MCC_MW_RUVY_matrices_mat_level!BH21</f>
        <v>0</v>
      </c>
      <c r="BQ21" s="250">
        <f t="shared" si="0"/>
        <v>0</v>
      </c>
      <c r="BR21" s="14"/>
      <c r="BS21" s="14"/>
      <c r="BT21" s="132"/>
      <c r="BU21" s="132" t="s">
        <v>355</v>
      </c>
      <c r="BV21" s="253">
        <v>0</v>
      </c>
      <c r="BW21" s="253">
        <v>0</v>
      </c>
      <c r="BX21" s="250">
        <f>SUM(BV21:BW21)</f>
        <v>0</v>
      </c>
    </row>
    <row r="22" spans="5:76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2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32" t="s">
        <v>377</v>
      </c>
      <c r="BB22" s="251">
        <v>0</v>
      </c>
      <c r="BC22" s="251">
        <v>0</v>
      </c>
      <c r="BD22" s="251">
        <v>0</v>
      </c>
      <c r="BE22" s="251">
        <v>0</v>
      </c>
      <c r="BF22" s="251">
        <v>0</v>
      </c>
      <c r="BG22" s="251">
        <v>0</v>
      </c>
      <c r="BH22" s="251">
        <v>0</v>
      </c>
      <c r="BI22" s="251">
        <v>0</v>
      </c>
      <c r="BJ22" s="251">
        <v>0</v>
      </c>
      <c r="BK22" s="251">
        <f>MCC_M_RUVY_matrices_mat_level!BA87*MCC_h_RUVY_matrices_mat_level!BA87 /MCC_MW_RUVY_matrices_mat_level!BC22</f>
        <v>-174982.33358796954</v>
      </c>
      <c r="BL22" s="251">
        <f>MCC_M_RUVY_matrices_mat_level!BB87*MCC_h_RUVY_matrices_mat_level!BB87 /MCC_MW_RUVY_matrices_mat_level!BD22</f>
        <v>-949206.42548067577</v>
      </c>
      <c r="BM22" s="251">
        <v>0</v>
      </c>
      <c r="BN22" s="251">
        <v>0</v>
      </c>
      <c r="BO22" s="251">
        <v>0</v>
      </c>
      <c r="BP22" s="251">
        <f>MCC_M_RUVY_matrices_mat_level!BF87*MCC_h_RUVY_matrices_mat_level!BF87 /MCC_MW_RUVY_matrices_mat_level!BH22</f>
        <v>-208916.35016621815</v>
      </c>
      <c r="BQ22" s="250">
        <f t="shared" si="0"/>
        <v>-1333105.1092348634</v>
      </c>
      <c r="BR22" s="14"/>
      <c r="BS22" s="14"/>
      <c r="BT22" s="132"/>
      <c r="BU22" s="132" t="s">
        <v>377</v>
      </c>
      <c r="BV22" s="253">
        <v>0</v>
      </c>
      <c r="BW22" s="253">
        <v>0</v>
      </c>
      <c r="BX22" s="250">
        <f>SUM(BV22:BW22)</f>
        <v>0</v>
      </c>
    </row>
    <row r="23" spans="5:76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2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32" t="s">
        <v>466</v>
      </c>
      <c r="BB23" s="251">
        <f>MCC_M_RUVY_matrices_mat_level!AR88*MCC_h_RUVY_matrices_mat_level!AR88 /MCC_MW_RUVY_matrices_mat_level!AT23</f>
        <v>88160.656904773379</v>
      </c>
      <c r="BC23" s="251">
        <f>MCC_M_RUVY_matrices_mat_level!AS88*MCC_h_RUVY_matrices_mat_level!AS88 /MCC_MW_RUVY_matrices_mat_level!AU23</f>
        <v>241.59146310558404</v>
      </c>
      <c r="BD23" s="251">
        <f>MCC_M_RUVY_matrices_mat_level!AT88*MCC_h_RUVY_matrices_mat_level!AT88 /MCC_MW_RUVY_matrices_mat_level!AV23</f>
        <v>21827.121921766418</v>
      </c>
      <c r="BE23" s="251">
        <v>0</v>
      </c>
      <c r="BF23" s="251">
        <v>0</v>
      </c>
      <c r="BG23" s="251">
        <v>0</v>
      </c>
      <c r="BH23" s="251">
        <v>0</v>
      </c>
      <c r="BI23" s="251">
        <v>0</v>
      </c>
      <c r="BJ23" s="251">
        <v>0</v>
      </c>
      <c r="BK23" s="251">
        <v>0</v>
      </c>
      <c r="BL23" s="251">
        <v>0</v>
      </c>
      <c r="BM23" s="251">
        <v>0</v>
      </c>
      <c r="BN23" s="251">
        <v>0</v>
      </c>
      <c r="BO23" s="251">
        <v>0</v>
      </c>
      <c r="BP23" s="251">
        <v>0</v>
      </c>
      <c r="BQ23" s="250">
        <f t="shared" si="0"/>
        <v>110229.37028964538</v>
      </c>
      <c r="BR23" s="14"/>
      <c r="BS23" s="14"/>
      <c r="BT23" s="132"/>
      <c r="BU23" s="132" t="s">
        <v>466</v>
      </c>
      <c r="BV23" s="253">
        <v>0</v>
      </c>
      <c r="BW23" s="253">
        <v>0</v>
      </c>
      <c r="BX23" s="250">
        <f>SUM(BV23:BW23)</f>
        <v>0</v>
      </c>
    </row>
    <row r="24" spans="5:76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2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32" t="s">
        <v>467</v>
      </c>
      <c r="BB24" s="251">
        <v>0</v>
      </c>
      <c r="BC24" s="251">
        <f>MCC_M_RUVY_matrices_mat_level!AS89*MCC_h_RUVY_matrices_mat_level!AS89 /MCC_MW_RUVY_matrices_mat_level!AU24</f>
        <v>-1.1322425723331082</v>
      </c>
      <c r="BD24" s="251">
        <v>0</v>
      </c>
      <c r="BE24" s="251">
        <v>0</v>
      </c>
      <c r="BF24" s="251">
        <v>0</v>
      </c>
      <c r="BG24" s="251">
        <v>0</v>
      </c>
      <c r="BH24" s="251">
        <v>0</v>
      </c>
      <c r="BI24" s="251">
        <v>0</v>
      </c>
      <c r="BJ24" s="251">
        <v>0</v>
      </c>
      <c r="BK24" s="251">
        <v>0</v>
      </c>
      <c r="BL24" s="251">
        <v>0</v>
      </c>
      <c r="BM24" s="251">
        <v>0</v>
      </c>
      <c r="BN24" s="251">
        <v>0</v>
      </c>
      <c r="BO24" s="251">
        <v>0</v>
      </c>
      <c r="BP24" s="251">
        <v>0</v>
      </c>
      <c r="BQ24" s="250">
        <f t="shared" si="0"/>
        <v>-1.1322425723331082</v>
      </c>
      <c r="BR24" s="14"/>
      <c r="BS24" s="14"/>
      <c r="BT24" s="132"/>
      <c r="BU24" s="132" t="s">
        <v>467</v>
      </c>
      <c r="BV24" s="253">
        <v>0</v>
      </c>
      <c r="BW24" s="253">
        <v>0</v>
      </c>
      <c r="BX24" s="250">
        <f>SUM(BV24:BW24)</f>
        <v>0</v>
      </c>
    </row>
    <row r="25" spans="5:76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2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32" t="s">
        <v>411</v>
      </c>
      <c r="BB25" s="251">
        <v>0</v>
      </c>
      <c r="BC25" s="251">
        <v>0</v>
      </c>
      <c r="BD25" s="251">
        <v>0</v>
      </c>
      <c r="BE25" s="251">
        <v>0</v>
      </c>
      <c r="BF25" s="251">
        <v>0</v>
      </c>
      <c r="BG25" s="251">
        <v>0</v>
      </c>
      <c r="BH25" s="251">
        <v>0</v>
      </c>
      <c r="BI25" s="251">
        <v>0</v>
      </c>
      <c r="BJ25" s="251">
        <v>0</v>
      </c>
      <c r="BK25" s="251">
        <v>0</v>
      </c>
      <c r="BL25" s="251">
        <v>0</v>
      </c>
      <c r="BM25" s="251">
        <v>0</v>
      </c>
      <c r="BN25" s="251">
        <v>0</v>
      </c>
      <c r="BO25" s="251">
        <v>0</v>
      </c>
      <c r="BP25" s="251">
        <f>MCC_M_RUVY_matrices_mat_level!BF90*MCC_h_RUVY_matrices_mat_level!BF90 /MCC_MW_RUVY_matrices_mat_level!BH25</f>
        <v>194131.36779323625</v>
      </c>
      <c r="BQ25" s="250">
        <f t="shared" si="0"/>
        <v>194131.36779323625</v>
      </c>
      <c r="BR25" s="14"/>
      <c r="BS25" s="14"/>
      <c r="BT25" s="132"/>
      <c r="BU25" s="132" t="s">
        <v>411</v>
      </c>
      <c r="BV25" s="253">
        <v>0</v>
      </c>
      <c r="BW25" s="253">
        <v>0</v>
      </c>
      <c r="BX25" s="250">
        <f>SUM(BV25:BW25)</f>
        <v>0</v>
      </c>
    </row>
    <row r="26" spans="5:76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2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32" t="s">
        <v>459</v>
      </c>
      <c r="BB26" s="251">
        <v>0</v>
      </c>
      <c r="BC26" s="251">
        <v>0</v>
      </c>
      <c r="BD26" s="251">
        <v>0</v>
      </c>
      <c r="BE26" s="251">
        <v>0</v>
      </c>
      <c r="BF26" s="251">
        <v>0</v>
      </c>
      <c r="BG26" s="251">
        <v>0</v>
      </c>
      <c r="BH26" s="251">
        <v>0</v>
      </c>
      <c r="BI26" s="251">
        <v>0</v>
      </c>
      <c r="BJ26" s="251">
        <v>0</v>
      </c>
      <c r="BK26" s="251">
        <v>0</v>
      </c>
      <c r="BL26" s="251">
        <v>0</v>
      </c>
      <c r="BM26" s="251">
        <v>0</v>
      </c>
      <c r="BN26" s="251">
        <v>0</v>
      </c>
      <c r="BO26" s="251">
        <v>0</v>
      </c>
      <c r="BP26" s="251">
        <v>0</v>
      </c>
      <c r="BQ26" s="250">
        <f t="shared" si="0"/>
        <v>0</v>
      </c>
      <c r="BR26" s="14"/>
      <c r="BS26" s="14"/>
      <c r="BT26" s="132"/>
      <c r="BU26" s="132" t="s">
        <v>459</v>
      </c>
      <c r="BV26" s="253">
        <v>0</v>
      </c>
      <c r="BW26" s="253">
        <v>0</v>
      </c>
      <c r="BX26" s="250">
        <f>SUM(BV26:BW26)</f>
        <v>0</v>
      </c>
    </row>
    <row r="27" spans="5:76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39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229" t="s">
        <v>442</v>
      </c>
      <c r="BB27" s="251">
        <v>0</v>
      </c>
      <c r="BC27" s="251">
        <v>0</v>
      </c>
      <c r="BD27" s="251">
        <v>0</v>
      </c>
      <c r="BE27" s="251">
        <f>(MCC_M_RUVY_matrices_mat_level!AU92*MCC_h_RUVY_matrices_mat_level!AU92)/MCC_MW_RUVY_matrices_mat_level!AW27</f>
        <v>-6518321.9740549196</v>
      </c>
      <c r="BF27" s="251">
        <v>0</v>
      </c>
      <c r="BG27" s="251">
        <v>0</v>
      </c>
      <c r="BH27" s="251">
        <v>0</v>
      </c>
      <c r="BI27" s="251">
        <v>0</v>
      </c>
      <c r="BJ27" s="251">
        <v>0</v>
      </c>
      <c r="BK27" s="251">
        <v>0</v>
      </c>
      <c r="BL27" s="251">
        <v>0</v>
      </c>
      <c r="BM27" s="251">
        <v>0</v>
      </c>
      <c r="BN27" s="251">
        <v>0</v>
      </c>
      <c r="BO27" s="251">
        <v>0</v>
      </c>
      <c r="BP27" s="251">
        <v>0</v>
      </c>
      <c r="BQ27" s="250">
        <f t="shared" si="0"/>
        <v>-6518321.9740549196</v>
      </c>
      <c r="BR27" s="14"/>
      <c r="BS27" s="14"/>
      <c r="BT27" s="229"/>
      <c r="BU27" s="132" t="s">
        <v>442</v>
      </c>
      <c r="BV27" s="253">
        <v>0</v>
      </c>
      <c r="BW27" s="253">
        <v>0</v>
      </c>
      <c r="BX27" s="250">
        <f>SUM(BV27:BW27)</f>
        <v>0</v>
      </c>
    </row>
    <row r="28" spans="5:76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29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32" t="s">
        <v>409</v>
      </c>
      <c r="BB28" s="251">
        <v>0</v>
      </c>
      <c r="BC28" s="251">
        <v>0</v>
      </c>
      <c r="BD28" s="251">
        <v>0</v>
      </c>
      <c r="BE28" s="251">
        <v>0</v>
      </c>
      <c r="BF28" s="251">
        <v>0</v>
      </c>
      <c r="BG28" s="251">
        <v>0</v>
      </c>
      <c r="BH28" s="251">
        <v>0</v>
      </c>
      <c r="BI28" s="251">
        <v>0</v>
      </c>
      <c r="BJ28" s="251">
        <v>0</v>
      </c>
      <c r="BK28" s="251">
        <v>0</v>
      </c>
      <c r="BL28" s="251">
        <v>0</v>
      </c>
      <c r="BM28" s="251">
        <v>0</v>
      </c>
      <c r="BN28" s="251">
        <v>0</v>
      </c>
      <c r="BO28" s="251">
        <v>0</v>
      </c>
      <c r="BP28" s="251">
        <v>0</v>
      </c>
      <c r="BQ28" s="250">
        <f t="shared" si="0"/>
        <v>0</v>
      </c>
      <c r="BR28" s="14"/>
      <c r="BS28" s="14"/>
      <c r="BT28" s="132"/>
      <c r="BU28" s="132" t="s">
        <v>409</v>
      </c>
      <c r="BV28" s="253">
        <v>0</v>
      </c>
      <c r="BW28" s="253">
        <v>0</v>
      </c>
      <c r="BX28" s="250">
        <f>SUM(BV28:BW28)</f>
        <v>0</v>
      </c>
    </row>
    <row r="29" spans="5:76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0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229" t="s">
        <v>412</v>
      </c>
      <c r="BB29" s="251">
        <v>0</v>
      </c>
      <c r="BC29" s="251">
        <v>0</v>
      </c>
      <c r="BD29" s="251">
        <v>0</v>
      </c>
      <c r="BE29" s="251">
        <v>0</v>
      </c>
      <c r="BF29" s="251">
        <f>MCC_M_RUVY_matrices_mat_level!AV94*MCC_h_RUVY_matrices_mat_level!AV94 /MCC_MW_RUVY_matrices_mat_level!AX29</f>
        <v>-2526033.0144413249</v>
      </c>
      <c r="BG29" s="251">
        <v>0</v>
      </c>
      <c r="BH29" s="251">
        <v>0</v>
      </c>
      <c r="BI29" s="251">
        <v>0</v>
      </c>
      <c r="BJ29" s="251">
        <v>0</v>
      </c>
      <c r="BK29" s="251">
        <v>0</v>
      </c>
      <c r="BL29" s="251">
        <v>0</v>
      </c>
      <c r="BM29" s="251">
        <v>0</v>
      </c>
      <c r="BN29" s="251">
        <v>0</v>
      </c>
      <c r="BO29" s="251">
        <v>0</v>
      </c>
      <c r="BP29" s="251">
        <v>0</v>
      </c>
      <c r="BQ29" s="250">
        <f t="shared" si="0"/>
        <v>-2526033.0144413249</v>
      </c>
      <c r="BR29" s="14"/>
      <c r="BS29" s="14"/>
      <c r="BT29" s="229"/>
      <c r="BU29" s="132" t="s">
        <v>412</v>
      </c>
      <c r="BV29" s="253">
        <v>0</v>
      </c>
      <c r="BW29" s="253">
        <v>0</v>
      </c>
      <c r="BX29" s="250">
        <f>SUM(BV29:BW29)</f>
        <v>0</v>
      </c>
    </row>
    <row r="30" spans="5:76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0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32" t="s">
        <v>437</v>
      </c>
      <c r="BB30" s="251">
        <v>0</v>
      </c>
      <c r="BC30" s="251">
        <v>0</v>
      </c>
      <c r="BD30" s="251">
        <v>0</v>
      </c>
      <c r="BE30" s="251">
        <v>0</v>
      </c>
      <c r="BF30" s="251">
        <v>0</v>
      </c>
      <c r="BG30" s="251">
        <v>0</v>
      </c>
      <c r="BH30" s="251">
        <v>0</v>
      </c>
      <c r="BI30" s="251">
        <v>0</v>
      </c>
      <c r="BJ30" s="251">
        <v>0</v>
      </c>
      <c r="BK30" s="251">
        <v>0</v>
      </c>
      <c r="BL30" s="251">
        <v>0</v>
      </c>
      <c r="BM30" s="251">
        <v>0</v>
      </c>
      <c r="BN30" s="251">
        <v>0</v>
      </c>
      <c r="BO30" s="251">
        <v>0</v>
      </c>
      <c r="BP30" s="251">
        <v>0</v>
      </c>
      <c r="BQ30" s="250">
        <f t="shared" si="0"/>
        <v>0</v>
      </c>
      <c r="BR30" s="14"/>
      <c r="BS30" s="14"/>
      <c r="BT30" s="132"/>
      <c r="BU30" s="132" t="s">
        <v>437</v>
      </c>
      <c r="BV30" s="253">
        <v>0</v>
      </c>
      <c r="BW30" s="253">
        <v>0</v>
      </c>
      <c r="BX30" s="250">
        <f>SUM(BV30:BW30)</f>
        <v>0</v>
      </c>
    </row>
    <row r="31" spans="5:76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0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230" t="s">
        <v>430</v>
      </c>
      <c r="BB31" s="251">
        <v>0</v>
      </c>
      <c r="BC31" s="251">
        <v>0</v>
      </c>
      <c r="BD31" s="251">
        <v>0</v>
      </c>
      <c r="BE31" s="251">
        <v>0</v>
      </c>
      <c r="BF31" s="251">
        <v>0</v>
      </c>
      <c r="BG31" s="251">
        <f>MCC_M_RUVY_matrices_mat_level!AW96*MCC_h_RUVY_matrices_mat_level!AW96 /MCC_MW_RUVY_matrices_mat_level!AY31</f>
        <v>9977311.3783394694</v>
      </c>
      <c r="BH31" s="251">
        <v>0</v>
      </c>
      <c r="BI31" s="251">
        <v>0</v>
      </c>
      <c r="BJ31" s="251">
        <v>0</v>
      </c>
      <c r="BK31" s="251">
        <v>0</v>
      </c>
      <c r="BL31" s="251">
        <v>0</v>
      </c>
      <c r="BM31" s="251">
        <v>0</v>
      </c>
      <c r="BN31" s="251">
        <v>0</v>
      </c>
      <c r="BO31" s="251">
        <v>0</v>
      </c>
      <c r="BP31" s="251">
        <v>0</v>
      </c>
      <c r="BQ31" s="250">
        <f t="shared" si="0"/>
        <v>9977311.3783394694</v>
      </c>
      <c r="BR31" s="14"/>
      <c r="BS31" s="14"/>
      <c r="BT31" s="230"/>
      <c r="BU31" s="132" t="s">
        <v>430</v>
      </c>
      <c r="BV31" s="253">
        <v>0</v>
      </c>
      <c r="BW31" s="253">
        <v>0</v>
      </c>
      <c r="BX31" s="250">
        <f>SUM(BV31:BW31)</f>
        <v>0</v>
      </c>
    </row>
    <row r="32" spans="5:76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0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32" t="s">
        <v>416</v>
      </c>
      <c r="BB32" s="251">
        <v>0</v>
      </c>
      <c r="BC32" s="251">
        <v>0</v>
      </c>
      <c r="BD32" s="251">
        <v>0</v>
      </c>
      <c r="BE32" s="251">
        <v>0</v>
      </c>
      <c r="BF32" s="251">
        <v>0</v>
      </c>
      <c r="BG32" s="251">
        <v>0</v>
      </c>
      <c r="BH32" s="251">
        <v>0</v>
      </c>
      <c r="BI32" s="251">
        <v>0</v>
      </c>
      <c r="BJ32" s="251">
        <v>0</v>
      </c>
      <c r="BK32" s="251">
        <v>0</v>
      </c>
      <c r="BL32" s="251">
        <v>0</v>
      </c>
      <c r="BM32" s="251">
        <v>0</v>
      </c>
      <c r="BN32" s="251">
        <v>0</v>
      </c>
      <c r="BO32" s="251">
        <v>0</v>
      </c>
      <c r="BP32" s="251">
        <v>0</v>
      </c>
      <c r="BQ32" s="250">
        <f t="shared" si="0"/>
        <v>0</v>
      </c>
      <c r="BR32" s="14"/>
      <c r="BS32" s="14"/>
      <c r="BT32" s="132"/>
      <c r="BU32" s="132" t="s">
        <v>416</v>
      </c>
      <c r="BV32" s="253">
        <v>0</v>
      </c>
      <c r="BW32" s="253">
        <v>0</v>
      </c>
      <c r="BX32" s="250">
        <f>SUM(BV32:BW32)</f>
        <v>0</v>
      </c>
    </row>
    <row r="33" spans="5:76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0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229" t="s">
        <v>441</v>
      </c>
      <c r="BB33" s="251">
        <v>0</v>
      </c>
      <c r="BC33" s="251">
        <v>0</v>
      </c>
      <c r="BD33" s="251">
        <v>0</v>
      </c>
      <c r="BE33" s="251">
        <v>0</v>
      </c>
      <c r="BF33" s="251">
        <v>0</v>
      </c>
      <c r="BG33" s="251">
        <v>0</v>
      </c>
      <c r="BH33" s="251">
        <f>(MCC_M_RUVY_matrices_mat_level!AX98*MCC_h_RUVY_matrices_mat_level!AX98)/MCC_MW_RUVY_matrices_mat_level!AZ33</f>
        <v>-6518321.9740549196</v>
      </c>
      <c r="BI33" s="251">
        <v>0</v>
      </c>
      <c r="BJ33" s="251">
        <v>0</v>
      </c>
      <c r="BK33" s="251">
        <v>0</v>
      </c>
      <c r="BL33" s="251">
        <v>0</v>
      </c>
      <c r="BM33" s="251">
        <v>0</v>
      </c>
      <c r="BN33" s="251">
        <v>0</v>
      </c>
      <c r="BO33" s="251">
        <v>0</v>
      </c>
      <c r="BP33" s="251">
        <v>0</v>
      </c>
      <c r="BQ33" s="250">
        <f t="shared" si="0"/>
        <v>-6518321.9740549196</v>
      </c>
      <c r="BR33" s="14"/>
      <c r="BS33" s="14"/>
      <c r="BT33" s="229"/>
      <c r="BU33" s="132" t="s">
        <v>441</v>
      </c>
      <c r="BV33" s="253">
        <v>0</v>
      </c>
      <c r="BW33" s="253">
        <v>0</v>
      </c>
      <c r="BX33" s="250">
        <f>SUM(BV33:BW33)</f>
        <v>0</v>
      </c>
    </row>
    <row r="34" spans="5:76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0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229" t="s">
        <v>436</v>
      </c>
      <c r="BB34" s="251">
        <v>0</v>
      </c>
      <c r="BC34" s="251">
        <v>0</v>
      </c>
      <c r="BD34" s="251">
        <v>0</v>
      </c>
      <c r="BE34" s="251">
        <v>0</v>
      </c>
      <c r="BF34" s="251">
        <v>0</v>
      </c>
      <c r="BG34" s="251">
        <v>0</v>
      </c>
      <c r="BH34" s="251">
        <v>0</v>
      </c>
      <c r="BI34" s="251">
        <f>MCC_M_RUVY_matrices_mat_level!AY99*MCC_h_RUVY_matrices_mat_level!AY99 /MCC_MW_RUVY_matrices_mat_level!BA34</f>
        <v>-2526033.0144413249</v>
      </c>
      <c r="BJ34" s="251">
        <v>0</v>
      </c>
      <c r="BK34" s="251">
        <v>0</v>
      </c>
      <c r="BL34" s="251">
        <v>0</v>
      </c>
      <c r="BM34" s="251">
        <v>0</v>
      </c>
      <c r="BN34" s="251">
        <v>0</v>
      </c>
      <c r="BO34" s="251">
        <v>0</v>
      </c>
      <c r="BP34" s="251">
        <v>0</v>
      </c>
      <c r="BQ34" s="250">
        <f t="shared" si="0"/>
        <v>-2526033.0144413249</v>
      </c>
      <c r="BR34" s="14"/>
      <c r="BS34" s="14"/>
      <c r="BT34" s="229"/>
      <c r="BU34" s="132" t="s">
        <v>436</v>
      </c>
      <c r="BV34" s="253">
        <v>0</v>
      </c>
      <c r="BW34" s="253">
        <v>0</v>
      </c>
      <c r="BX34" s="250">
        <f>SUM(BV34:BW34)</f>
        <v>0</v>
      </c>
    </row>
    <row r="35" spans="5:76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0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229" t="s">
        <v>433</v>
      </c>
      <c r="BB35" s="251">
        <v>0</v>
      </c>
      <c r="BC35" s="251">
        <v>0</v>
      </c>
      <c r="BD35" s="251">
        <v>0</v>
      </c>
      <c r="BE35" s="251">
        <v>0</v>
      </c>
      <c r="BF35" s="251">
        <v>0</v>
      </c>
      <c r="BG35" s="251">
        <v>0</v>
      </c>
      <c r="BH35" s="251">
        <v>0</v>
      </c>
      <c r="BI35" s="251">
        <v>0</v>
      </c>
      <c r="BJ35" s="251">
        <f>MCC_M_RUVY_matrices_mat_level!AZ100*MCC_h_RUVY_matrices_mat_level!AZ100 /MCC_MW_RUVY_matrices_mat_level!BB35</f>
        <v>9977311.3783394694</v>
      </c>
      <c r="BK35" s="251">
        <v>0</v>
      </c>
      <c r="BL35" s="251">
        <v>0</v>
      </c>
      <c r="BM35" s="251">
        <v>0</v>
      </c>
      <c r="BN35" s="251">
        <v>0</v>
      </c>
      <c r="BO35" s="251">
        <v>0</v>
      </c>
      <c r="BP35" s="251">
        <v>0</v>
      </c>
      <c r="BQ35" s="250">
        <f t="shared" si="0"/>
        <v>9977311.3783394694</v>
      </c>
      <c r="BR35" s="14"/>
      <c r="BS35" s="14"/>
      <c r="BT35" s="229"/>
      <c r="BU35" s="132" t="s">
        <v>433</v>
      </c>
      <c r="BV35" s="253">
        <v>0</v>
      </c>
      <c r="BW35" s="253">
        <v>0</v>
      </c>
      <c r="BX35" s="250">
        <f>SUM(BV35:BW35)</f>
        <v>0</v>
      </c>
    </row>
    <row r="36" spans="5:76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229" t="s">
        <v>439</v>
      </c>
      <c r="BB36" s="251">
        <v>0</v>
      </c>
      <c r="BC36" s="251">
        <v>0</v>
      </c>
      <c r="BD36" s="251">
        <v>0</v>
      </c>
      <c r="BE36" s="251">
        <v>0</v>
      </c>
      <c r="BF36" s="251">
        <v>0</v>
      </c>
      <c r="BG36" s="251">
        <v>0</v>
      </c>
      <c r="BH36" s="251">
        <v>0</v>
      </c>
      <c r="BI36" s="251">
        <v>0</v>
      </c>
      <c r="BJ36" s="251">
        <v>0</v>
      </c>
      <c r="BK36" s="251">
        <v>0</v>
      </c>
      <c r="BL36" s="251">
        <v>0</v>
      </c>
      <c r="BM36" s="251">
        <v>0</v>
      </c>
      <c r="BN36" s="251">
        <v>0</v>
      </c>
      <c r="BO36" s="251">
        <f>MCC_M_RUVY_matrices_mat_level!BE101*MCC_h_RUVY_matrices_mat_level!BE101 /MCC_MW_RUVY_matrices_mat_level!BG36</f>
        <v>-6350200.1773318211</v>
      </c>
      <c r="BP36" s="251">
        <v>0</v>
      </c>
      <c r="BQ36" s="250">
        <f t="shared" si="0"/>
        <v>-6350200.1773318211</v>
      </c>
      <c r="BR36" s="14"/>
      <c r="BS36" s="14"/>
      <c r="BT36" s="229"/>
      <c r="BU36" s="132" t="s">
        <v>439</v>
      </c>
      <c r="BV36" s="253">
        <v>0</v>
      </c>
      <c r="BW36" s="253">
        <v>0</v>
      </c>
      <c r="BX36" s="250">
        <f>SUM(BV36:BW36)</f>
        <v>0</v>
      </c>
    </row>
    <row r="37" spans="5:76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0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230" t="s">
        <v>438</v>
      </c>
      <c r="BB37" s="251">
        <v>0</v>
      </c>
      <c r="BC37" s="251">
        <v>0</v>
      </c>
      <c r="BD37" s="251">
        <v>0</v>
      </c>
      <c r="BE37" s="251">
        <v>0</v>
      </c>
      <c r="BF37" s="251">
        <v>0</v>
      </c>
      <c r="BG37" s="251">
        <v>0</v>
      </c>
      <c r="BH37" s="251">
        <v>0</v>
      </c>
      <c r="BI37" s="251">
        <v>0</v>
      </c>
      <c r="BJ37" s="251">
        <v>0</v>
      </c>
      <c r="BK37" s="251">
        <v>0</v>
      </c>
      <c r="BL37" s="251">
        <v>0</v>
      </c>
      <c r="BM37" s="251">
        <v>0</v>
      </c>
      <c r="BN37" s="251">
        <v>0</v>
      </c>
      <c r="BO37" s="251">
        <v>0</v>
      </c>
      <c r="BP37" s="251">
        <v>0</v>
      </c>
      <c r="BQ37" s="250">
        <f t="shared" si="0"/>
        <v>0</v>
      </c>
      <c r="BR37" s="249"/>
      <c r="BS37" s="14"/>
      <c r="BT37" s="230"/>
      <c r="BU37" s="132" t="s">
        <v>438</v>
      </c>
      <c r="BV37" s="253">
        <v>0</v>
      </c>
      <c r="BW37" s="253">
        <v>0</v>
      </c>
      <c r="BX37" s="250">
        <f>SUM(BV37:BW37)</f>
        <v>0</v>
      </c>
    </row>
    <row r="38" spans="5:76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0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230" t="s">
        <v>424</v>
      </c>
      <c r="BB38" s="251">
        <v>0</v>
      </c>
      <c r="BC38" s="251">
        <v>0</v>
      </c>
      <c r="BD38" s="251">
        <v>0</v>
      </c>
      <c r="BE38" s="251">
        <v>0</v>
      </c>
      <c r="BF38" s="251">
        <v>0</v>
      </c>
      <c r="BG38" s="251">
        <v>0</v>
      </c>
      <c r="BH38" s="251">
        <v>0</v>
      </c>
      <c r="BI38" s="251">
        <v>0</v>
      </c>
      <c r="BJ38" s="251">
        <v>0</v>
      </c>
      <c r="BK38" s="251">
        <f>MCC_M_RUVY_matrices_mat_level!BA103*MCC_h_RUVY_matrices_mat_level!BA103 /MCC_MW_RUVY_matrices_mat_level!BC38</f>
        <v>-2526033.0144413249</v>
      </c>
      <c r="BL38" s="251">
        <v>0</v>
      </c>
      <c r="BM38" s="251">
        <v>0</v>
      </c>
      <c r="BN38" s="251">
        <v>0</v>
      </c>
      <c r="BO38" s="251">
        <v>0</v>
      </c>
      <c r="BP38" s="251">
        <v>0</v>
      </c>
      <c r="BQ38" s="250">
        <f t="shared" si="0"/>
        <v>-2526033.0144413249</v>
      </c>
      <c r="BR38" s="14"/>
      <c r="BS38" s="14"/>
      <c r="BT38" s="230"/>
      <c r="BU38" s="132" t="s">
        <v>424</v>
      </c>
      <c r="BV38" s="253">
        <v>0</v>
      </c>
      <c r="BW38" s="253">
        <v>0</v>
      </c>
      <c r="BX38" s="250">
        <f>SUM(BV38:BW38)</f>
        <v>0</v>
      </c>
    </row>
    <row r="39" spans="5:76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0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230" t="s">
        <v>456</v>
      </c>
      <c r="BB39" s="251">
        <v>0</v>
      </c>
      <c r="BC39" s="251">
        <v>0</v>
      </c>
      <c r="BD39" s="251">
        <v>0</v>
      </c>
      <c r="BE39" s="251">
        <v>0</v>
      </c>
      <c r="BF39" s="251">
        <v>0</v>
      </c>
      <c r="BG39" s="251">
        <v>0</v>
      </c>
      <c r="BH39" s="251">
        <v>0</v>
      </c>
      <c r="BI39" s="251">
        <v>0</v>
      </c>
      <c r="BJ39" s="251">
        <v>0</v>
      </c>
      <c r="BK39" s="251">
        <v>0</v>
      </c>
      <c r="BL39" s="251">
        <f>MCC_M_RUVY_matrices_mat_level!BB104*MCC_h_RUVY_matrices_mat_level!BB104 /MCC_MW_RUVY_matrices_mat_level!BD39</f>
        <v>9977311.3783394694</v>
      </c>
      <c r="BM39" s="251">
        <v>0</v>
      </c>
      <c r="BN39" s="251">
        <v>0</v>
      </c>
      <c r="BO39" s="251">
        <v>0</v>
      </c>
      <c r="BP39" s="251">
        <v>0</v>
      </c>
      <c r="BQ39" s="250">
        <f t="shared" si="0"/>
        <v>9977311.3783394694</v>
      </c>
      <c r="BR39" s="14"/>
      <c r="BS39" s="14"/>
      <c r="BT39" s="230"/>
      <c r="BU39" s="132" t="s">
        <v>456</v>
      </c>
      <c r="BV39" s="253">
        <v>0</v>
      </c>
      <c r="BW39" s="253">
        <v>0</v>
      </c>
      <c r="BX39" s="250">
        <f>SUM(BV39:BW39)</f>
        <v>0</v>
      </c>
    </row>
    <row r="40" spans="5:76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0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230" t="s">
        <v>425</v>
      </c>
      <c r="BB40" s="251">
        <v>0</v>
      </c>
      <c r="BC40" s="251">
        <v>0</v>
      </c>
      <c r="BD40" s="251">
        <v>0</v>
      </c>
      <c r="BE40" s="251">
        <v>0</v>
      </c>
      <c r="BF40" s="251">
        <v>0</v>
      </c>
      <c r="BG40" s="251">
        <v>0</v>
      </c>
      <c r="BH40" s="251">
        <v>0</v>
      </c>
      <c r="BI40" s="251">
        <v>0</v>
      </c>
      <c r="BJ40" s="251">
        <v>0</v>
      </c>
      <c r="BK40" s="251">
        <v>0</v>
      </c>
      <c r="BL40" s="251">
        <v>0</v>
      </c>
      <c r="BM40" s="251">
        <v>0</v>
      </c>
      <c r="BN40" s="251">
        <v>0</v>
      </c>
      <c r="BO40" s="251">
        <f>MCC_M_RUVY_matrices_mat_level!BE105*MCC_h_RUVY_matrices_mat_level!BE105 /MCC_MW_RUVY_matrices_mat_level!BG40</f>
        <v>-1256817.6045988721</v>
      </c>
      <c r="BP40" s="251">
        <v>0</v>
      </c>
      <c r="BQ40" s="250">
        <f t="shared" si="0"/>
        <v>-1256817.6045988721</v>
      </c>
      <c r="BR40" s="14"/>
      <c r="BS40" s="14"/>
      <c r="BT40" s="230"/>
      <c r="BU40" s="132" t="s">
        <v>425</v>
      </c>
      <c r="BV40" s="253">
        <v>0</v>
      </c>
      <c r="BW40" s="253">
        <v>0</v>
      </c>
      <c r="BX40" s="250">
        <f>SUM(BV40:BW40)</f>
        <v>0</v>
      </c>
    </row>
    <row r="41" spans="5:76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0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230" t="s">
        <v>427</v>
      </c>
      <c r="BB41" s="251">
        <v>0</v>
      </c>
      <c r="BC41" s="251">
        <v>0</v>
      </c>
      <c r="BD41" s="251">
        <v>0</v>
      </c>
      <c r="BE41" s="251">
        <v>0</v>
      </c>
      <c r="BF41" s="251">
        <v>0</v>
      </c>
      <c r="BG41" s="251">
        <v>0</v>
      </c>
      <c r="BH41" s="251">
        <v>0</v>
      </c>
      <c r="BI41" s="251">
        <v>0</v>
      </c>
      <c r="BJ41" s="251">
        <v>0</v>
      </c>
      <c r="BK41" s="251">
        <v>0</v>
      </c>
      <c r="BL41" s="251">
        <v>0</v>
      </c>
      <c r="BM41" s="251">
        <v>0</v>
      </c>
      <c r="BN41" s="251">
        <v>0</v>
      </c>
      <c r="BO41" s="251">
        <v>0</v>
      </c>
      <c r="BP41" s="251">
        <v>0</v>
      </c>
      <c r="BQ41" s="250">
        <f t="shared" si="0"/>
        <v>0</v>
      </c>
      <c r="BR41" s="14"/>
      <c r="BS41" s="14"/>
      <c r="BT41" s="230"/>
      <c r="BU41" s="132" t="s">
        <v>427</v>
      </c>
      <c r="BV41" s="253">
        <v>0</v>
      </c>
      <c r="BW41" s="253">
        <v>0</v>
      </c>
      <c r="BX41" s="250">
        <f>SUM(BV41:BW41)</f>
        <v>0</v>
      </c>
    </row>
    <row r="42" spans="5:76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0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230" t="s">
        <v>426</v>
      </c>
      <c r="BB42" s="251">
        <v>0</v>
      </c>
      <c r="BC42" s="251">
        <v>0</v>
      </c>
      <c r="BD42" s="251">
        <v>0</v>
      </c>
      <c r="BE42" s="251">
        <v>0</v>
      </c>
      <c r="BF42" s="251">
        <v>0</v>
      </c>
      <c r="BG42" s="251">
        <v>0</v>
      </c>
      <c r="BH42" s="251">
        <v>0</v>
      </c>
      <c r="BI42" s="251">
        <v>0</v>
      </c>
      <c r="BJ42" s="251">
        <v>0</v>
      </c>
      <c r="BK42" s="251">
        <v>0</v>
      </c>
      <c r="BL42" s="251">
        <v>0</v>
      </c>
      <c r="BM42" s="251">
        <v>0</v>
      </c>
      <c r="BN42" s="251">
        <v>0</v>
      </c>
      <c r="BO42" s="251">
        <v>0</v>
      </c>
      <c r="BP42" s="251">
        <v>0</v>
      </c>
      <c r="BQ42" s="250">
        <f t="shared" si="0"/>
        <v>0</v>
      </c>
      <c r="BR42" s="14"/>
      <c r="BS42" s="14"/>
      <c r="BT42" s="230"/>
      <c r="BU42" s="132" t="s">
        <v>426</v>
      </c>
      <c r="BV42" s="253">
        <v>0</v>
      </c>
      <c r="BW42" s="253">
        <v>0</v>
      </c>
      <c r="BX42" s="250">
        <f>SUM(BV42:BW42)</f>
        <v>0</v>
      </c>
    </row>
    <row r="43" spans="5:76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0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230" t="s">
        <v>484</v>
      </c>
      <c r="BB43" s="251">
        <v>0</v>
      </c>
      <c r="BC43" s="251">
        <v>0</v>
      </c>
      <c r="BD43" s="251">
        <v>0</v>
      </c>
      <c r="BE43" s="251">
        <v>0</v>
      </c>
      <c r="BF43" s="251">
        <v>0</v>
      </c>
      <c r="BG43" s="251">
        <v>0</v>
      </c>
      <c r="BH43" s="251">
        <v>0</v>
      </c>
      <c r="BI43" s="251">
        <v>0</v>
      </c>
      <c r="BJ43" s="251">
        <v>0</v>
      </c>
      <c r="BK43" s="251">
        <v>0</v>
      </c>
      <c r="BL43" s="251">
        <v>0</v>
      </c>
      <c r="BM43" s="251">
        <v>0</v>
      </c>
      <c r="BN43" s="251">
        <v>0</v>
      </c>
      <c r="BO43" s="251">
        <f>MCC_M_RUVY_matrices_mat_level!BE108*MCC_h_RUVY_matrices_mat_level!BE108 /MCC_MW_RUVY_matrices_mat_level!BG43</f>
        <v>6114656.4031687425</v>
      </c>
      <c r="BP43" s="251">
        <v>0</v>
      </c>
      <c r="BQ43" s="250">
        <f t="shared" si="0"/>
        <v>6114656.4031687425</v>
      </c>
      <c r="BR43" s="14"/>
      <c r="BS43" s="14"/>
      <c r="BT43" s="230"/>
      <c r="BU43" s="132" t="s">
        <v>484</v>
      </c>
      <c r="BV43" s="253">
        <v>0</v>
      </c>
      <c r="BW43" s="253">
        <v>0</v>
      </c>
      <c r="BX43" s="250">
        <f>SUM(BV43:BW43)</f>
        <v>0</v>
      </c>
    </row>
    <row r="44" spans="5:76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0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244" t="s">
        <v>422</v>
      </c>
      <c r="BB44" s="251">
        <v>0</v>
      </c>
      <c r="BC44" s="251">
        <v>0</v>
      </c>
      <c r="BD44" s="251">
        <v>0</v>
      </c>
      <c r="BE44" s="251">
        <v>0</v>
      </c>
      <c r="BF44" s="251">
        <v>0</v>
      </c>
      <c r="BG44" s="251">
        <v>0</v>
      </c>
      <c r="BH44" s="251">
        <v>0</v>
      </c>
      <c r="BI44" s="251">
        <v>0</v>
      </c>
      <c r="BJ44" s="251">
        <v>0</v>
      </c>
      <c r="BK44" s="251">
        <v>0</v>
      </c>
      <c r="BL44" s="251">
        <v>0</v>
      </c>
      <c r="BM44" s="251">
        <f>(MCC_M_RUVY_matrices_mat_level!BC109*MCC_h_RUVY_matrices_mat_level!BC109) /MCC_MW_RUVY_matrices_mat_level!BE44</f>
        <v>-79567.804564237085</v>
      </c>
      <c r="BN44" s="251">
        <v>0</v>
      </c>
      <c r="BO44" s="251">
        <v>0</v>
      </c>
      <c r="BP44" s="251">
        <v>0</v>
      </c>
      <c r="BQ44" s="250">
        <f t="shared" si="0"/>
        <v>-79567.804564237085</v>
      </c>
      <c r="BR44" s="14"/>
      <c r="BS44" s="14"/>
      <c r="BT44" s="244"/>
      <c r="BU44" s="132" t="s">
        <v>422</v>
      </c>
      <c r="BV44" s="253">
        <v>0</v>
      </c>
      <c r="BW44" s="253">
        <v>0</v>
      </c>
      <c r="BX44" s="250">
        <f>SUM(BV44:BW44)</f>
        <v>0</v>
      </c>
    </row>
    <row r="45" spans="5:76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0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230" t="s">
        <v>552</v>
      </c>
      <c r="BB45" s="251">
        <v>0</v>
      </c>
      <c r="BC45" s="251">
        <v>0</v>
      </c>
      <c r="BD45" s="251">
        <v>0</v>
      </c>
      <c r="BE45" s="251">
        <v>0</v>
      </c>
      <c r="BF45" s="251">
        <v>0</v>
      </c>
      <c r="BG45" s="251">
        <v>0</v>
      </c>
      <c r="BH45" s="251">
        <v>0</v>
      </c>
      <c r="BI45" s="251">
        <v>0</v>
      </c>
      <c r="BJ45" s="251">
        <v>0</v>
      </c>
      <c r="BK45" s="251">
        <v>0</v>
      </c>
      <c r="BL45" s="251">
        <v>0</v>
      </c>
      <c r="BM45" s="251">
        <v>0</v>
      </c>
      <c r="BN45" s="251">
        <v>0</v>
      </c>
      <c r="BO45" s="251">
        <v>0</v>
      </c>
      <c r="BP45" s="251">
        <v>0</v>
      </c>
      <c r="BQ45" s="250">
        <f t="shared" si="0"/>
        <v>0</v>
      </c>
      <c r="BR45" s="14"/>
      <c r="BS45" s="14"/>
      <c r="BT45" s="230"/>
      <c r="BU45" s="132" t="s">
        <v>552</v>
      </c>
      <c r="BV45" s="253">
        <v>0</v>
      </c>
      <c r="BW45" s="253">
        <v>0</v>
      </c>
      <c r="BX45" s="250">
        <f>SUM(BV45:BW45)</f>
        <v>0</v>
      </c>
    </row>
    <row r="46" spans="5:76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0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32" t="s">
        <v>421</v>
      </c>
      <c r="BB46" s="251">
        <v>0</v>
      </c>
      <c r="BC46" s="251">
        <v>0</v>
      </c>
      <c r="BD46" s="251">
        <v>0</v>
      </c>
      <c r="BE46" s="251">
        <v>0</v>
      </c>
      <c r="BF46" s="251">
        <v>0</v>
      </c>
      <c r="BG46" s="251">
        <v>0</v>
      </c>
      <c r="BH46" s="251">
        <v>0</v>
      </c>
      <c r="BI46" s="251">
        <v>0</v>
      </c>
      <c r="BJ46" s="251">
        <v>0</v>
      </c>
      <c r="BK46" s="251">
        <v>0</v>
      </c>
      <c r="BL46" s="251">
        <v>0</v>
      </c>
      <c r="BM46" s="251">
        <v>0</v>
      </c>
      <c r="BN46" s="251">
        <v>0</v>
      </c>
      <c r="BO46" s="251">
        <v>0</v>
      </c>
      <c r="BP46" s="251">
        <v>0</v>
      </c>
      <c r="BQ46" s="250">
        <f t="shared" si="0"/>
        <v>0</v>
      </c>
      <c r="BR46" s="14"/>
      <c r="BS46" s="14"/>
      <c r="BT46" s="132"/>
      <c r="BU46" s="132" t="s">
        <v>421</v>
      </c>
      <c r="BV46" s="253">
        <v>0</v>
      </c>
      <c r="BW46" s="253">
        <v>0</v>
      </c>
      <c r="BX46" s="250">
        <f>SUM(BV46:BW46)</f>
        <v>0</v>
      </c>
    </row>
    <row r="47" spans="5:76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0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230" t="s">
        <v>423</v>
      </c>
      <c r="BB47" s="251">
        <v>0</v>
      </c>
      <c r="BC47" s="251">
        <v>0</v>
      </c>
      <c r="BD47" s="251">
        <v>0</v>
      </c>
      <c r="BE47" s="251">
        <v>0</v>
      </c>
      <c r="BF47" s="251">
        <v>0</v>
      </c>
      <c r="BG47" s="251">
        <v>0</v>
      </c>
      <c r="BH47" s="251">
        <v>0</v>
      </c>
      <c r="BI47" s="251">
        <v>0</v>
      </c>
      <c r="BJ47" s="251">
        <v>0</v>
      </c>
      <c r="BK47" s="251">
        <v>0</v>
      </c>
      <c r="BL47" s="251">
        <v>0</v>
      </c>
      <c r="BM47" s="251">
        <v>0</v>
      </c>
      <c r="BN47" s="251">
        <v>0</v>
      </c>
      <c r="BO47" s="251">
        <v>0</v>
      </c>
      <c r="BP47" s="251">
        <v>0</v>
      </c>
      <c r="BQ47" s="250">
        <f t="shared" si="0"/>
        <v>0</v>
      </c>
      <c r="BR47" s="14"/>
      <c r="BS47" s="14"/>
      <c r="BT47" s="230"/>
      <c r="BU47" s="132" t="s">
        <v>423</v>
      </c>
      <c r="BV47" s="253">
        <v>0</v>
      </c>
      <c r="BW47" s="253">
        <v>0</v>
      </c>
      <c r="BX47" s="250">
        <f>SUM(BV47:BW47)</f>
        <v>0</v>
      </c>
    </row>
    <row r="48" spans="5:76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0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230" t="s">
        <v>515</v>
      </c>
      <c r="BB48" s="251">
        <v>0</v>
      </c>
      <c r="BC48" s="251">
        <v>0</v>
      </c>
      <c r="BD48" s="251">
        <v>0</v>
      </c>
      <c r="BE48" s="251">
        <v>0</v>
      </c>
      <c r="BF48" s="251">
        <v>0</v>
      </c>
      <c r="BG48" s="251">
        <v>0</v>
      </c>
      <c r="BH48" s="251">
        <v>0</v>
      </c>
      <c r="BI48" s="251">
        <v>0</v>
      </c>
      <c r="BJ48" s="251">
        <v>0</v>
      </c>
      <c r="BK48" s="251">
        <v>0</v>
      </c>
      <c r="BL48" s="251">
        <v>0</v>
      </c>
      <c r="BM48" s="251">
        <v>0</v>
      </c>
      <c r="BN48" s="251">
        <f>MCC_M_RUVY_matrices_mat_level!BD113*MCC_h_RUVY_matrices_mat_level!BD113 /MCC_MW_RUVY_matrices_mat_level!BF48</f>
        <v>-67789.788088811649</v>
      </c>
      <c r="BO48" s="251">
        <v>0</v>
      </c>
      <c r="BP48" s="251">
        <v>0</v>
      </c>
      <c r="BQ48" s="250">
        <f t="shared" si="0"/>
        <v>-67789.788088811649</v>
      </c>
      <c r="BR48" s="14"/>
      <c r="BS48" s="14"/>
      <c r="BT48" s="230"/>
      <c r="BU48" s="132" t="s">
        <v>515</v>
      </c>
      <c r="BV48" s="253">
        <v>0</v>
      </c>
      <c r="BW48" s="253">
        <v>0</v>
      </c>
      <c r="BX48" s="250">
        <f>SUM(BV48:BW48)</f>
        <v>0</v>
      </c>
    </row>
    <row r="49" spans="5:76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0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230" t="s">
        <v>517</v>
      </c>
      <c r="BB49" s="251">
        <v>0</v>
      </c>
      <c r="BC49" s="251">
        <v>0</v>
      </c>
      <c r="BD49" s="251">
        <v>0</v>
      </c>
      <c r="BE49" s="251">
        <v>0</v>
      </c>
      <c r="BF49" s="251">
        <v>0</v>
      </c>
      <c r="BG49" s="251">
        <v>0</v>
      </c>
      <c r="BH49" s="251">
        <v>0</v>
      </c>
      <c r="BI49" s="251">
        <v>0</v>
      </c>
      <c r="BJ49" s="251">
        <v>0</v>
      </c>
      <c r="BK49" s="251">
        <v>0</v>
      </c>
      <c r="BL49" s="251">
        <v>0</v>
      </c>
      <c r="BM49" s="251">
        <v>0</v>
      </c>
      <c r="BN49" s="251">
        <v>0</v>
      </c>
      <c r="BO49" s="251">
        <v>0</v>
      </c>
      <c r="BP49" s="251">
        <f>MCC_M_RUVY_matrices_mat_level!BF114*MCC_h_RUVY_matrices_mat_level!BF114 /MCC_MW_RUVY_matrices_mat_level!BH49</f>
        <v>-47452.851662168148</v>
      </c>
      <c r="BQ49" s="250">
        <f t="shared" si="0"/>
        <v>-47452.851662168148</v>
      </c>
      <c r="BR49" s="14"/>
      <c r="BS49" s="14"/>
      <c r="BT49" s="230"/>
      <c r="BU49" s="132" t="s">
        <v>517</v>
      </c>
      <c r="BV49" s="253">
        <f>MCC_M_RUVY_matrices_mat_level!BL114*MCC_h_RUVY_matrices_mat_level!BL114 / MCC_MW_RUVY_matrices_mat_level!BN49</f>
        <v>-20336.93642664349</v>
      </c>
      <c r="BW49" s="253">
        <v>0</v>
      </c>
      <c r="BX49" s="250">
        <f>SUM(BV49:BW49)</f>
        <v>-20336.93642664349</v>
      </c>
    </row>
    <row r="50" spans="5:76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0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230" t="s">
        <v>445</v>
      </c>
      <c r="BB50" s="251">
        <v>0</v>
      </c>
      <c r="BC50" s="251">
        <v>0</v>
      </c>
      <c r="BD50" s="251">
        <v>0</v>
      </c>
      <c r="BE50" s="251">
        <v>0</v>
      </c>
      <c r="BF50" s="251">
        <v>0</v>
      </c>
      <c r="BG50" s="251">
        <v>0</v>
      </c>
      <c r="BH50" s="251">
        <v>0</v>
      </c>
      <c r="BI50" s="251">
        <v>0</v>
      </c>
      <c r="BJ50" s="251">
        <v>0</v>
      </c>
      <c r="BK50" s="251">
        <v>0</v>
      </c>
      <c r="BL50" s="251">
        <v>0</v>
      </c>
      <c r="BM50" s="251">
        <v>0</v>
      </c>
      <c r="BN50" s="251">
        <v>0</v>
      </c>
      <c r="BO50" s="251">
        <v>0</v>
      </c>
      <c r="BP50" s="251">
        <f>MCC_M_RUVY_matrices_mat_level!BF115*MCC_h_RUVY_matrices_mat_level!BF115 /MCC_MW_RUVY_matrices_mat_level!BH50</f>
        <v>-1492361.3787619506</v>
      </c>
      <c r="BQ50" s="250">
        <f t="shared" si="0"/>
        <v>-1492361.3787619506</v>
      </c>
      <c r="BR50" s="14"/>
      <c r="BS50" s="14"/>
      <c r="BT50" s="230"/>
      <c r="BU50" s="132" t="s">
        <v>445</v>
      </c>
      <c r="BV50" s="253">
        <v>0</v>
      </c>
      <c r="BW50" s="253">
        <v>0</v>
      </c>
      <c r="BX50" s="250">
        <f>SUM(BV50:BW50)</f>
        <v>0</v>
      </c>
    </row>
    <row r="51" spans="5:76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0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230" t="s">
        <v>446</v>
      </c>
      <c r="BB51" s="251">
        <v>0</v>
      </c>
      <c r="BC51" s="251">
        <v>0</v>
      </c>
      <c r="BD51" s="251">
        <v>0</v>
      </c>
      <c r="BE51" s="251">
        <v>0</v>
      </c>
      <c r="BF51" s="251">
        <v>0</v>
      </c>
      <c r="BG51" s="251">
        <v>0</v>
      </c>
      <c r="BH51" s="251">
        <v>0</v>
      </c>
      <c r="BI51" s="251">
        <v>0</v>
      </c>
      <c r="BJ51" s="251">
        <v>0</v>
      </c>
      <c r="BK51" s="251">
        <v>0</v>
      </c>
      <c r="BL51" s="251">
        <v>0</v>
      </c>
      <c r="BM51" s="251">
        <v>0</v>
      </c>
      <c r="BN51" s="251">
        <v>0</v>
      </c>
      <c r="BO51" s="251">
        <v>0</v>
      </c>
      <c r="BP51" s="251">
        <v>0</v>
      </c>
      <c r="BQ51" s="250">
        <f>SUM(BB51:BP51)</f>
        <v>0</v>
      </c>
      <c r="BR51" s="14"/>
      <c r="BS51" s="14"/>
      <c r="BT51" s="230"/>
      <c r="BU51" s="132" t="s">
        <v>446</v>
      </c>
      <c r="BV51" s="253">
        <f>AM81</f>
        <v>0</v>
      </c>
      <c r="BW51" s="253">
        <v>0</v>
      </c>
      <c r="BX51" s="250">
        <f>SUM(BV51:BW51)</f>
        <v>0</v>
      </c>
    </row>
    <row r="52" spans="5:76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0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230" t="s">
        <v>447</v>
      </c>
      <c r="BB52" s="251">
        <v>0</v>
      </c>
      <c r="BC52" s="251">
        <v>0</v>
      </c>
      <c r="BD52" s="251">
        <v>0</v>
      </c>
      <c r="BE52" s="251">
        <v>0</v>
      </c>
      <c r="BF52" s="251">
        <v>0</v>
      </c>
      <c r="BG52" s="251">
        <v>0</v>
      </c>
      <c r="BH52" s="251">
        <v>0</v>
      </c>
      <c r="BI52" s="251">
        <v>0</v>
      </c>
      <c r="BJ52" s="251">
        <v>0</v>
      </c>
      <c r="BK52" s="251">
        <v>0</v>
      </c>
      <c r="BL52" s="251">
        <v>0</v>
      </c>
      <c r="BM52" s="251">
        <v>0</v>
      </c>
      <c r="BN52" s="251">
        <v>0</v>
      </c>
      <c r="BO52" s="251">
        <v>0</v>
      </c>
      <c r="BP52" s="251">
        <v>0</v>
      </c>
      <c r="BQ52" s="250">
        <f t="shared" si="0"/>
        <v>0</v>
      </c>
      <c r="BR52" s="14"/>
      <c r="BS52" s="14"/>
      <c r="BT52" s="14"/>
      <c r="BU52" s="259" t="s">
        <v>447</v>
      </c>
      <c r="BV52" s="253">
        <v>0</v>
      </c>
      <c r="BW52" s="253">
        <v>0</v>
      </c>
      <c r="BX52" s="250">
        <f>SUM(BV52:BW52)</f>
        <v>0</v>
      </c>
    </row>
    <row r="53" spans="5:76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0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230" t="s">
        <v>457</v>
      </c>
      <c r="BB53" s="251">
        <v>0</v>
      </c>
      <c r="BC53" s="251">
        <v>0</v>
      </c>
      <c r="BD53" s="251">
        <v>0</v>
      </c>
      <c r="BE53" s="251">
        <v>0</v>
      </c>
      <c r="BF53" s="251">
        <v>0</v>
      </c>
      <c r="BG53" s="251">
        <v>0</v>
      </c>
      <c r="BH53" s="251">
        <v>0</v>
      </c>
      <c r="BI53" s="251">
        <v>0</v>
      </c>
      <c r="BJ53" s="251">
        <v>0</v>
      </c>
      <c r="BK53" s="251">
        <v>0</v>
      </c>
      <c r="BL53" s="251">
        <v>0</v>
      </c>
      <c r="BM53" s="251">
        <v>0</v>
      </c>
      <c r="BN53" s="251">
        <v>0</v>
      </c>
      <c r="BO53" s="251">
        <v>0</v>
      </c>
      <c r="BP53" s="251">
        <v>0</v>
      </c>
      <c r="BQ53" s="250">
        <f t="shared" si="0"/>
        <v>0</v>
      </c>
      <c r="BR53" s="14"/>
      <c r="BS53" s="14"/>
      <c r="BT53" s="14"/>
      <c r="BU53" s="259" t="s">
        <v>457</v>
      </c>
      <c r="BV53" s="253">
        <v>0</v>
      </c>
      <c r="BW53" s="253">
        <v>0</v>
      </c>
      <c r="BX53" s="250">
        <f>SUM(BV53:BW53)</f>
        <v>0</v>
      </c>
    </row>
    <row r="54" spans="5:76" x14ac:dyDescent="0.2"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230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379" t="s">
        <v>328</v>
      </c>
      <c r="BC54" s="339"/>
      <c r="BD54" s="339"/>
      <c r="BE54" s="339"/>
      <c r="BF54" s="339"/>
      <c r="BG54" s="339"/>
      <c r="BH54" s="339"/>
      <c r="BI54" s="339"/>
      <c r="BJ54" s="339"/>
      <c r="BK54" s="339"/>
      <c r="BL54" s="339"/>
      <c r="BM54" s="339"/>
      <c r="BN54" s="339"/>
      <c r="BO54" s="339"/>
      <c r="BP54" s="339"/>
      <c r="BQ54" s="52" t="s">
        <v>369</v>
      </c>
      <c r="BR54" s="14"/>
      <c r="BS54" s="14"/>
      <c r="BT54" s="14"/>
      <c r="BV54" s="382" t="s">
        <v>330</v>
      </c>
      <c r="BW54" s="382">
        <v>-89.61</v>
      </c>
      <c r="BX54" s="439" t="s">
        <v>742</v>
      </c>
    </row>
    <row r="55" spans="5:76" x14ac:dyDescent="0.2">
      <c r="E55" s="14"/>
      <c r="F55" s="385"/>
      <c r="G55" s="385"/>
      <c r="H55" s="262"/>
      <c r="I55" s="262"/>
      <c r="J55" s="262"/>
      <c r="K55" s="262"/>
      <c r="L55" s="262"/>
      <c r="M55" s="262"/>
      <c r="N55" s="262"/>
      <c r="O55" s="262"/>
      <c r="P55" s="262"/>
      <c r="Q55" s="262"/>
      <c r="R55" s="262"/>
      <c r="S55" s="262"/>
      <c r="T55" s="262"/>
      <c r="U55" s="262"/>
      <c r="V55" s="262"/>
      <c r="W55" s="262"/>
      <c r="X55" s="262"/>
      <c r="Y55" s="262"/>
      <c r="Z55" s="262"/>
      <c r="AA55" s="262"/>
      <c r="AB55" s="262"/>
      <c r="AC55" s="262"/>
      <c r="AD55" s="262"/>
      <c r="AE55" s="262"/>
      <c r="AF55" s="262"/>
      <c r="AG55" s="262"/>
      <c r="AH55" s="262"/>
      <c r="AI55" s="262"/>
      <c r="AJ55" s="230"/>
      <c r="AK55" s="262"/>
      <c r="AL55" s="262"/>
      <c r="AM55" s="262"/>
      <c r="AN55" s="262"/>
      <c r="AO55" s="262"/>
      <c r="AP55" s="262"/>
      <c r="AQ55" s="262"/>
      <c r="AR55" s="262"/>
      <c r="AS55" s="262"/>
      <c r="AT55" s="262"/>
      <c r="AU55" s="262"/>
      <c r="AV55" s="262"/>
      <c r="AW55" s="262"/>
      <c r="AX55" s="262"/>
      <c r="AY55" s="262"/>
      <c r="AZ55" s="14"/>
      <c r="BA55" s="14"/>
      <c r="BB55" s="263" t="e" vm="2">
        <f ca="1">SUM(BB18:BB53)</f>
        <v>#VALUE!</v>
      </c>
      <c r="BC55" s="263">
        <f>SUM(BC18:BC53)</f>
        <v>-2525792.5552207916</v>
      </c>
      <c r="BD55" s="263">
        <f>SUM(BD18:BD53)</f>
        <v>9999138.500261236</v>
      </c>
      <c r="BE55" s="263">
        <f>SUM(BE18:BE53)</f>
        <v>-6518321.9740549196</v>
      </c>
      <c r="BF55" s="263">
        <f>SUM(BF18:BF53)</f>
        <v>-2526033.0144413249</v>
      </c>
      <c r="BG55" s="263">
        <f>SUM(BG18:BG53)</f>
        <v>9977311.3783394694</v>
      </c>
      <c r="BH55" s="263">
        <f>SUM(BH18:BH53)</f>
        <v>-6518321.9740549196</v>
      </c>
      <c r="BI55" s="263">
        <f>SUM(BI18:BI53)</f>
        <v>-2526033.0144413249</v>
      </c>
      <c r="BJ55" s="263">
        <f>SUM(BJ18:BJ53)</f>
        <v>9977311.3783394694</v>
      </c>
      <c r="BK55" s="263">
        <f>SUM(BK18:BK53)</f>
        <v>-2701015.3480292945</v>
      </c>
      <c r="BL55" s="263">
        <f>SUM(BL18:BL53)</f>
        <v>9028104.9528587945</v>
      </c>
      <c r="BM55" s="263">
        <f>SUM(BM18:BM53)</f>
        <v>-79567.804564237085</v>
      </c>
      <c r="BN55" s="263">
        <f>SUM(BN18:BN53)</f>
        <v>-67789.788088811649</v>
      </c>
      <c r="BO55" s="263">
        <f>SUM(BO18:BO53)</f>
        <v>-1492361.3787619509</v>
      </c>
      <c r="BP55" s="263">
        <f>SUM(BP18:BP53)</f>
        <v>-1554599.2127971007</v>
      </c>
      <c r="BR55" s="14"/>
      <c r="BS55" s="14"/>
      <c r="BT55" s="14"/>
      <c r="BU55" s="14"/>
      <c r="BV55" s="249"/>
      <c r="BW55" s="14"/>
      <c r="BX55" s="14"/>
    </row>
    <row r="56" spans="5:76" x14ac:dyDescent="0.2">
      <c r="AY56" s="14"/>
      <c r="AZ56" s="14"/>
      <c r="BB56" s="438" t="s">
        <v>368</v>
      </c>
      <c r="BC56" s="438"/>
      <c r="BD56" s="438"/>
      <c r="BE56" s="438"/>
      <c r="BF56" s="438"/>
      <c r="BG56" s="438"/>
      <c r="BH56" s="438"/>
      <c r="BI56" s="438"/>
      <c r="BJ56" s="438"/>
      <c r="BK56" s="438"/>
      <c r="BL56" s="438"/>
      <c r="BM56" s="438"/>
      <c r="BN56" s="438"/>
      <c r="BO56" s="438"/>
      <c r="BP56" s="438"/>
      <c r="BR56" s="14"/>
      <c r="BS56" s="14"/>
      <c r="BT56" s="14"/>
      <c r="BU56" s="14"/>
      <c r="BV56" s="249"/>
      <c r="BW56" s="14"/>
      <c r="BX56" s="14"/>
    </row>
    <row r="57" spans="5:76" x14ac:dyDescent="0.2">
      <c r="AY57" s="14"/>
      <c r="AZ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</row>
    <row r="58" spans="5:76" x14ac:dyDescent="0.2">
      <c r="AY58" s="14"/>
      <c r="AZ58" s="14"/>
      <c r="BB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</row>
    <row r="59" spans="5:76" x14ac:dyDescent="0.2">
      <c r="AY59" s="14"/>
      <c r="AZ59" s="14"/>
      <c r="BA59" s="249"/>
      <c r="BB59" s="249"/>
      <c r="BC59" s="249"/>
      <c r="BD59" s="249"/>
      <c r="BE59" s="249"/>
      <c r="BF59" s="249"/>
      <c r="BG59" s="249"/>
      <c r="BH59" s="14"/>
      <c r="BI59" s="14"/>
      <c r="BJ59" s="14"/>
      <c r="BK59" s="14"/>
      <c r="BL59" s="14"/>
      <c r="BM59" s="249"/>
      <c r="BN59" s="249"/>
      <c r="BO59" s="14"/>
      <c r="BP59" s="14"/>
      <c r="BQ59" s="14"/>
    </row>
    <row r="60" spans="5:76" x14ac:dyDescent="0.2">
      <c r="AY60" s="14"/>
      <c r="AZ60" s="14"/>
      <c r="BA60" s="249"/>
      <c r="BB60" s="249"/>
      <c r="BC60" s="249"/>
      <c r="BD60" s="249"/>
      <c r="BE60" s="249"/>
      <c r="BF60" s="249"/>
      <c r="BG60" s="249"/>
      <c r="BH60" s="14"/>
      <c r="BI60" s="14"/>
      <c r="BJ60" s="14"/>
      <c r="BK60" s="14"/>
      <c r="BL60" s="14"/>
      <c r="BM60" s="249"/>
      <c r="BN60" s="249"/>
      <c r="BO60" s="14"/>
      <c r="BP60" s="14"/>
      <c r="BQ60" s="14"/>
    </row>
    <row r="61" spans="5:76" x14ac:dyDescent="0.2">
      <c r="AY61" s="14"/>
      <c r="AZ61" s="14"/>
      <c r="BA61" s="249"/>
      <c r="BB61" s="249"/>
      <c r="BC61" s="249"/>
      <c r="BD61" s="249"/>
      <c r="BE61" s="249"/>
      <c r="BF61" s="249"/>
      <c r="BG61" s="249"/>
      <c r="BH61" s="14"/>
      <c r="BI61" s="14"/>
      <c r="BJ61" s="14"/>
      <c r="BK61" s="14"/>
      <c r="BL61" s="14"/>
      <c r="BM61" s="249"/>
      <c r="BN61" s="249"/>
      <c r="BO61" s="14"/>
      <c r="BP61" s="14"/>
      <c r="BQ61" s="14"/>
    </row>
    <row r="62" spans="5:76" x14ac:dyDescent="0.2">
      <c r="AY62" s="14"/>
      <c r="AZ62" s="14"/>
      <c r="BA62" s="249"/>
      <c r="BB62" s="249"/>
      <c r="BC62" s="249"/>
      <c r="BD62" s="249"/>
      <c r="BE62" s="249"/>
      <c r="BF62" s="249"/>
      <c r="BG62" s="249"/>
      <c r="BH62" s="14"/>
      <c r="BI62" s="14"/>
      <c r="BJ62" s="14"/>
      <c r="BK62" s="14"/>
      <c r="BL62" s="14"/>
      <c r="BM62" s="249"/>
      <c r="BN62" s="249"/>
      <c r="BO62" s="14"/>
      <c r="BP62" s="14"/>
      <c r="BQ62" s="14"/>
    </row>
    <row r="63" spans="5:76" x14ac:dyDescent="0.2">
      <c r="AY63" s="14"/>
      <c r="AZ63" s="14"/>
      <c r="BA63" s="249"/>
      <c r="BB63" s="249"/>
      <c r="BC63" s="249"/>
      <c r="BD63" s="249"/>
      <c r="BE63" s="249"/>
      <c r="BF63" s="249"/>
      <c r="BG63" s="249"/>
      <c r="BH63" s="14"/>
      <c r="BI63" s="14"/>
      <c r="BJ63" s="14"/>
      <c r="BK63" s="14"/>
      <c r="BL63" s="14"/>
      <c r="BM63" s="249"/>
      <c r="BN63" s="249"/>
      <c r="BO63" s="14"/>
      <c r="BP63" s="14"/>
      <c r="BQ63" s="14"/>
    </row>
    <row r="64" spans="5:76" x14ac:dyDescent="0.2">
      <c r="AY64" s="14"/>
      <c r="AZ64" s="14"/>
      <c r="BA64" s="249"/>
      <c r="BB64" s="249"/>
      <c r="BC64" s="249"/>
      <c r="BD64" s="249"/>
      <c r="BE64" s="249"/>
      <c r="BF64" s="249"/>
      <c r="BG64" s="249"/>
      <c r="BH64" s="14"/>
      <c r="BI64" s="14"/>
      <c r="BJ64" s="14"/>
      <c r="BK64" s="14"/>
      <c r="BL64" s="14"/>
      <c r="BM64" s="249"/>
      <c r="BN64" s="249"/>
      <c r="BO64" s="14"/>
      <c r="BP64" s="14"/>
      <c r="BQ64" s="14"/>
    </row>
    <row r="65" spans="5:76" x14ac:dyDescent="0.2">
      <c r="AY65" s="14"/>
      <c r="AZ65" s="14"/>
      <c r="BA65" s="249"/>
      <c r="BB65" s="249"/>
      <c r="BC65" s="249"/>
      <c r="BD65" s="249"/>
      <c r="BE65" s="249"/>
      <c r="BF65" s="249"/>
      <c r="BG65" s="249"/>
      <c r="BH65" s="14"/>
      <c r="BI65" s="14"/>
      <c r="BJ65" s="14"/>
      <c r="BK65" s="14"/>
      <c r="BL65" s="14"/>
      <c r="BM65" s="249"/>
      <c r="BN65" s="249"/>
      <c r="BO65" s="14"/>
      <c r="BP65" s="14"/>
      <c r="BQ65" s="14"/>
    </row>
    <row r="66" spans="5:76" ht="236" customHeight="1" x14ac:dyDescent="0.2">
      <c r="E66" s="60"/>
      <c r="F66" s="231" t="s">
        <v>333</v>
      </c>
      <c r="G66" s="231" t="s">
        <v>335</v>
      </c>
      <c r="H66" s="231" t="s">
        <v>336</v>
      </c>
      <c r="I66" s="231" t="s">
        <v>355</v>
      </c>
      <c r="J66" s="231" t="s">
        <v>377</v>
      </c>
      <c r="K66" s="231" t="s">
        <v>466</v>
      </c>
      <c r="L66" s="231" t="s">
        <v>467</v>
      </c>
      <c r="M66" s="231" t="s">
        <v>411</v>
      </c>
      <c r="N66" s="231" t="s">
        <v>459</v>
      </c>
      <c r="O66" s="232" t="s">
        <v>442</v>
      </c>
      <c r="P66" s="231" t="s">
        <v>409</v>
      </c>
      <c r="Q66" s="232" t="s">
        <v>412</v>
      </c>
      <c r="R66" s="231" t="s">
        <v>437</v>
      </c>
      <c r="S66" s="233" t="s">
        <v>430</v>
      </c>
      <c r="T66" s="231" t="s">
        <v>416</v>
      </c>
      <c r="U66" s="232" t="s">
        <v>441</v>
      </c>
      <c r="V66" s="232" t="s">
        <v>436</v>
      </c>
      <c r="W66" s="232" t="s">
        <v>433</v>
      </c>
      <c r="X66" s="232" t="s">
        <v>439</v>
      </c>
      <c r="Y66" s="233" t="s">
        <v>438</v>
      </c>
      <c r="Z66" s="233" t="s">
        <v>424</v>
      </c>
      <c r="AA66" s="233" t="s">
        <v>456</v>
      </c>
      <c r="AB66" s="233" t="s">
        <v>425</v>
      </c>
      <c r="AC66" s="233" t="s">
        <v>427</v>
      </c>
      <c r="AD66" s="233" t="s">
        <v>426</v>
      </c>
      <c r="AE66" s="233" t="s">
        <v>484</v>
      </c>
      <c r="AF66" s="235" t="s">
        <v>422</v>
      </c>
      <c r="AG66" s="235" t="s">
        <v>552</v>
      </c>
      <c r="AH66" s="233" t="s">
        <v>421</v>
      </c>
      <c r="AI66" s="231" t="s">
        <v>423</v>
      </c>
      <c r="AJ66" s="233" t="s">
        <v>515</v>
      </c>
      <c r="AK66" s="233" t="s">
        <v>517</v>
      </c>
      <c r="AL66" s="233" t="s">
        <v>445</v>
      </c>
      <c r="AM66" s="233" t="s">
        <v>446</v>
      </c>
      <c r="AN66" s="233" t="s">
        <v>447</v>
      </c>
      <c r="AO66" s="233" t="s">
        <v>457</v>
      </c>
      <c r="AX66" s="14"/>
      <c r="AY66" s="14"/>
      <c r="AZ66" s="14"/>
      <c r="BA66" s="249"/>
      <c r="BB66" s="249"/>
      <c r="BC66" s="249"/>
      <c r="BD66" s="249"/>
      <c r="BE66" s="249"/>
      <c r="BF66" s="249"/>
      <c r="BG66" s="249"/>
      <c r="BH66" s="14"/>
      <c r="BI66" s="14"/>
      <c r="BJ66" s="14"/>
      <c r="BK66" s="14"/>
      <c r="BL66" s="14"/>
      <c r="BM66" s="249"/>
      <c r="BN66" s="249"/>
      <c r="BO66" s="14"/>
      <c r="BP66" s="14"/>
      <c r="BQ66" s="14"/>
    </row>
    <row r="67" spans="5:76" x14ac:dyDescent="0.2">
      <c r="E67" s="132" t="s">
        <v>325</v>
      </c>
      <c r="F67" s="234" t="e" cm="1" vm="4">
        <f t="array" aca="1" ref="F67" ca="1">(MCC_M_RUVY_matrices_mat_level!C124:AL138*MCC_h_RUVY_matrices_mat_level!C123:AL137) /MCC_MW_RUVY_matrices_mat_level!F57:AO71</f>
        <v>#VALUE!</v>
      </c>
      <c r="G67" s="234">
        <v>0</v>
      </c>
      <c r="H67" s="234">
        <v>0</v>
      </c>
      <c r="I67" s="234">
        <v>0</v>
      </c>
      <c r="J67" s="234">
        <v>0</v>
      </c>
      <c r="K67" s="234">
        <v>0</v>
      </c>
      <c r="L67" s="234">
        <v>0</v>
      </c>
      <c r="M67" s="234">
        <v>0</v>
      </c>
      <c r="N67" s="234">
        <v>0</v>
      </c>
      <c r="O67" s="234">
        <f>MCC_M_RUVY_matrices_mat_level!L124*MCC_h_RUVY_matrices_mat_level!L123 /MCC_MW_RUVY_matrices_mat_level!O57</f>
        <v>-6518321.9740549196</v>
      </c>
      <c r="P67" s="234">
        <f>MCC_M_RUVY_matrices_mat_level!M124*MCC_h_RUVY_matrices_mat_level!M123 /MCC_MW_RUVY_matrices_mat_level!P57</f>
        <v>-92800.199170167136</v>
      </c>
      <c r="Q67" s="234">
        <v>0</v>
      </c>
      <c r="R67" s="234">
        <v>0</v>
      </c>
      <c r="S67" s="234">
        <v>0</v>
      </c>
      <c r="T67" s="234">
        <v>0</v>
      </c>
      <c r="U67" s="234">
        <v>0</v>
      </c>
      <c r="V67" s="234">
        <v>0</v>
      </c>
      <c r="W67" s="234">
        <v>0</v>
      </c>
      <c r="X67" s="234">
        <v>0</v>
      </c>
      <c r="Y67" s="234">
        <v>0</v>
      </c>
      <c r="Z67" s="234">
        <v>0</v>
      </c>
      <c r="AA67" s="234">
        <v>0</v>
      </c>
      <c r="AB67" s="234">
        <v>0</v>
      </c>
      <c r="AC67" s="234">
        <v>0</v>
      </c>
      <c r="AD67" s="234">
        <v>0</v>
      </c>
      <c r="AE67" s="234">
        <v>0</v>
      </c>
      <c r="AF67" s="234">
        <v>0</v>
      </c>
      <c r="AG67" s="234">
        <v>0</v>
      </c>
      <c r="AH67" s="234">
        <v>0</v>
      </c>
      <c r="AI67" s="234">
        <v>0</v>
      </c>
      <c r="AJ67" s="234">
        <v>0</v>
      </c>
      <c r="AK67" s="234">
        <v>0</v>
      </c>
      <c r="AL67" s="234">
        <v>0</v>
      </c>
      <c r="AM67" s="234">
        <v>0</v>
      </c>
      <c r="AN67" s="234">
        <v>0</v>
      </c>
      <c r="AO67" s="234">
        <v>0</v>
      </c>
      <c r="AP67" s="248" t="e" vm="2">
        <f ca="1">SUM(F67:AO67)</f>
        <v>#VALUE!</v>
      </c>
      <c r="AQ67" s="14"/>
      <c r="AR67" s="14"/>
      <c r="AT67" s="249"/>
      <c r="AW67" s="249"/>
      <c r="AX67" s="249"/>
      <c r="AY67" s="249"/>
      <c r="AZ67" s="249"/>
      <c r="BA67" s="249"/>
      <c r="BB67" s="249"/>
      <c r="BC67" s="249"/>
      <c r="BD67" s="249"/>
      <c r="BE67" s="249"/>
      <c r="BF67" s="249"/>
      <c r="BG67" s="249"/>
      <c r="BH67" s="14"/>
      <c r="BI67" s="14"/>
      <c r="BJ67" s="14"/>
      <c r="BK67" s="14"/>
      <c r="BL67" s="14"/>
      <c r="BM67" s="249"/>
      <c r="BN67" s="249"/>
      <c r="BO67" s="14"/>
      <c r="BP67" s="14"/>
      <c r="BQ67" s="14"/>
    </row>
    <row r="68" spans="5:76" x14ac:dyDescent="0.2">
      <c r="E68" s="132" t="s">
        <v>326</v>
      </c>
      <c r="F68" s="234">
        <v>0</v>
      </c>
      <c r="G68" s="234">
        <v>0</v>
      </c>
      <c r="H68" s="234">
        <v>0</v>
      </c>
      <c r="I68" s="234">
        <v>0</v>
      </c>
      <c r="J68" s="234">
        <v>0</v>
      </c>
      <c r="K68" s="234">
        <v>0</v>
      </c>
      <c r="L68" s="234">
        <v>0</v>
      </c>
      <c r="M68" s="234">
        <v>0</v>
      </c>
      <c r="N68" s="234">
        <v>0</v>
      </c>
      <c r="O68" s="234">
        <v>0</v>
      </c>
      <c r="P68" s="234">
        <v>0</v>
      </c>
      <c r="Q68" s="234">
        <f>MCC_M_RUVY_matrices_mat_level!N125*MCC_h_RUVY_matrices_mat_level!N124 /MCC_MW_RUVY_matrices_mat_level!Q58</f>
        <v>-2526033.0144413249</v>
      </c>
      <c r="R68" s="234">
        <f>MCC_M_RUVY_matrices_mat_level!O125*MCC_h_RUVY_matrices_mat_level!O124 /MCC_MW_RUVY_matrices_mat_level!R58</f>
        <v>-278.40895638262924</v>
      </c>
      <c r="S68" s="234">
        <v>0</v>
      </c>
      <c r="T68" s="234">
        <v>0</v>
      </c>
      <c r="U68" s="234">
        <v>0</v>
      </c>
      <c r="V68" s="234">
        <v>0</v>
      </c>
      <c r="W68" s="234">
        <v>0</v>
      </c>
      <c r="X68" s="234">
        <v>0</v>
      </c>
      <c r="Y68" s="234">
        <v>0</v>
      </c>
      <c r="Z68" s="234">
        <v>0</v>
      </c>
      <c r="AA68" s="234">
        <v>0</v>
      </c>
      <c r="AB68" s="234">
        <v>0</v>
      </c>
      <c r="AC68" s="234">
        <v>0</v>
      </c>
      <c r="AD68" s="234">
        <v>0</v>
      </c>
      <c r="AE68" s="234">
        <v>0</v>
      </c>
      <c r="AF68" s="234">
        <v>0</v>
      </c>
      <c r="AG68" s="234">
        <v>0</v>
      </c>
      <c r="AH68" s="234">
        <v>0</v>
      </c>
      <c r="AI68" s="234">
        <v>0</v>
      </c>
      <c r="AJ68" s="234">
        <v>0</v>
      </c>
      <c r="AK68" s="234">
        <v>0</v>
      </c>
      <c r="AL68" s="234">
        <v>0</v>
      </c>
      <c r="AM68" s="234">
        <v>0</v>
      </c>
      <c r="AN68" s="234">
        <v>0</v>
      </c>
      <c r="AO68" s="234">
        <v>0</v>
      </c>
      <c r="AP68" s="248">
        <f>SUM(F68:AO68)</f>
        <v>-2526311.4233977073</v>
      </c>
      <c r="AQ68" s="14"/>
      <c r="AR68" s="14"/>
      <c r="AT68" s="249"/>
      <c r="AU68" s="132"/>
      <c r="AW68" s="249"/>
      <c r="AX68" s="249"/>
      <c r="AY68" s="249"/>
      <c r="AZ68" s="249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</row>
    <row r="69" spans="5:76" x14ac:dyDescent="0.2">
      <c r="E69" s="132" t="s">
        <v>327</v>
      </c>
      <c r="F69" s="234">
        <v>0</v>
      </c>
      <c r="G69" s="234">
        <v>0</v>
      </c>
      <c r="H69" s="234">
        <v>0</v>
      </c>
      <c r="I69" s="234">
        <v>0</v>
      </c>
      <c r="J69" s="234">
        <v>0</v>
      </c>
      <c r="K69" s="234">
        <v>0</v>
      </c>
      <c r="L69" s="234">
        <v>0</v>
      </c>
      <c r="M69" s="234">
        <v>0</v>
      </c>
      <c r="N69" s="234">
        <v>0</v>
      </c>
      <c r="O69" s="234">
        <v>0</v>
      </c>
      <c r="P69" s="234">
        <v>0</v>
      </c>
      <c r="Q69" s="234">
        <v>0</v>
      </c>
      <c r="R69" s="234">
        <v>0</v>
      </c>
      <c r="S69" s="234">
        <f>MCC_M_RUVY_matrices_mat_level!P126*MCC_h_RUVY_matrices_mat_level!P125 /MCC_MW_RUVY_matrices_mat_level!S59</f>
        <v>9977311.3783394694</v>
      </c>
      <c r="T69" s="234">
        <f>MCC_M_RUVY_matrices_mat_level!Q126*MCC_h_RUVY_matrices_mat_level!Q125 /MCC_MW_RUVY_matrices_mat_level!T59</f>
        <v>-22975.795924925475</v>
      </c>
      <c r="U69" s="234">
        <v>0</v>
      </c>
      <c r="V69" s="234">
        <v>0</v>
      </c>
      <c r="W69" s="234">
        <v>0</v>
      </c>
      <c r="X69" s="234">
        <v>0</v>
      </c>
      <c r="Y69" s="234">
        <v>0</v>
      </c>
      <c r="Z69" s="234">
        <v>0</v>
      </c>
      <c r="AA69" s="234">
        <v>0</v>
      </c>
      <c r="AB69" s="234">
        <v>0</v>
      </c>
      <c r="AC69" s="234">
        <v>0</v>
      </c>
      <c r="AD69" s="234">
        <v>0</v>
      </c>
      <c r="AE69" s="234">
        <v>0</v>
      </c>
      <c r="AF69" s="234">
        <v>0</v>
      </c>
      <c r="AG69" s="234">
        <v>0</v>
      </c>
      <c r="AH69" s="234">
        <v>0</v>
      </c>
      <c r="AI69" s="234">
        <v>0</v>
      </c>
      <c r="AJ69" s="234">
        <v>0</v>
      </c>
      <c r="AK69" s="234">
        <v>0</v>
      </c>
      <c r="AL69" s="234">
        <v>0</v>
      </c>
      <c r="AM69" s="234">
        <v>0</v>
      </c>
      <c r="AN69" s="234">
        <v>0</v>
      </c>
      <c r="AO69" s="234">
        <v>0</v>
      </c>
      <c r="AP69" s="248">
        <f>SUM(F69:AO69)</f>
        <v>9954335.5824145433</v>
      </c>
      <c r="AQ69" s="14"/>
      <c r="AR69" s="14"/>
      <c r="AT69" s="249"/>
      <c r="AU69" s="132"/>
      <c r="AW69" s="249"/>
      <c r="AX69" s="249"/>
      <c r="AY69" s="249"/>
      <c r="AZ69" s="249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</row>
    <row r="70" spans="5:76" x14ac:dyDescent="0.2">
      <c r="E70" s="132" t="s">
        <v>455</v>
      </c>
      <c r="F70" s="234">
        <v>0</v>
      </c>
      <c r="G70" s="234">
        <v>0</v>
      </c>
      <c r="H70" s="234">
        <v>0</v>
      </c>
      <c r="I70" s="234">
        <v>0</v>
      </c>
      <c r="J70" s="234">
        <v>0</v>
      </c>
      <c r="K70" s="234">
        <v>0</v>
      </c>
      <c r="L70" s="234">
        <v>0</v>
      </c>
      <c r="M70" s="234">
        <v>0</v>
      </c>
      <c r="N70" s="234">
        <v>0</v>
      </c>
      <c r="O70" s="234">
        <v>0</v>
      </c>
      <c r="P70" s="234">
        <v>0</v>
      </c>
      <c r="Q70" s="234">
        <v>0</v>
      </c>
      <c r="R70" s="234">
        <v>0</v>
      </c>
      <c r="S70" s="234">
        <v>0</v>
      </c>
      <c r="T70" s="234">
        <v>0</v>
      </c>
      <c r="U70" s="234">
        <f>MCC_M_RUVY_matrices_mat_level!R127*MCC_h_RUVY_matrices_mat_level!R126 /MCC_MW_RUVY_matrices_mat_level!U60</f>
        <v>-6518321.9740549196</v>
      </c>
      <c r="V70" s="234">
        <v>0</v>
      </c>
      <c r="W70" s="234">
        <v>0</v>
      </c>
      <c r="X70" s="234">
        <v>0</v>
      </c>
      <c r="Y70" s="234">
        <v>0</v>
      </c>
      <c r="Z70" s="234">
        <v>0</v>
      </c>
      <c r="AA70" s="234">
        <v>0</v>
      </c>
      <c r="AB70" s="234">
        <v>0</v>
      </c>
      <c r="AC70" s="234">
        <v>0</v>
      </c>
      <c r="AD70" s="234">
        <v>0</v>
      </c>
      <c r="AE70" s="234">
        <v>0</v>
      </c>
      <c r="AF70" s="234">
        <v>0</v>
      </c>
      <c r="AG70" s="234">
        <v>0</v>
      </c>
      <c r="AH70" s="234">
        <v>0</v>
      </c>
      <c r="AI70" s="234">
        <v>0</v>
      </c>
      <c r="AJ70" s="234">
        <v>0</v>
      </c>
      <c r="AK70" s="234">
        <v>0</v>
      </c>
      <c r="AL70" s="234">
        <v>0</v>
      </c>
      <c r="AM70" s="234">
        <v>0</v>
      </c>
      <c r="AN70" s="234">
        <v>0</v>
      </c>
      <c r="AO70" s="234">
        <v>0</v>
      </c>
      <c r="AP70" s="248">
        <f>SUM(F70:AO70)</f>
        <v>-6518321.9740549196</v>
      </c>
      <c r="AQ70" s="14"/>
      <c r="AR70" s="14"/>
      <c r="AS70" s="14"/>
      <c r="AT70" s="249"/>
      <c r="AU70" s="132"/>
      <c r="AW70" s="249"/>
      <c r="AX70" s="249"/>
      <c r="AY70" s="249"/>
      <c r="AZ70" s="249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</row>
    <row r="71" spans="5:76" x14ac:dyDescent="0.2">
      <c r="E71" s="132" t="s">
        <v>435</v>
      </c>
      <c r="F71" s="234">
        <v>0</v>
      </c>
      <c r="G71" s="234">
        <v>0</v>
      </c>
      <c r="H71" s="234">
        <v>0</v>
      </c>
      <c r="I71" s="234">
        <v>0</v>
      </c>
      <c r="J71" s="234">
        <v>0</v>
      </c>
      <c r="K71" s="234">
        <v>0</v>
      </c>
      <c r="L71" s="234">
        <v>0</v>
      </c>
      <c r="M71" s="234">
        <v>0</v>
      </c>
      <c r="N71" s="234">
        <v>0</v>
      </c>
      <c r="O71" s="234">
        <v>0</v>
      </c>
      <c r="P71" s="234">
        <v>0</v>
      </c>
      <c r="Q71" s="234">
        <v>0</v>
      </c>
      <c r="R71" s="234">
        <v>0</v>
      </c>
      <c r="S71" s="234">
        <v>0</v>
      </c>
      <c r="T71" s="234">
        <v>0</v>
      </c>
      <c r="U71" s="234">
        <v>0</v>
      </c>
      <c r="V71" s="234">
        <f>MCC_M_RUVY_matrices_mat_level!S128*MCC_h_RUVY_matrices_mat_level!S127 /MCC_MW_RUVY_matrices_mat_level!V61</f>
        <v>-2526033.0144413249</v>
      </c>
      <c r="W71" s="234">
        <v>0</v>
      </c>
      <c r="X71" s="234">
        <v>0</v>
      </c>
      <c r="Y71" s="234">
        <v>0</v>
      </c>
      <c r="Z71" s="234">
        <v>0</v>
      </c>
      <c r="AA71" s="234">
        <v>0</v>
      </c>
      <c r="AB71" s="234">
        <v>0</v>
      </c>
      <c r="AC71" s="234">
        <v>0</v>
      </c>
      <c r="AD71" s="234">
        <v>0</v>
      </c>
      <c r="AE71" s="234">
        <v>0</v>
      </c>
      <c r="AF71" s="234">
        <v>0</v>
      </c>
      <c r="AG71" s="234">
        <v>0</v>
      </c>
      <c r="AH71" s="234">
        <v>0</v>
      </c>
      <c r="AI71" s="234">
        <v>0</v>
      </c>
      <c r="AJ71" s="234">
        <v>0</v>
      </c>
      <c r="AK71" s="234">
        <v>0</v>
      </c>
      <c r="AL71" s="234">
        <v>0</v>
      </c>
      <c r="AM71" s="234">
        <v>0</v>
      </c>
      <c r="AN71" s="234">
        <v>0</v>
      </c>
      <c r="AO71" s="234">
        <v>0</v>
      </c>
      <c r="AP71" s="248">
        <f>SUM(F71:AO71)</f>
        <v>-2526033.0144413249</v>
      </c>
      <c r="AQ71" s="14"/>
      <c r="AR71" s="14"/>
      <c r="AS71" s="14"/>
      <c r="AT71" s="249"/>
      <c r="AU71" s="132"/>
      <c r="AW71" s="249"/>
      <c r="AX71" s="249"/>
      <c r="AY71" s="249"/>
      <c r="AZ71" s="249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</row>
    <row r="72" spans="5:76" x14ac:dyDescent="0.2">
      <c r="E72" s="132" t="s">
        <v>434</v>
      </c>
      <c r="F72" s="234">
        <v>0</v>
      </c>
      <c r="G72" s="234">
        <v>0</v>
      </c>
      <c r="H72" s="234">
        <v>0</v>
      </c>
      <c r="I72" s="234">
        <v>0</v>
      </c>
      <c r="J72" s="234">
        <v>0</v>
      </c>
      <c r="K72" s="234">
        <v>0</v>
      </c>
      <c r="L72" s="234">
        <v>0</v>
      </c>
      <c r="M72" s="234">
        <v>0</v>
      </c>
      <c r="N72" s="234">
        <v>0</v>
      </c>
      <c r="O72" s="234">
        <v>0</v>
      </c>
      <c r="P72" s="234">
        <v>0</v>
      </c>
      <c r="Q72" s="234">
        <v>0</v>
      </c>
      <c r="R72" s="234">
        <v>0</v>
      </c>
      <c r="S72" s="234">
        <v>0</v>
      </c>
      <c r="T72" s="234">
        <v>0</v>
      </c>
      <c r="U72" s="234">
        <v>0</v>
      </c>
      <c r="V72" s="234">
        <v>0</v>
      </c>
      <c r="W72" s="234">
        <f>MCC_M_RUVY_matrices_mat_level!T129*MCC_h_RUVY_matrices_mat_level!T128 /MCC_MW_RUVY_matrices_mat_level!W62</f>
        <v>9977311.3783394694</v>
      </c>
      <c r="X72" s="234">
        <v>0</v>
      </c>
      <c r="Y72" s="234">
        <v>0</v>
      </c>
      <c r="Z72" s="234">
        <v>0</v>
      </c>
      <c r="AA72" s="234">
        <v>0</v>
      </c>
      <c r="AB72" s="234">
        <v>0</v>
      </c>
      <c r="AC72" s="234">
        <v>0</v>
      </c>
      <c r="AD72" s="234">
        <v>0</v>
      </c>
      <c r="AE72" s="234">
        <v>0</v>
      </c>
      <c r="AF72" s="234">
        <v>0</v>
      </c>
      <c r="AG72" s="234">
        <v>0</v>
      </c>
      <c r="AH72" s="234">
        <v>0</v>
      </c>
      <c r="AI72" s="234">
        <v>0</v>
      </c>
      <c r="AJ72" s="234">
        <v>0</v>
      </c>
      <c r="AK72" s="234">
        <v>0</v>
      </c>
      <c r="AL72" s="234">
        <v>0</v>
      </c>
      <c r="AM72" s="234">
        <v>0</v>
      </c>
      <c r="AN72" s="234">
        <v>0</v>
      </c>
      <c r="AO72" s="234">
        <v>0</v>
      </c>
      <c r="AP72" s="248">
        <f>SUM(F72:AO72)</f>
        <v>9977311.3783394694</v>
      </c>
      <c r="AQ72" s="14"/>
      <c r="AR72" s="14"/>
      <c r="AS72" s="14"/>
      <c r="AT72" s="249"/>
      <c r="AU72" s="132"/>
      <c r="AW72" s="249"/>
      <c r="AX72" s="249"/>
      <c r="AY72" s="249"/>
      <c r="AZ72" s="249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</row>
    <row r="73" spans="5:76" x14ac:dyDescent="0.2">
      <c r="E73" s="132" t="s">
        <v>351</v>
      </c>
      <c r="F73" s="234">
        <v>0</v>
      </c>
      <c r="G73" s="234">
        <v>0</v>
      </c>
      <c r="H73" s="234">
        <v>0</v>
      </c>
      <c r="I73" s="234">
        <v>0</v>
      </c>
      <c r="J73" s="234">
        <v>0</v>
      </c>
      <c r="K73" s="234">
        <v>0</v>
      </c>
      <c r="L73" s="234">
        <v>0</v>
      </c>
      <c r="M73" s="234">
        <v>0</v>
      </c>
      <c r="N73" s="234">
        <v>0</v>
      </c>
      <c r="O73" s="234">
        <v>0</v>
      </c>
      <c r="P73" s="234">
        <v>0</v>
      </c>
      <c r="Q73" s="234">
        <v>0</v>
      </c>
      <c r="R73" s="234">
        <v>0</v>
      </c>
      <c r="S73" s="234">
        <v>0</v>
      </c>
      <c r="T73" s="234">
        <v>0</v>
      </c>
      <c r="U73" s="234">
        <v>0</v>
      </c>
      <c r="V73" s="234">
        <v>0</v>
      </c>
      <c r="W73" s="234">
        <v>0</v>
      </c>
      <c r="X73" s="234">
        <f>MCC_M_RUVY_matrices_mat_level!U130*MCC_h_RUVY_matrices_mat_level!U129 /MCC_MW_RUVY_matrices_mat_level!X63</f>
        <v>-6350200.1773318211</v>
      </c>
      <c r="Y73" s="234">
        <f>MCC_M_RUVY_matrices_mat_level!V130*MCC_h_RUVY_matrices_mat_level!V129 /MCC_MW_RUVY_matrices_mat_level!Y63</f>
        <v>-168121.79672309788</v>
      </c>
      <c r="Z73" s="234">
        <v>0</v>
      </c>
      <c r="AA73" s="234">
        <v>0</v>
      </c>
      <c r="AB73" s="234">
        <v>0</v>
      </c>
      <c r="AC73" s="234">
        <v>0</v>
      </c>
      <c r="AD73" s="234">
        <v>0</v>
      </c>
      <c r="AE73" s="234">
        <v>0</v>
      </c>
      <c r="AF73" s="234">
        <v>0</v>
      </c>
      <c r="AG73" s="234">
        <v>0</v>
      </c>
      <c r="AH73" s="234">
        <v>0</v>
      </c>
      <c r="AI73" s="234">
        <v>0</v>
      </c>
      <c r="AJ73" s="234">
        <v>0</v>
      </c>
      <c r="AK73" s="234">
        <v>0</v>
      </c>
      <c r="AL73" s="234">
        <v>0</v>
      </c>
      <c r="AM73" s="234">
        <v>0</v>
      </c>
      <c r="AN73" s="234">
        <v>0</v>
      </c>
      <c r="AO73" s="234">
        <v>0</v>
      </c>
      <c r="AP73" s="248">
        <f>SUM(F73:AO73)</f>
        <v>-6518321.9740549186</v>
      </c>
      <c r="AQ73" s="14"/>
      <c r="AR73" s="14"/>
      <c r="AS73" s="14"/>
      <c r="AT73" s="249"/>
      <c r="AU73" s="132"/>
      <c r="AW73" s="249"/>
      <c r="AX73" s="249"/>
      <c r="AY73" s="249"/>
      <c r="AZ73" s="249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</row>
    <row r="74" spans="5:76" x14ac:dyDescent="0.2">
      <c r="E74" s="132" t="s">
        <v>348</v>
      </c>
      <c r="F74" s="234">
        <v>0</v>
      </c>
      <c r="G74" s="234">
        <v>0</v>
      </c>
      <c r="H74" s="234">
        <v>0</v>
      </c>
      <c r="I74" s="234">
        <v>0</v>
      </c>
      <c r="J74" s="234">
        <v>0</v>
      </c>
      <c r="K74" s="234">
        <v>0</v>
      </c>
      <c r="L74" s="234">
        <v>0</v>
      </c>
      <c r="M74" s="234">
        <v>0</v>
      </c>
      <c r="N74" s="234">
        <v>0</v>
      </c>
      <c r="O74" s="234">
        <v>0</v>
      </c>
      <c r="P74" s="234">
        <v>0</v>
      </c>
      <c r="Q74" s="234">
        <v>0</v>
      </c>
      <c r="R74" s="234">
        <v>0</v>
      </c>
      <c r="S74" s="234">
        <v>0</v>
      </c>
      <c r="T74" s="234">
        <v>0</v>
      </c>
      <c r="U74" s="234">
        <v>0</v>
      </c>
      <c r="V74" s="234">
        <v>0</v>
      </c>
      <c r="W74" s="234">
        <v>0</v>
      </c>
      <c r="X74" s="234">
        <v>0</v>
      </c>
      <c r="Y74" s="234">
        <v>0</v>
      </c>
      <c r="Z74" s="234">
        <f>MCC_M_RUVY_matrices_mat_level!W131*MCC_h_RUVY_matrices_mat_level!W130 /MCC_MW_RUVY_matrices_mat_level!Z64</f>
        <v>-2526033.0144413249</v>
      </c>
      <c r="AA74" s="234">
        <v>0</v>
      </c>
      <c r="AB74" s="234">
        <v>0</v>
      </c>
      <c r="AC74" s="234">
        <v>0</v>
      </c>
      <c r="AD74" s="234">
        <v>0</v>
      </c>
      <c r="AE74" s="234">
        <v>0</v>
      </c>
      <c r="AF74" s="234">
        <v>0</v>
      </c>
      <c r="AG74" s="234">
        <v>0</v>
      </c>
      <c r="AH74" s="234">
        <v>0</v>
      </c>
      <c r="AI74" s="234">
        <v>0</v>
      </c>
      <c r="AJ74" s="234">
        <v>0</v>
      </c>
      <c r="AK74" s="234">
        <v>0</v>
      </c>
      <c r="AL74" s="234">
        <v>0</v>
      </c>
      <c r="AM74" s="234">
        <v>0</v>
      </c>
      <c r="AN74" s="234">
        <v>0</v>
      </c>
      <c r="AO74" s="234">
        <v>0</v>
      </c>
      <c r="AP74" s="248">
        <f>SUM(F74:AO74)</f>
        <v>-2526033.0144413249</v>
      </c>
      <c r="AQ74" s="14"/>
      <c r="AR74" s="14"/>
      <c r="AS74" s="14"/>
      <c r="AT74" s="249"/>
      <c r="AU74" s="132"/>
      <c r="AV74" s="21"/>
      <c r="AW74" s="249"/>
      <c r="AX74" s="249"/>
      <c r="AY74" s="249"/>
      <c r="AZ74" s="249"/>
      <c r="BA74" s="14"/>
      <c r="BB74" s="14"/>
      <c r="BC74" s="132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</row>
    <row r="75" spans="5:76" x14ac:dyDescent="0.2">
      <c r="E75" s="132" t="s">
        <v>362</v>
      </c>
      <c r="F75" s="234">
        <v>0</v>
      </c>
      <c r="G75" s="234">
        <v>0</v>
      </c>
      <c r="H75" s="234">
        <v>0</v>
      </c>
      <c r="I75" s="234">
        <v>0</v>
      </c>
      <c r="J75" s="234">
        <v>0</v>
      </c>
      <c r="K75" s="234">
        <v>0</v>
      </c>
      <c r="L75" s="234">
        <v>0</v>
      </c>
      <c r="M75" s="234">
        <v>0</v>
      </c>
      <c r="N75" s="234">
        <v>0</v>
      </c>
      <c r="O75" s="234">
        <v>0</v>
      </c>
      <c r="P75" s="234">
        <v>0</v>
      </c>
      <c r="Q75" s="234">
        <v>0</v>
      </c>
      <c r="R75" s="234">
        <v>0</v>
      </c>
      <c r="S75" s="234">
        <v>0</v>
      </c>
      <c r="T75" s="234">
        <v>0</v>
      </c>
      <c r="U75" s="234">
        <v>0</v>
      </c>
      <c r="V75" s="234">
        <v>0</v>
      </c>
      <c r="W75" s="234">
        <v>0</v>
      </c>
      <c r="X75" s="234">
        <v>0</v>
      </c>
      <c r="Y75" s="234">
        <v>0</v>
      </c>
      <c r="Z75" s="234">
        <v>0</v>
      </c>
      <c r="AA75" s="234">
        <f>MCC_M_RUVY_matrices_mat_level!X132*MCC_h_RUVY_matrices_mat_level!X131 /MCC_MW_RUVY_matrices_mat_level!AA65</f>
        <v>9977311.3783394694</v>
      </c>
      <c r="AB75" s="234">
        <v>0</v>
      </c>
      <c r="AC75" s="234">
        <v>0</v>
      </c>
      <c r="AD75" s="234">
        <v>0</v>
      </c>
      <c r="AE75" s="234">
        <v>0</v>
      </c>
      <c r="AF75" s="234">
        <v>0</v>
      </c>
      <c r="AG75" s="234">
        <v>0</v>
      </c>
      <c r="AH75" s="234">
        <v>0</v>
      </c>
      <c r="AI75" s="234">
        <v>0</v>
      </c>
      <c r="AJ75" s="234">
        <v>0</v>
      </c>
      <c r="AK75" s="234">
        <v>0</v>
      </c>
      <c r="AL75" s="234">
        <v>0</v>
      </c>
      <c r="AM75" s="234">
        <v>0</v>
      </c>
      <c r="AN75" s="234">
        <v>0</v>
      </c>
      <c r="AO75" s="234">
        <v>0</v>
      </c>
      <c r="AP75" s="248">
        <f>SUM(F75:AO75)</f>
        <v>9977311.3783394694</v>
      </c>
      <c r="AQ75" s="14"/>
      <c r="AR75" s="14"/>
      <c r="AS75" s="14"/>
      <c r="AT75" s="249"/>
      <c r="AU75" s="132"/>
      <c r="AV75" s="21"/>
      <c r="AW75" s="249"/>
      <c r="AX75" s="249"/>
      <c r="AY75" s="249"/>
      <c r="AZ75" s="249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</row>
    <row r="76" spans="5:76" x14ac:dyDescent="0.2">
      <c r="E76" s="132" t="s">
        <v>349</v>
      </c>
      <c r="F76" s="234">
        <v>0</v>
      </c>
      <c r="G76" s="234">
        <v>0</v>
      </c>
      <c r="H76" s="234">
        <v>0</v>
      </c>
      <c r="I76" s="234">
        <v>0</v>
      </c>
      <c r="J76" s="234">
        <v>0</v>
      </c>
      <c r="K76" s="234">
        <v>0</v>
      </c>
      <c r="L76" s="234">
        <v>0</v>
      </c>
      <c r="M76" s="234">
        <v>0</v>
      </c>
      <c r="N76" s="234">
        <v>0</v>
      </c>
      <c r="O76" s="234">
        <v>0</v>
      </c>
      <c r="P76" s="234">
        <v>0</v>
      </c>
      <c r="Q76" s="234">
        <v>0</v>
      </c>
      <c r="R76" s="234">
        <v>0</v>
      </c>
      <c r="S76" s="234">
        <v>0</v>
      </c>
      <c r="T76" s="234">
        <v>0</v>
      </c>
      <c r="U76" s="234">
        <v>0</v>
      </c>
      <c r="V76" s="234">
        <v>0</v>
      </c>
      <c r="W76" s="234">
        <v>0</v>
      </c>
      <c r="X76" s="234">
        <v>0</v>
      </c>
      <c r="Y76" s="234">
        <v>0</v>
      </c>
      <c r="Z76" s="234">
        <v>0</v>
      </c>
      <c r="AA76" s="234">
        <v>0</v>
      </c>
      <c r="AB76" s="234">
        <f>MCC_M_RUVY_matrices_mat_level!Y133*MCC_h_RUVY_matrices_mat_level!Y132 /MCC_MW_RUVY_matrices_mat_level!AB66</f>
        <v>-1256817.6045988721</v>
      </c>
      <c r="AC76" s="234">
        <f>MCC_M_RUVY_matrices_mat_level!Z133*MCC_h_RUVY_matrices_mat_level!Z132 /MCC_MW_RUVY_matrices_mat_level!AC66</f>
        <v>-74404.460335125405</v>
      </c>
      <c r="AD76" s="234">
        <f>MCC_M_RUVY_matrices_mat_level!AA133*MCC_h_RUVY_matrices_mat_level!AA132 /MCC_MW_RUVY_matrices_mat_level!AD66</f>
        <v>-2884953.3867341313</v>
      </c>
      <c r="AE76" s="234">
        <v>0</v>
      </c>
      <c r="AF76" s="234">
        <v>0</v>
      </c>
      <c r="AG76" s="234">
        <v>0</v>
      </c>
      <c r="AH76" s="234">
        <v>0</v>
      </c>
      <c r="AI76" s="234">
        <v>0</v>
      </c>
      <c r="AJ76" s="234">
        <v>0</v>
      </c>
      <c r="AK76" s="234">
        <v>0</v>
      </c>
      <c r="AL76" s="234">
        <v>0</v>
      </c>
      <c r="AM76" s="234">
        <v>0</v>
      </c>
      <c r="AN76" s="234">
        <v>0</v>
      </c>
      <c r="AO76" s="234">
        <v>0</v>
      </c>
      <c r="AP76" s="248">
        <f>SUM(F76:AO76)</f>
        <v>-4216175.4516681284</v>
      </c>
      <c r="AQ76" s="14"/>
      <c r="AR76" s="14"/>
      <c r="AS76" s="14"/>
      <c r="AT76" s="14"/>
      <c r="AU76" s="132"/>
      <c r="AV76" s="21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</row>
    <row r="77" spans="5:76" x14ac:dyDescent="0.2">
      <c r="E77" s="132" t="s">
        <v>344</v>
      </c>
      <c r="F77" s="234">
        <v>0</v>
      </c>
      <c r="G77" s="234">
        <v>0</v>
      </c>
      <c r="H77" s="234">
        <v>0</v>
      </c>
      <c r="I77" s="234">
        <v>0</v>
      </c>
      <c r="J77" s="234">
        <v>0</v>
      </c>
      <c r="K77" s="234">
        <v>0</v>
      </c>
      <c r="L77" s="234">
        <v>0</v>
      </c>
      <c r="M77" s="234">
        <v>0</v>
      </c>
      <c r="N77" s="234">
        <v>0</v>
      </c>
      <c r="O77" s="234">
        <v>0</v>
      </c>
      <c r="P77" s="234">
        <v>0</v>
      </c>
      <c r="Q77" s="234">
        <v>0</v>
      </c>
      <c r="R77" s="234">
        <v>0</v>
      </c>
      <c r="S77" s="234">
        <v>0</v>
      </c>
      <c r="T77" s="234">
        <v>0</v>
      </c>
      <c r="U77" s="234">
        <v>0</v>
      </c>
      <c r="V77" s="234">
        <v>0</v>
      </c>
      <c r="W77" s="234">
        <v>0</v>
      </c>
      <c r="X77" s="234">
        <v>0</v>
      </c>
      <c r="Y77" s="234">
        <v>0</v>
      </c>
      <c r="Z77" s="234">
        <v>0</v>
      </c>
      <c r="AA77" s="234">
        <v>0</v>
      </c>
      <c r="AB77" s="234">
        <v>0</v>
      </c>
      <c r="AC77" s="234">
        <v>0</v>
      </c>
      <c r="AD77" s="234">
        <v>0</v>
      </c>
      <c r="AE77" s="234">
        <f>(MCC_M_RUVY_matrices_mat_level!AB134*MCC_h_RUVY_matrices_mat_level!AB133) /MCC_MW_RUVY_matrices_mat_level!AE67</f>
        <v>6114656.4031687425</v>
      </c>
      <c r="AF77" s="234">
        <f>(MCC_M_RUVY_matrices_mat_level!AC134*MCC_h_RUVY_matrices_mat_level!AC133)/MCC_MW_RUVY_matrices_mat_level!AF67</f>
        <v>-79567.804564237085</v>
      </c>
      <c r="AG77" s="234">
        <f>(MCC_M_RUVY_matrices_mat_level!AD134*MCC_h_RUVY_matrices_mat_level!AD133) /MCC_MW_RUVY_matrices_mat_level!AG67</f>
        <v>-25124.733904286619</v>
      </c>
      <c r="AH77" s="234">
        <f>(MCC_M_RUVY_matrices_mat_level!AE134*MCC_h_RUVY_matrices_mat_level!AE133) /MCC_MW_RUVY_matrices_mat_level!AH67</f>
        <v>-341352.70961097698</v>
      </c>
      <c r="AI77" s="234">
        <f>(MCC_M_RUVY_matrices_mat_level!AF134*MCC_h_RUVY_matrices_mat_level!AF133) /MCC_MW_RUVY_matrices_mat_level!AI67</f>
        <v>-11160173.670095185</v>
      </c>
      <c r="AJ77" s="234">
        <v>0</v>
      </c>
      <c r="AK77" s="234">
        <v>0</v>
      </c>
      <c r="AL77" s="234">
        <v>0</v>
      </c>
      <c r="AM77" s="234">
        <v>0</v>
      </c>
      <c r="AN77" s="234">
        <v>0</v>
      </c>
      <c r="AO77" s="234">
        <v>0</v>
      </c>
      <c r="AP77" s="248">
        <f>SUM(F77:AO77)</f>
        <v>-5491562.5150059424</v>
      </c>
      <c r="AQ77" s="14"/>
      <c r="AR77" s="14"/>
      <c r="AS77" s="14"/>
      <c r="AT77" s="14"/>
      <c r="AU77" s="132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</row>
    <row r="78" spans="5:76" x14ac:dyDescent="0.2">
      <c r="E78" s="132" t="s">
        <v>514</v>
      </c>
      <c r="F78" s="234">
        <v>0</v>
      </c>
      <c r="G78" s="234">
        <v>0</v>
      </c>
      <c r="H78" s="234">
        <v>0</v>
      </c>
      <c r="I78" s="234">
        <v>0</v>
      </c>
      <c r="J78" s="234">
        <v>0</v>
      </c>
      <c r="K78" s="234">
        <v>0</v>
      </c>
      <c r="L78" s="234">
        <v>0</v>
      </c>
      <c r="M78" s="234">
        <v>0</v>
      </c>
      <c r="N78" s="234">
        <v>0</v>
      </c>
      <c r="O78" s="234">
        <v>0</v>
      </c>
      <c r="P78" s="234">
        <v>0</v>
      </c>
      <c r="Q78" s="234">
        <v>0</v>
      </c>
      <c r="R78" s="234">
        <v>0</v>
      </c>
      <c r="S78" s="234">
        <v>0</v>
      </c>
      <c r="T78" s="234">
        <v>0</v>
      </c>
      <c r="U78" s="234">
        <v>0</v>
      </c>
      <c r="V78" s="234">
        <v>0</v>
      </c>
      <c r="W78" s="234">
        <v>0</v>
      </c>
      <c r="X78" s="234">
        <v>0</v>
      </c>
      <c r="Y78" s="234">
        <v>0</v>
      </c>
      <c r="Z78" s="234">
        <v>0</v>
      </c>
      <c r="AA78" s="234">
        <v>0</v>
      </c>
      <c r="AB78" s="234">
        <v>0</v>
      </c>
      <c r="AC78" s="234">
        <v>0</v>
      </c>
      <c r="AD78" s="234">
        <v>0</v>
      </c>
      <c r="AE78" s="234">
        <v>0</v>
      </c>
      <c r="AF78" s="234">
        <v>0</v>
      </c>
      <c r="AG78" s="234">
        <v>0</v>
      </c>
      <c r="AH78" s="234">
        <v>0</v>
      </c>
      <c r="AI78" s="234">
        <v>0</v>
      </c>
      <c r="AJ78" s="234">
        <f>MCC_M_RUVY_matrices_mat_level!AG135*MCC_h_RUVY_matrices_mat_level!AG134 /MCC_MW_RUVY_matrices_mat_level!AJ68</f>
        <v>-67789.788088811649</v>
      </c>
      <c r="AK78" s="234">
        <v>0</v>
      </c>
      <c r="AL78" s="234">
        <v>0</v>
      </c>
      <c r="AM78" s="234">
        <v>0</v>
      </c>
      <c r="AN78" s="234">
        <v>0</v>
      </c>
      <c r="AO78" s="234">
        <v>0</v>
      </c>
      <c r="AP78" s="248">
        <f>SUM(F78:AO78)</f>
        <v>-67789.788088811649</v>
      </c>
      <c r="AQ78" s="14"/>
      <c r="AR78" s="14"/>
      <c r="AS78" s="14"/>
      <c r="AT78" s="14"/>
      <c r="AU78" s="132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</row>
    <row r="79" spans="5:76" x14ac:dyDescent="0.2">
      <c r="E79" s="132" t="s">
        <v>516</v>
      </c>
      <c r="F79" s="234">
        <v>0</v>
      </c>
      <c r="G79" s="234">
        <v>0</v>
      </c>
      <c r="H79" s="234">
        <v>0</v>
      </c>
      <c r="I79" s="234">
        <v>0</v>
      </c>
      <c r="J79" s="234">
        <v>0</v>
      </c>
      <c r="K79" s="234">
        <v>0</v>
      </c>
      <c r="L79" s="234">
        <v>0</v>
      </c>
      <c r="M79" s="234">
        <v>0</v>
      </c>
      <c r="N79" s="234">
        <v>0</v>
      </c>
      <c r="O79" s="234">
        <v>0</v>
      </c>
      <c r="P79" s="234">
        <v>0</v>
      </c>
      <c r="Q79" s="234">
        <v>0</v>
      </c>
      <c r="R79" s="234">
        <v>0</v>
      </c>
      <c r="S79" s="234">
        <v>0</v>
      </c>
      <c r="T79" s="234">
        <v>0</v>
      </c>
      <c r="U79" s="234">
        <v>0</v>
      </c>
      <c r="V79" s="234">
        <v>0</v>
      </c>
      <c r="W79" s="234">
        <v>0</v>
      </c>
      <c r="X79" s="234">
        <v>0</v>
      </c>
      <c r="Y79" s="234">
        <v>0</v>
      </c>
      <c r="Z79" s="234">
        <v>0</v>
      </c>
      <c r="AA79" s="234">
        <v>0</v>
      </c>
      <c r="AB79" s="234">
        <v>0</v>
      </c>
      <c r="AC79" s="234">
        <v>0</v>
      </c>
      <c r="AD79" s="234">
        <v>0</v>
      </c>
      <c r="AE79" s="234">
        <v>0</v>
      </c>
      <c r="AF79" s="234">
        <v>0</v>
      </c>
      <c r="AG79" s="234">
        <v>0</v>
      </c>
      <c r="AH79" s="234">
        <v>0</v>
      </c>
      <c r="AI79" s="234">
        <v>0</v>
      </c>
      <c r="AJ79" s="234">
        <v>0</v>
      </c>
      <c r="AK79" s="234">
        <f>MCC_M_RUVY_matrices_mat_level!AH136*MCC_h_RUVY_matrices_mat_level!AH135 /MCC_MW_RUVY_matrices_mat_level!AK69</f>
        <v>-67789.788088811649</v>
      </c>
      <c r="AL79" s="234">
        <v>0</v>
      </c>
      <c r="AM79" s="234">
        <v>0</v>
      </c>
      <c r="AN79" s="234">
        <v>0</v>
      </c>
      <c r="AO79" s="234">
        <v>0</v>
      </c>
      <c r="AP79" s="248">
        <f>SUM(F79:AO79)</f>
        <v>-67789.788088811649</v>
      </c>
      <c r="AQ79" s="14"/>
      <c r="AR79" s="14"/>
      <c r="AS79" s="14"/>
      <c r="AT79" s="14"/>
      <c r="AU79" s="132"/>
      <c r="AV79" s="21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</row>
    <row r="80" spans="5:76" x14ac:dyDescent="0.2">
      <c r="E80" s="132" t="s">
        <v>76</v>
      </c>
      <c r="F80" s="234">
        <v>0</v>
      </c>
      <c r="G80" s="234">
        <v>0</v>
      </c>
      <c r="H80" s="234">
        <v>0</v>
      </c>
      <c r="I80" s="234">
        <v>0</v>
      </c>
      <c r="J80" s="234">
        <v>0</v>
      </c>
      <c r="K80" s="234">
        <v>0</v>
      </c>
      <c r="L80" s="234">
        <v>0</v>
      </c>
      <c r="M80" s="234">
        <v>0</v>
      </c>
      <c r="N80" s="234">
        <v>0</v>
      </c>
      <c r="O80" s="234">
        <v>0</v>
      </c>
      <c r="P80" s="234">
        <v>0</v>
      </c>
      <c r="Q80" s="234">
        <v>0</v>
      </c>
      <c r="R80" s="234">
        <v>0</v>
      </c>
      <c r="S80" s="234">
        <v>0</v>
      </c>
      <c r="T80" s="234">
        <v>0</v>
      </c>
      <c r="U80" s="234">
        <v>0</v>
      </c>
      <c r="V80" s="234">
        <v>0</v>
      </c>
      <c r="W80" s="234">
        <v>0</v>
      </c>
      <c r="X80" s="234">
        <v>0</v>
      </c>
      <c r="Y80" s="234">
        <v>0</v>
      </c>
      <c r="Z80" s="234">
        <v>0</v>
      </c>
      <c r="AA80" s="234">
        <v>0</v>
      </c>
      <c r="AB80" s="234">
        <v>0</v>
      </c>
      <c r="AC80" s="234">
        <v>0</v>
      </c>
      <c r="AD80" s="234">
        <v>0</v>
      </c>
      <c r="AE80" s="234">
        <v>0</v>
      </c>
      <c r="AF80" s="234">
        <v>0</v>
      </c>
      <c r="AG80" s="234">
        <v>0</v>
      </c>
      <c r="AH80" s="234">
        <v>0</v>
      </c>
      <c r="AI80" s="234">
        <v>0</v>
      </c>
      <c r="AJ80" s="234">
        <v>0</v>
      </c>
      <c r="AK80" s="234">
        <v>0</v>
      </c>
      <c r="AL80" s="234">
        <f>MCC_M_RUVY_matrices_mat_level!AI137*MCC_h_RUVY_matrices_mat_level!AI136 /MCC_MW_RUVY_matrices_mat_level!AL70</f>
        <v>-1492361.3787619506</v>
      </c>
      <c r="AM80" s="234">
        <v>0</v>
      </c>
      <c r="AN80" s="234">
        <v>0</v>
      </c>
      <c r="AO80" s="234">
        <v>0</v>
      </c>
      <c r="AP80" s="248">
        <f>SUM(F80:AO80)</f>
        <v>-1492361.3787619506</v>
      </c>
      <c r="AQ80" s="14"/>
      <c r="AR80" s="14"/>
      <c r="AS80" s="14"/>
      <c r="AT80" s="14"/>
      <c r="AU80" s="132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</row>
    <row r="81" spans="5:76" x14ac:dyDescent="0.2">
      <c r="E81" s="132" t="s">
        <v>337</v>
      </c>
      <c r="F81" s="234">
        <v>0</v>
      </c>
      <c r="G81" s="234">
        <v>0</v>
      </c>
      <c r="H81" s="234">
        <v>0</v>
      </c>
      <c r="I81" s="234">
        <v>0</v>
      </c>
      <c r="J81" s="234">
        <v>0</v>
      </c>
      <c r="K81" s="234">
        <v>0</v>
      </c>
      <c r="L81" s="234">
        <v>0</v>
      </c>
      <c r="M81" s="234">
        <v>0</v>
      </c>
      <c r="N81" s="234">
        <v>0</v>
      </c>
      <c r="O81" s="234">
        <v>0</v>
      </c>
      <c r="P81" s="234">
        <v>0</v>
      </c>
      <c r="Q81" s="234">
        <v>0</v>
      </c>
      <c r="R81" s="234">
        <v>0</v>
      </c>
      <c r="S81" s="234">
        <v>0</v>
      </c>
      <c r="T81" s="234">
        <v>0</v>
      </c>
      <c r="U81" s="234">
        <v>0</v>
      </c>
      <c r="V81" s="234">
        <v>0</v>
      </c>
      <c r="W81" s="234">
        <v>0</v>
      </c>
      <c r="X81" s="234">
        <v>0</v>
      </c>
      <c r="Y81" s="234">
        <v>0</v>
      </c>
      <c r="Z81" s="234">
        <v>0</v>
      </c>
      <c r="AA81" s="234">
        <v>0</v>
      </c>
      <c r="AB81" s="234">
        <v>0</v>
      </c>
      <c r="AC81" s="234">
        <v>0</v>
      </c>
      <c r="AD81" s="234">
        <v>0</v>
      </c>
      <c r="AE81" s="234">
        <v>0</v>
      </c>
      <c r="AF81" s="234">
        <v>0</v>
      </c>
      <c r="AG81" s="234">
        <v>0</v>
      </c>
      <c r="AH81" s="234">
        <v>0</v>
      </c>
      <c r="AI81" s="234">
        <v>0</v>
      </c>
      <c r="AJ81" s="234">
        <v>0</v>
      </c>
      <c r="AK81" s="234">
        <v>0</v>
      </c>
      <c r="AL81" s="234">
        <v>0</v>
      </c>
      <c r="AM81" s="234">
        <f>MCC_M_RUVY_matrices_mat_level!AJ138*MCC_h_RUVY_matrices_mat_level!AJ137 /MCC_MW_RUVY_matrices_mat_level!AM71</f>
        <v>0</v>
      </c>
      <c r="AN81" s="234">
        <f>MCC_M_RUVY_matrices_mat_level!AK138*MCC_h_RUVY_matrices_mat_level!AK137 /MCC_MW_RUVY_matrices_mat_level!AN71</f>
        <v>-12244393.644879689</v>
      </c>
      <c r="AO81" s="234">
        <f>MCC_M_RUVY_matrices_mat_level!AL138*MCC_h_RUVY_matrices_mat_level!AL137 /MCC_MW_RUVY_matrices_mat_level!AO71</f>
        <v>-177387.6603372262</v>
      </c>
      <c r="AP81" s="248">
        <f>SUM(F81:AO81)</f>
        <v>-12421781.305216916</v>
      </c>
      <c r="AQ81" s="14"/>
      <c r="AR81" s="14"/>
      <c r="AS81" s="14"/>
      <c r="AT81" s="14"/>
      <c r="AU81" s="132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</row>
    <row r="82" spans="5:76" x14ac:dyDescent="0.2">
      <c r="E82" s="132"/>
      <c r="F82" s="382" t="s">
        <v>329</v>
      </c>
      <c r="G82" s="382"/>
      <c r="H82" s="382"/>
      <c r="I82" s="382"/>
      <c r="J82" s="382"/>
      <c r="K82" s="382"/>
      <c r="L82" s="382"/>
      <c r="M82" s="382"/>
      <c r="N82" s="382"/>
      <c r="O82" s="382"/>
      <c r="P82" s="382"/>
      <c r="Q82" s="382"/>
      <c r="R82" s="382"/>
      <c r="S82" s="382"/>
      <c r="T82" s="382"/>
      <c r="U82" s="382"/>
      <c r="V82" s="382"/>
      <c r="W82" s="382"/>
      <c r="X82" s="382"/>
      <c r="Y82" s="382"/>
      <c r="Z82" s="382"/>
      <c r="AA82" s="382"/>
      <c r="AB82" s="382"/>
      <c r="AC82" s="382"/>
      <c r="AD82" s="382"/>
      <c r="AE82" s="382"/>
      <c r="AF82" s="382"/>
      <c r="AG82" s="382"/>
      <c r="AH82" s="382"/>
      <c r="AI82" s="382"/>
      <c r="AJ82" s="382"/>
      <c r="AK82" s="382"/>
      <c r="AL82" s="382"/>
      <c r="AM82" s="382"/>
      <c r="AN82" s="382"/>
      <c r="AO82" s="382"/>
      <c r="AP82" s="249" t="s">
        <v>365</v>
      </c>
      <c r="AQ82" s="435"/>
      <c r="AR82" s="435"/>
      <c r="AS82" s="435"/>
      <c r="AT82" s="435"/>
      <c r="AU82" s="435"/>
      <c r="AV82" s="435"/>
      <c r="AW82" s="435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</row>
    <row r="83" spans="5:76" x14ac:dyDescent="0.2">
      <c r="E83" s="132"/>
      <c r="F83" s="248" t="e" vm="2">
        <f ca="1">SUM(F67:F81)</f>
        <v>#VALUE!</v>
      </c>
      <c r="G83" s="248">
        <f t="shared" ref="G83:AO83" si="1">SUM(G67:G81)</f>
        <v>0</v>
      </c>
      <c r="H83" s="248">
        <f t="shared" si="1"/>
        <v>0</v>
      </c>
      <c r="I83" s="248">
        <f t="shared" si="1"/>
        <v>0</v>
      </c>
      <c r="J83" s="248">
        <f t="shared" si="1"/>
        <v>0</v>
      </c>
      <c r="K83" s="248">
        <f t="shared" si="1"/>
        <v>0</v>
      </c>
      <c r="L83" s="248">
        <f t="shared" si="1"/>
        <v>0</v>
      </c>
      <c r="M83" s="248">
        <f t="shared" si="1"/>
        <v>0</v>
      </c>
      <c r="N83" s="248">
        <f t="shared" si="1"/>
        <v>0</v>
      </c>
      <c r="O83" s="248">
        <f t="shared" si="1"/>
        <v>-6518321.9740549196</v>
      </c>
      <c r="P83" s="248">
        <f t="shared" si="1"/>
        <v>-92800.199170167136</v>
      </c>
      <c r="Q83" s="248">
        <f t="shared" si="1"/>
        <v>-2526033.0144413249</v>
      </c>
      <c r="R83" s="248">
        <f t="shared" si="1"/>
        <v>-278.40895638262924</v>
      </c>
      <c r="S83" s="248">
        <f t="shared" si="1"/>
        <v>9977311.3783394694</v>
      </c>
      <c r="T83" s="248">
        <f t="shared" si="1"/>
        <v>-22975.795924925475</v>
      </c>
      <c r="U83" s="248">
        <f t="shared" si="1"/>
        <v>-6518321.9740549196</v>
      </c>
      <c r="V83" s="248">
        <f t="shared" si="1"/>
        <v>-2526033.0144413249</v>
      </c>
      <c r="W83" s="248">
        <f t="shared" si="1"/>
        <v>9977311.3783394694</v>
      </c>
      <c r="X83" s="248">
        <f t="shared" si="1"/>
        <v>-6350200.1773318211</v>
      </c>
      <c r="Y83" s="248">
        <f t="shared" si="1"/>
        <v>-168121.79672309788</v>
      </c>
      <c r="Z83" s="248">
        <f t="shared" si="1"/>
        <v>-2526033.0144413249</v>
      </c>
      <c r="AA83" s="248">
        <f t="shared" si="1"/>
        <v>9977311.3783394694</v>
      </c>
      <c r="AB83" s="248">
        <f t="shared" si="1"/>
        <v>-1256817.6045988721</v>
      </c>
      <c r="AC83" s="248">
        <f t="shared" si="1"/>
        <v>-74404.460335125405</v>
      </c>
      <c r="AD83" s="248">
        <f t="shared" si="1"/>
        <v>-2884953.3867341313</v>
      </c>
      <c r="AE83" s="248">
        <f t="shared" si="1"/>
        <v>6114656.4031687425</v>
      </c>
      <c r="AF83" s="248">
        <f t="shared" si="1"/>
        <v>-79567.804564237085</v>
      </c>
      <c r="AG83" s="248">
        <f t="shared" si="1"/>
        <v>-25124.733904286619</v>
      </c>
      <c r="AH83" s="248">
        <f t="shared" si="1"/>
        <v>-341352.70961097698</v>
      </c>
      <c r="AI83" s="248">
        <f t="shared" si="1"/>
        <v>-11160173.670095185</v>
      </c>
      <c r="AJ83" s="248">
        <f t="shared" si="1"/>
        <v>-67789.788088811649</v>
      </c>
      <c r="AK83" s="248">
        <f t="shared" si="1"/>
        <v>-67789.788088811649</v>
      </c>
      <c r="AL83" s="248">
        <f t="shared" si="1"/>
        <v>-1492361.3787619506</v>
      </c>
      <c r="AM83" s="248">
        <f t="shared" si="1"/>
        <v>0</v>
      </c>
      <c r="AN83" s="248">
        <f t="shared" si="1"/>
        <v>-12244393.644879689</v>
      </c>
      <c r="AO83" s="248">
        <f t="shared" si="1"/>
        <v>-177387.6603372262</v>
      </c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</row>
    <row r="84" spans="5:76" x14ac:dyDescent="0.2">
      <c r="E84" s="132"/>
      <c r="F84" s="382" t="s">
        <v>366</v>
      </c>
      <c r="G84" s="382"/>
      <c r="H84" s="382"/>
      <c r="I84" s="382"/>
      <c r="J84" s="382"/>
      <c r="K84" s="382"/>
      <c r="L84" s="382"/>
      <c r="M84" s="382"/>
      <c r="N84" s="382"/>
      <c r="O84" s="382"/>
      <c r="P84" s="382"/>
      <c r="Q84" s="382"/>
      <c r="R84" s="382"/>
      <c r="S84" s="382"/>
      <c r="T84" s="382"/>
      <c r="U84" s="382"/>
      <c r="V84" s="382"/>
      <c r="W84" s="382"/>
      <c r="X84" s="382"/>
      <c r="Y84" s="382"/>
      <c r="Z84" s="382"/>
      <c r="AA84" s="382"/>
      <c r="AB84" s="382"/>
      <c r="AC84" s="382"/>
      <c r="AD84" s="382"/>
      <c r="AE84" s="382"/>
      <c r="AF84" s="382"/>
      <c r="AG84" s="382"/>
      <c r="AH84" s="382"/>
      <c r="AI84" s="382"/>
      <c r="AJ84" s="382"/>
      <c r="AK84" s="382"/>
      <c r="AL84" s="382"/>
      <c r="AM84" s="382"/>
      <c r="AN84" s="382"/>
      <c r="AO84" s="382"/>
      <c r="AP84" s="382"/>
      <c r="AQ84" s="382"/>
      <c r="AR84" s="382"/>
      <c r="AS84" s="382"/>
      <c r="AT84" s="382"/>
      <c r="AU84" s="382"/>
      <c r="AV84" s="382"/>
      <c r="AW84" s="382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</row>
    <row r="85" spans="5:76" x14ac:dyDescent="0.2">
      <c r="E85" s="132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</row>
    <row r="86" spans="5:76" x14ac:dyDescent="0.2">
      <c r="E86" s="132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</row>
    <row r="87" spans="5:76" x14ac:dyDescent="0.2">
      <c r="E87" s="132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</row>
    <row r="88" spans="5:76" x14ac:dyDescent="0.2">
      <c r="E88" s="132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</row>
    <row r="89" spans="5:76" x14ac:dyDescent="0.2">
      <c r="E89" s="132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</row>
    <row r="90" spans="5:76" x14ac:dyDescent="0.2">
      <c r="E90" s="132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</row>
    <row r="91" spans="5:76" x14ac:dyDescent="0.2">
      <c r="E91" s="132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</row>
    <row r="92" spans="5:76" x14ac:dyDescent="0.2">
      <c r="E92" s="132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</row>
    <row r="93" spans="5:76" ht="236" customHeight="1" x14ac:dyDescent="0.2">
      <c r="E93" s="132"/>
      <c r="F93" s="231" t="s">
        <v>333</v>
      </c>
      <c r="G93" s="231" t="s">
        <v>335</v>
      </c>
      <c r="H93" s="231" t="s">
        <v>336</v>
      </c>
      <c r="I93" s="231" t="s">
        <v>355</v>
      </c>
      <c r="J93" s="231" t="s">
        <v>377</v>
      </c>
      <c r="K93" s="231" t="s">
        <v>466</v>
      </c>
      <c r="L93" s="231" t="s">
        <v>467</v>
      </c>
      <c r="M93" s="231" t="s">
        <v>411</v>
      </c>
      <c r="N93" s="231" t="s">
        <v>459</v>
      </c>
      <c r="O93" s="232" t="s">
        <v>442</v>
      </c>
      <c r="P93" s="231" t="s">
        <v>409</v>
      </c>
      <c r="Q93" s="232" t="s">
        <v>412</v>
      </c>
      <c r="R93" s="231" t="s">
        <v>437</v>
      </c>
      <c r="S93" s="233" t="s">
        <v>430</v>
      </c>
      <c r="T93" s="231" t="s">
        <v>416</v>
      </c>
      <c r="U93" s="232" t="s">
        <v>441</v>
      </c>
      <c r="V93" s="232" t="s">
        <v>436</v>
      </c>
      <c r="W93" s="232" t="s">
        <v>433</v>
      </c>
      <c r="X93" s="232" t="s">
        <v>439</v>
      </c>
      <c r="Y93" s="233" t="s">
        <v>438</v>
      </c>
      <c r="Z93" s="233" t="s">
        <v>424</v>
      </c>
      <c r="AA93" s="233" t="s">
        <v>456</v>
      </c>
      <c r="AB93" s="233" t="s">
        <v>425</v>
      </c>
      <c r="AC93" s="233" t="s">
        <v>427</v>
      </c>
      <c r="AD93" s="233" t="s">
        <v>426</v>
      </c>
      <c r="AE93" s="233" t="s">
        <v>484</v>
      </c>
      <c r="AF93" s="235" t="s">
        <v>422</v>
      </c>
      <c r="AG93" s="235" t="s">
        <v>552</v>
      </c>
      <c r="AH93" s="233" t="s">
        <v>421</v>
      </c>
      <c r="AI93" s="231" t="s">
        <v>423</v>
      </c>
      <c r="AJ93" s="233" t="s">
        <v>515</v>
      </c>
      <c r="AK93" s="233" t="s">
        <v>517</v>
      </c>
      <c r="AL93" s="233" t="s">
        <v>445</v>
      </c>
      <c r="AM93" s="233" t="s">
        <v>446</v>
      </c>
      <c r="AN93" s="233" t="s">
        <v>447</v>
      </c>
      <c r="AO93" s="233" t="s">
        <v>457</v>
      </c>
      <c r="AP93" s="233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</row>
    <row r="94" spans="5:76" x14ac:dyDescent="0.2">
      <c r="E94" s="132" t="s">
        <v>332</v>
      </c>
      <c r="F94" s="265" t="e" cm="1" vm="5">
        <f t="array" aca="1" ref="F94" ca="1">(MCC_M_RUVY_matrices_mat_level!C153:AL161*MCC_h_RUVY_matrices_mat_level!C152:AL160) / MCC_MW_RUVY_matrices_mat_level!F84:AO92</f>
        <v>#VALUE!</v>
      </c>
      <c r="G94" s="265">
        <v>0</v>
      </c>
      <c r="H94" s="265">
        <v>0</v>
      </c>
      <c r="I94" s="265">
        <v>0</v>
      </c>
      <c r="J94" s="265">
        <v>0</v>
      </c>
      <c r="K94" s="265">
        <v>0</v>
      </c>
      <c r="L94" s="265">
        <v>0</v>
      </c>
      <c r="M94" s="265">
        <v>0</v>
      </c>
      <c r="N94" s="265">
        <v>0</v>
      </c>
      <c r="O94" s="265">
        <v>0</v>
      </c>
      <c r="P94" s="265">
        <v>0</v>
      </c>
      <c r="Q94" s="265">
        <v>0</v>
      </c>
      <c r="R94" s="265">
        <v>0</v>
      </c>
      <c r="S94" s="265">
        <v>0</v>
      </c>
      <c r="T94" s="265">
        <v>0</v>
      </c>
      <c r="U94" s="265">
        <v>0</v>
      </c>
      <c r="V94" s="265">
        <v>0</v>
      </c>
      <c r="W94" s="265">
        <v>0</v>
      </c>
      <c r="X94" s="265">
        <v>0</v>
      </c>
      <c r="Y94" s="265">
        <v>0</v>
      </c>
      <c r="Z94" s="265">
        <v>0</v>
      </c>
      <c r="AA94" s="265">
        <v>0</v>
      </c>
      <c r="AB94" s="265">
        <v>0</v>
      </c>
      <c r="AC94" s="265">
        <v>0</v>
      </c>
      <c r="AD94" s="265">
        <v>0</v>
      </c>
      <c r="AE94" s="265">
        <v>0</v>
      </c>
      <c r="AF94" s="265">
        <v>0</v>
      </c>
      <c r="AG94" s="265">
        <v>0</v>
      </c>
      <c r="AH94" s="265">
        <v>0</v>
      </c>
      <c r="AI94" s="265">
        <v>0</v>
      </c>
      <c r="AJ94" s="265">
        <v>0</v>
      </c>
      <c r="AK94" s="265">
        <v>0</v>
      </c>
      <c r="AL94" s="265">
        <v>0</v>
      </c>
      <c r="AM94" s="265">
        <v>0</v>
      </c>
      <c r="AN94" s="265">
        <v>0</v>
      </c>
      <c r="AO94" s="265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</row>
    <row r="95" spans="5:76" ht="16" customHeight="1" x14ac:dyDescent="0.2">
      <c r="E95" s="229" t="s">
        <v>413</v>
      </c>
      <c r="F95" s="265">
        <v>0</v>
      </c>
      <c r="G95" s="265">
        <f>MCC_M_RUVY_matrices_mat_level!D154*MCC_h_RUVY_matrices_mat_level!D153 / MCC_MW_RUVY_matrices_mat_level!G85</f>
        <v>-2526033.0144413249</v>
      </c>
      <c r="H95" s="265">
        <v>0</v>
      </c>
      <c r="I95" s="265">
        <v>0</v>
      </c>
      <c r="J95" s="265">
        <v>0</v>
      </c>
      <c r="K95" s="265">
        <v>0</v>
      </c>
      <c r="L95" s="265">
        <v>0</v>
      </c>
      <c r="M95" s="265">
        <v>0</v>
      </c>
      <c r="N95" s="265">
        <v>0</v>
      </c>
      <c r="O95" s="265">
        <v>0</v>
      </c>
      <c r="P95" s="265">
        <v>0</v>
      </c>
      <c r="Q95" s="265">
        <v>0</v>
      </c>
      <c r="R95" s="265">
        <v>0</v>
      </c>
      <c r="S95" s="265">
        <v>0</v>
      </c>
      <c r="T95" s="265">
        <v>0</v>
      </c>
      <c r="U95" s="265">
        <v>0</v>
      </c>
      <c r="V95" s="265">
        <v>0</v>
      </c>
      <c r="W95" s="265">
        <v>0</v>
      </c>
      <c r="X95" s="265">
        <v>0</v>
      </c>
      <c r="Y95" s="265">
        <v>0</v>
      </c>
      <c r="Z95" s="265">
        <v>0</v>
      </c>
      <c r="AA95" s="265">
        <v>0</v>
      </c>
      <c r="AB95" s="265">
        <v>0</v>
      </c>
      <c r="AC95" s="265">
        <v>0</v>
      </c>
      <c r="AD95" s="265">
        <v>0</v>
      </c>
      <c r="AE95" s="265">
        <v>0</v>
      </c>
      <c r="AF95" s="265">
        <v>0</v>
      </c>
      <c r="AG95" s="265">
        <v>0</v>
      </c>
      <c r="AH95" s="265">
        <v>0</v>
      </c>
      <c r="AI95" s="265">
        <v>0</v>
      </c>
      <c r="AJ95" s="265">
        <v>0</v>
      </c>
      <c r="AK95" s="265">
        <v>0</v>
      </c>
      <c r="AL95" s="265">
        <v>0</v>
      </c>
      <c r="AM95" s="265">
        <v>0</v>
      </c>
      <c r="AN95" s="265">
        <v>0</v>
      </c>
      <c r="AO95" s="265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</row>
    <row r="96" spans="5:76" x14ac:dyDescent="0.2">
      <c r="E96" s="230" t="s">
        <v>356</v>
      </c>
      <c r="F96" s="265">
        <v>0</v>
      </c>
      <c r="G96" s="265">
        <v>0</v>
      </c>
      <c r="H96" s="265">
        <f>MCC_M_RUVY_matrices_mat_level!E155*MCC_h_RUVY_matrices_mat_level!E154 / MCC_MW_RUVY_matrices_mat_level!H86</f>
        <v>9977311.3783394694</v>
      </c>
      <c r="I96" s="265">
        <v>0</v>
      </c>
      <c r="J96" s="265">
        <v>0</v>
      </c>
      <c r="K96" s="265">
        <v>0</v>
      </c>
      <c r="L96" s="265">
        <v>0</v>
      </c>
      <c r="M96" s="265">
        <v>0</v>
      </c>
      <c r="N96" s="265">
        <v>0</v>
      </c>
      <c r="O96" s="265">
        <v>0</v>
      </c>
      <c r="P96" s="265">
        <v>0</v>
      </c>
      <c r="Q96" s="265">
        <v>0</v>
      </c>
      <c r="R96" s="265">
        <v>0</v>
      </c>
      <c r="S96" s="265">
        <v>0</v>
      </c>
      <c r="T96" s="265">
        <v>0</v>
      </c>
      <c r="U96" s="265">
        <v>0</v>
      </c>
      <c r="V96" s="265">
        <v>0</v>
      </c>
      <c r="W96" s="265">
        <v>0</v>
      </c>
      <c r="X96" s="265">
        <v>0</v>
      </c>
      <c r="Y96" s="265">
        <v>0</v>
      </c>
      <c r="Z96" s="265">
        <v>0</v>
      </c>
      <c r="AA96" s="265">
        <v>0</v>
      </c>
      <c r="AB96" s="265">
        <v>0</v>
      </c>
      <c r="AC96" s="265">
        <v>0</v>
      </c>
      <c r="AD96" s="265">
        <v>0</v>
      </c>
      <c r="AE96" s="265">
        <v>0</v>
      </c>
      <c r="AF96" s="265">
        <v>0</v>
      </c>
      <c r="AG96" s="265">
        <v>0</v>
      </c>
      <c r="AH96" s="265">
        <v>0</v>
      </c>
      <c r="AI96" s="265">
        <v>0</v>
      </c>
      <c r="AJ96" s="265">
        <v>0</v>
      </c>
      <c r="AK96" s="265">
        <v>0</v>
      </c>
      <c r="AL96" s="265">
        <v>0</v>
      </c>
      <c r="AM96" s="265">
        <v>0</v>
      </c>
      <c r="AN96" s="265">
        <v>0</v>
      </c>
      <c r="AO96" s="265">
        <v>0</v>
      </c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J96" s="14"/>
      <c r="BK96" s="14"/>
      <c r="BL96" s="14"/>
    </row>
    <row r="97" spans="5:52" x14ac:dyDescent="0.2">
      <c r="E97" s="132" t="s">
        <v>380</v>
      </c>
      <c r="F97" s="265">
        <v>0</v>
      </c>
      <c r="G97" s="265">
        <v>0</v>
      </c>
      <c r="H97" s="265">
        <v>0</v>
      </c>
      <c r="I97" s="265">
        <f>MCC_M_RUVY_matrices_mat_level!F156*MCC_h_RUVY_matrices_mat_level!F155 / MCC_MW_RUVY_matrices_mat_level!I87</f>
        <v>0</v>
      </c>
      <c r="J97" s="265">
        <v>0</v>
      </c>
      <c r="K97" s="265">
        <v>0</v>
      </c>
      <c r="L97" s="265">
        <v>0</v>
      </c>
      <c r="M97" s="265">
        <v>0</v>
      </c>
      <c r="N97" s="265">
        <v>0</v>
      </c>
      <c r="O97" s="265">
        <v>0</v>
      </c>
      <c r="P97" s="265">
        <v>0</v>
      </c>
      <c r="Q97" s="265">
        <v>0</v>
      </c>
      <c r="R97" s="265">
        <v>0</v>
      </c>
      <c r="S97" s="265">
        <v>0</v>
      </c>
      <c r="T97" s="265">
        <v>0</v>
      </c>
      <c r="U97" s="265">
        <v>0</v>
      </c>
      <c r="V97" s="265">
        <v>0</v>
      </c>
      <c r="W97" s="265">
        <v>0</v>
      </c>
      <c r="X97" s="265">
        <v>0</v>
      </c>
      <c r="Y97" s="265">
        <v>0</v>
      </c>
      <c r="Z97" s="265">
        <v>0</v>
      </c>
      <c r="AA97" s="265">
        <v>0</v>
      </c>
      <c r="AB97" s="265">
        <v>0</v>
      </c>
      <c r="AC97" s="265">
        <v>0</v>
      </c>
      <c r="AD97" s="265">
        <v>0</v>
      </c>
      <c r="AE97" s="265">
        <v>0</v>
      </c>
      <c r="AF97" s="265">
        <v>0</v>
      </c>
      <c r="AG97" s="265">
        <v>0</v>
      </c>
      <c r="AH97" s="265">
        <v>0</v>
      </c>
      <c r="AI97" s="265">
        <v>0</v>
      </c>
      <c r="AJ97" s="265">
        <v>0</v>
      </c>
      <c r="AK97" s="265">
        <v>0</v>
      </c>
      <c r="AL97" s="265">
        <v>0</v>
      </c>
      <c r="AM97" s="265">
        <v>0</v>
      </c>
      <c r="AN97" s="265">
        <v>0</v>
      </c>
      <c r="AO97" s="265">
        <v>0</v>
      </c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</row>
    <row r="98" spans="5:52" x14ac:dyDescent="0.2">
      <c r="E98" s="132" t="s">
        <v>376</v>
      </c>
      <c r="F98" s="265">
        <v>0</v>
      </c>
      <c r="G98" s="265">
        <v>0</v>
      </c>
      <c r="H98" s="265">
        <v>0</v>
      </c>
      <c r="I98" s="265">
        <v>0</v>
      </c>
      <c r="J98" s="265">
        <f>MCC_M_RUVY_matrices_mat_level!G157*MCC_h_RUVY_matrices_mat_level!G156 / MCC_MW_RUVY_matrices_mat_level!J88</f>
        <v>-1333105.1092348634</v>
      </c>
      <c r="K98" s="265">
        <v>0</v>
      </c>
      <c r="L98" s="265">
        <v>0</v>
      </c>
      <c r="M98" s="265">
        <v>0</v>
      </c>
      <c r="N98" s="265">
        <v>0</v>
      </c>
      <c r="O98" s="265">
        <v>0</v>
      </c>
      <c r="P98" s="265">
        <v>0</v>
      </c>
      <c r="Q98" s="265">
        <v>0</v>
      </c>
      <c r="R98" s="265">
        <v>0</v>
      </c>
      <c r="S98" s="265">
        <v>0</v>
      </c>
      <c r="T98" s="265">
        <v>0</v>
      </c>
      <c r="U98" s="265">
        <v>0</v>
      </c>
      <c r="V98" s="265">
        <v>0</v>
      </c>
      <c r="W98" s="265">
        <v>0</v>
      </c>
      <c r="X98" s="265">
        <v>0</v>
      </c>
      <c r="Y98" s="265">
        <v>0</v>
      </c>
      <c r="Z98" s="265">
        <v>0</v>
      </c>
      <c r="AA98" s="265">
        <v>0</v>
      </c>
      <c r="AB98" s="265">
        <v>0</v>
      </c>
      <c r="AC98" s="265">
        <v>0</v>
      </c>
      <c r="AD98" s="265">
        <v>0</v>
      </c>
      <c r="AE98" s="265">
        <v>0</v>
      </c>
      <c r="AF98" s="265">
        <v>0</v>
      </c>
      <c r="AG98" s="265">
        <v>0</v>
      </c>
      <c r="AH98" s="265">
        <v>0</v>
      </c>
      <c r="AI98" s="265">
        <v>0</v>
      </c>
      <c r="AJ98" s="265">
        <v>0</v>
      </c>
      <c r="AK98" s="265">
        <v>0</v>
      </c>
      <c r="AL98" s="265">
        <v>0</v>
      </c>
      <c r="AM98" s="265">
        <v>0</v>
      </c>
      <c r="AN98" s="265">
        <v>0</v>
      </c>
      <c r="AO98" s="265">
        <v>0</v>
      </c>
      <c r="AP98" s="14"/>
      <c r="AQ98" s="14"/>
      <c r="AR98" s="14"/>
      <c r="AS98" s="14"/>
      <c r="AT98" s="235"/>
      <c r="AU98" s="14"/>
      <c r="AV98" s="14"/>
      <c r="AW98" s="14"/>
      <c r="AX98" s="14"/>
      <c r="AY98" s="14"/>
      <c r="AZ98" s="14"/>
    </row>
    <row r="99" spans="5:52" x14ac:dyDescent="0.2">
      <c r="E99" s="132" t="s">
        <v>469</v>
      </c>
      <c r="F99" s="265">
        <v>0</v>
      </c>
      <c r="G99" s="265">
        <v>0</v>
      </c>
      <c r="H99" s="265">
        <v>0</v>
      </c>
      <c r="I99" s="265">
        <v>0</v>
      </c>
      <c r="J99" s="265">
        <v>0</v>
      </c>
      <c r="K99" s="265">
        <f>MCC_M_RUVY_matrices_mat_level!H158*MCC_h_RUVY_matrices_mat_level!H157 / MCC_MW_RUVY_matrices_mat_level!K89</f>
        <v>110229.37028964539</v>
      </c>
      <c r="L99" s="265">
        <v>0</v>
      </c>
      <c r="M99" s="265">
        <v>0</v>
      </c>
      <c r="N99" s="265">
        <v>0</v>
      </c>
      <c r="O99" s="265">
        <v>0</v>
      </c>
      <c r="P99" s="265">
        <v>0</v>
      </c>
      <c r="Q99" s="265">
        <v>0</v>
      </c>
      <c r="R99" s="265">
        <v>0</v>
      </c>
      <c r="S99" s="265">
        <v>0</v>
      </c>
      <c r="T99" s="265">
        <v>0</v>
      </c>
      <c r="U99" s="265">
        <v>0</v>
      </c>
      <c r="V99" s="265">
        <v>0</v>
      </c>
      <c r="W99" s="265">
        <v>0</v>
      </c>
      <c r="X99" s="265">
        <v>0</v>
      </c>
      <c r="Y99" s="265">
        <v>0</v>
      </c>
      <c r="Z99" s="265">
        <v>0</v>
      </c>
      <c r="AA99" s="265">
        <v>0</v>
      </c>
      <c r="AB99" s="265">
        <v>0</v>
      </c>
      <c r="AC99" s="265">
        <v>0</v>
      </c>
      <c r="AD99" s="265">
        <v>0</v>
      </c>
      <c r="AE99" s="265">
        <v>0</v>
      </c>
      <c r="AF99" s="265">
        <v>0</v>
      </c>
      <c r="AG99" s="265">
        <v>0</v>
      </c>
      <c r="AH99" s="265">
        <v>0</v>
      </c>
      <c r="AI99" s="265">
        <v>0</v>
      </c>
      <c r="AJ99" s="265">
        <v>0</v>
      </c>
      <c r="AK99" s="265">
        <v>0</v>
      </c>
      <c r="AL99" s="265">
        <v>0</v>
      </c>
      <c r="AM99" s="265">
        <v>0</v>
      </c>
      <c r="AN99" s="265">
        <v>0</v>
      </c>
      <c r="AO99" s="265">
        <v>0</v>
      </c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</row>
    <row r="100" spans="5:52" x14ac:dyDescent="0.2">
      <c r="E100" s="132" t="s">
        <v>468</v>
      </c>
      <c r="F100" s="265">
        <v>0</v>
      </c>
      <c r="G100" s="265">
        <v>0</v>
      </c>
      <c r="H100" s="265">
        <v>0</v>
      </c>
      <c r="I100" s="265">
        <v>0</v>
      </c>
      <c r="J100" s="265">
        <v>0</v>
      </c>
      <c r="K100" s="265">
        <v>0</v>
      </c>
      <c r="L100" s="265">
        <f>MCC_M_RUVY_matrices_mat_level!I159*MCC_h_RUVY_matrices_mat_level!I158 / MCC_MW_RUVY_matrices_mat_level!L90</f>
        <v>-1.1322425723331082</v>
      </c>
      <c r="M100" s="265">
        <v>0</v>
      </c>
      <c r="N100" s="265">
        <v>0</v>
      </c>
      <c r="O100" s="265">
        <v>0</v>
      </c>
      <c r="P100" s="265">
        <v>0</v>
      </c>
      <c r="Q100" s="265">
        <v>0</v>
      </c>
      <c r="R100" s="265">
        <v>0</v>
      </c>
      <c r="S100" s="265">
        <v>0</v>
      </c>
      <c r="T100" s="265">
        <v>0</v>
      </c>
      <c r="U100" s="265">
        <v>0</v>
      </c>
      <c r="V100" s="265">
        <v>0</v>
      </c>
      <c r="W100" s="265">
        <v>0</v>
      </c>
      <c r="X100" s="265">
        <v>0</v>
      </c>
      <c r="Y100" s="265">
        <v>0</v>
      </c>
      <c r="Z100" s="265">
        <v>0</v>
      </c>
      <c r="AA100" s="265">
        <v>0</v>
      </c>
      <c r="AB100" s="265">
        <v>0</v>
      </c>
      <c r="AC100" s="265">
        <v>0</v>
      </c>
      <c r="AD100" s="265">
        <v>0</v>
      </c>
      <c r="AE100" s="265">
        <v>0</v>
      </c>
      <c r="AF100" s="265">
        <v>0</v>
      </c>
      <c r="AG100" s="265">
        <v>0</v>
      </c>
      <c r="AH100" s="265">
        <v>0</v>
      </c>
      <c r="AI100" s="265">
        <v>0</v>
      </c>
      <c r="AJ100" s="265">
        <v>0</v>
      </c>
      <c r="AK100" s="265">
        <v>0</v>
      </c>
      <c r="AL100" s="265">
        <v>0</v>
      </c>
      <c r="AM100" s="265">
        <v>0</v>
      </c>
      <c r="AN100" s="265">
        <v>0</v>
      </c>
      <c r="AO100" s="265">
        <v>0</v>
      </c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</row>
    <row r="101" spans="5:52" x14ac:dyDescent="0.2">
      <c r="E101" s="132" t="s">
        <v>410</v>
      </c>
      <c r="F101" s="265">
        <v>0</v>
      </c>
      <c r="G101" s="265">
        <v>0</v>
      </c>
      <c r="H101" s="265">
        <v>0</v>
      </c>
      <c r="I101" s="265">
        <v>0</v>
      </c>
      <c r="J101" s="265">
        <v>0</v>
      </c>
      <c r="K101" s="265">
        <v>0</v>
      </c>
      <c r="L101" s="265">
        <v>0</v>
      </c>
      <c r="M101" s="265">
        <f>MCC_M_RUVY_matrices_mat_level!J160*MCC_h_RUVY_matrices_mat_level!J159 / MCC_MW_RUVY_matrices_mat_level!M91</f>
        <v>194131.36779323625</v>
      </c>
      <c r="N101" s="265">
        <v>0</v>
      </c>
      <c r="O101" s="265">
        <v>0</v>
      </c>
      <c r="P101" s="265">
        <v>0</v>
      </c>
      <c r="Q101" s="265">
        <v>0</v>
      </c>
      <c r="R101" s="265">
        <v>0</v>
      </c>
      <c r="S101" s="265">
        <v>0</v>
      </c>
      <c r="T101" s="265">
        <v>0</v>
      </c>
      <c r="U101" s="265">
        <v>0</v>
      </c>
      <c r="V101" s="265">
        <v>0</v>
      </c>
      <c r="W101" s="265">
        <v>0</v>
      </c>
      <c r="X101" s="265">
        <v>0</v>
      </c>
      <c r="Y101" s="265">
        <v>0</v>
      </c>
      <c r="Z101" s="265">
        <v>0</v>
      </c>
      <c r="AA101" s="265">
        <v>0</v>
      </c>
      <c r="AB101" s="265">
        <v>0</v>
      </c>
      <c r="AC101" s="265">
        <v>0</v>
      </c>
      <c r="AD101" s="265">
        <v>0</v>
      </c>
      <c r="AE101" s="265">
        <v>0</v>
      </c>
      <c r="AF101" s="265">
        <v>0</v>
      </c>
      <c r="AG101" s="265">
        <v>0</v>
      </c>
      <c r="AH101" s="265">
        <v>0</v>
      </c>
      <c r="AI101" s="265">
        <v>0</v>
      </c>
      <c r="AJ101" s="265">
        <v>0</v>
      </c>
      <c r="AK101" s="265">
        <v>0</v>
      </c>
      <c r="AL101" s="265">
        <v>0</v>
      </c>
      <c r="AM101" s="265">
        <v>0</v>
      </c>
      <c r="AN101" s="265">
        <v>0</v>
      </c>
      <c r="AO101" s="265">
        <v>0</v>
      </c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</row>
    <row r="102" spans="5:52" x14ac:dyDescent="0.2">
      <c r="E102" s="132" t="s">
        <v>458</v>
      </c>
      <c r="F102" s="265">
        <v>0</v>
      </c>
      <c r="G102" s="265">
        <v>0</v>
      </c>
      <c r="H102" s="265">
        <v>0</v>
      </c>
      <c r="I102" s="265">
        <v>0</v>
      </c>
      <c r="J102" s="265">
        <v>0</v>
      </c>
      <c r="K102" s="265">
        <v>0</v>
      </c>
      <c r="L102" s="265">
        <v>0</v>
      </c>
      <c r="M102" s="265">
        <v>0</v>
      </c>
      <c r="N102" s="265">
        <v>0</v>
      </c>
      <c r="O102" s="265">
        <v>0</v>
      </c>
      <c r="P102" s="265">
        <v>0</v>
      </c>
      <c r="Q102" s="265">
        <v>0</v>
      </c>
      <c r="R102" s="265">
        <v>0</v>
      </c>
      <c r="S102" s="265">
        <v>0</v>
      </c>
      <c r="T102" s="265">
        <v>0</v>
      </c>
      <c r="U102" s="265">
        <v>0</v>
      </c>
      <c r="V102" s="265">
        <v>0</v>
      </c>
      <c r="W102" s="265">
        <v>0</v>
      </c>
      <c r="X102" s="265">
        <v>0</v>
      </c>
      <c r="Y102" s="265">
        <v>0</v>
      </c>
      <c r="Z102" s="265">
        <v>0</v>
      </c>
      <c r="AA102" s="265">
        <v>0</v>
      </c>
      <c r="AB102" s="265">
        <v>0</v>
      </c>
      <c r="AC102" s="265">
        <v>0</v>
      </c>
      <c r="AD102" s="265">
        <v>0</v>
      </c>
      <c r="AE102" s="265">
        <v>0</v>
      </c>
      <c r="AF102" s="265">
        <v>0</v>
      </c>
      <c r="AG102" s="265">
        <v>0</v>
      </c>
      <c r="AH102" s="265">
        <v>0</v>
      </c>
      <c r="AI102" s="265">
        <v>0</v>
      </c>
      <c r="AJ102" s="265">
        <v>0</v>
      </c>
      <c r="AK102" s="265">
        <v>0</v>
      </c>
      <c r="AL102" s="265">
        <v>0</v>
      </c>
      <c r="AM102" s="265">
        <v>0</v>
      </c>
      <c r="AN102" s="265">
        <v>0</v>
      </c>
      <c r="AO102" s="265">
        <v>0</v>
      </c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</row>
    <row r="103" spans="5:52" x14ac:dyDescent="0.2">
      <c r="E103" s="14"/>
      <c r="F103" s="382"/>
      <c r="G103" s="382"/>
      <c r="H103" s="382"/>
      <c r="I103" s="382"/>
      <c r="J103" s="382"/>
      <c r="K103" s="382"/>
      <c r="L103" s="382"/>
      <c r="M103" s="382"/>
      <c r="N103" s="382"/>
      <c r="O103" s="382"/>
      <c r="P103" s="382"/>
      <c r="Q103" s="382"/>
      <c r="R103" s="382"/>
      <c r="S103" s="382"/>
      <c r="T103" s="382"/>
      <c r="U103" s="382"/>
      <c r="V103" s="382"/>
      <c r="W103" s="382"/>
      <c r="X103" s="382"/>
      <c r="Y103" s="382"/>
      <c r="Z103" s="382"/>
      <c r="AA103" s="382"/>
      <c r="AB103" s="382"/>
      <c r="AC103" s="382"/>
      <c r="AD103" s="382"/>
      <c r="AE103" s="382"/>
      <c r="AF103" s="382"/>
      <c r="AG103" s="382"/>
      <c r="AH103" s="382"/>
      <c r="AI103" s="382"/>
      <c r="AJ103" s="382"/>
      <c r="AK103" s="382"/>
      <c r="AL103" s="382"/>
      <c r="AM103" s="382"/>
      <c r="AN103" s="382"/>
      <c r="AO103" s="382"/>
      <c r="AP103" s="249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</row>
    <row r="104" spans="5:52" x14ac:dyDescent="0.2">
      <c r="E104" s="14"/>
      <c r="F104" s="248" t="e" vm="2">
        <f ca="1">SUM(F94:F102)</f>
        <v>#VALUE!</v>
      </c>
      <c r="G104" s="248">
        <f t="shared" ref="G104:N104" si="2">SUM(G94:G102)</f>
        <v>-2526033.0144413249</v>
      </c>
      <c r="H104" s="248">
        <f t="shared" si="2"/>
        <v>9977311.3783394694</v>
      </c>
      <c r="I104" s="248">
        <f t="shared" si="2"/>
        <v>0</v>
      </c>
      <c r="J104" s="248">
        <f t="shared" si="2"/>
        <v>-1333105.1092348634</v>
      </c>
      <c r="K104" s="248">
        <f t="shared" si="2"/>
        <v>110229.37028964539</v>
      </c>
      <c r="L104" s="248">
        <f t="shared" si="2"/>
        <v>-1.1322425723331082</v>
      </c>
      <c r="M104" s="248">
        <f t="shared" si="2"/>
        <v>194131.36779323625</v>
      </c>
      <c r="N104" s="248">
        <f t="shared" si="2"/>
        <v>0</v>
      </c>
      <c r="O104" s="248">
        <v>0</v>
      </c>
      <c r="P104" s="248">
        <v>0</v>
      </c>
      <c r="Q104" s="248">
        <v>0</v>
      </c>
      <c r="R104" s="248">
        <v>0</v>
      </c>
      <c r="S104" s="248">
        <v>0</v>
      </c>
      <c r="T104" s="248">
        <v>0</v>
      </c>
      <c r="U104" s="248">
        <v>0</v>
      </c>
      <c r="V104" s="248">
        <v>0</v>
      </c>
      <c r="W104" s="248">
        <v>0</v>
      </c>
      <c r="X104" s="248">
        <v>0</v>
      </c>
      <c r="Y104" s="248">
        <v>0</v>
      </c>
      <c r="Z104" s="248">
        <v>0</v>
      </c>
      <c r="AA104" s="248">
        <v>0</v>
      </c>
      <c r="AB104" s="248">
        <v>0</v>
      </c>
      <c r="AC104" s="248">
        <v>0</v>
      </c>
      <c r="AD104" s="248">
        <v>0</v>
      </c>
      <c r="AE104" s="248">
        <v>0</v>
      </c>
      <c r="AF104" s="248">
        <v>0</v>
      </c>
      <c r="AG104" s="248">
        <v>0</v>
      </c>
      <c r="AH104" s="248">
        <v>0</v>
      </c>
      <c r="AI104" s="248">
        <v>0</v>
      </c>
      <c r="AJ104" s="248">
        <v>0</v>
      </c>
      <c r="AK104" s="248">
        <v>0</v>
      </c>
      <c r="AL104" s="248">
        <v>0</v>
      </c>
      <c r="AM104" s="248">
        <v>0</v>
      </c>
      <c r="AN104" s="248">
        <v>0</v>
      </c>
      <c r="AO104" s="248">
        <v>0</v>
      </c>
      <c r="AP104" s="14"/>
      <c r="AQ104" s="14"/>
      <c r="AR104" s="14"/>
    </row>
    <row r="105" spans="5:52" x14ac:dyDescent="0.2">
      <c r="F105" s="379" t="s">
        <v>367</v>
      </c>
      <c r="G105" s="379"/>
      <c r="H105" s="379"/>
      <c r="I105" s="379"/>
      <c r="J105" s="379"/>
      <c r="K105" s="379"/>
      <c r="L105" s="379"/>
      <c r="M105" s="379"/>
      <c r="N105" s="379"/>
      <c r="O105" s="379"/>
      <c r="P105" s="379"/>
      <c r="Q105" s="379"/>
      <c r="R105" s="379"/>
      <c r="S105" s="379"/>
      <c r="T105" s="379"/>
      <c r="U105" s="379"/>
      <c r="V105" s="379"/>
      <c r="W105" s="379"/>
      <c r="X105" s="379"/>
      <c r="Y105" s="379"/>
      <c r="Z105" s="379"/>
      <c r="AA105" s="379"/>
      <c r="AB105" s="379"/>
      <c r="AC105" s="379"/>
      <c r="AD105" s="379"/>
      <c r="AE105" s="379"/>
      <c r="AF105" s="379"/>
      <c r="AG105" s="379"/>
      <c r="AH105" s="379"/>
      <c r="AI105" s="379"/>
      <c r="AJ105" s="379"/>
      <c r="AK105" s="379"/>
      <c r="AL105" s="379"/>
      <c r="AM105" s="379"/>
      <c r="AN105" s="379"/>
      <c r="AO105" s="379"/>
      <c r="AP105" s="379"/>
      <c r="AQ105" s="379"/>
      <c r="AR105" s="379"/>
      <c r="AS105" s="379"/>
      <c r="AT105" s="379"/>
      <c r="AU105" s="379"/>
      <c r="AV105" s="379"/>
      <c r="AW105" s="379"/>
    </row>
    <row r="108" spans="5:52" x14ac:dyDescent="0.2">
      <c r="E108" s="14"/>
      <c r="F108" s="379" t="s">
        <v>741</v>
      </c>
      <c r="G108" s="379"/>
      <c r="H108" s="379"/>
      <c r="I108" s="379"/>
      <c r="J108" s="379"/>
      <c r="K108" s="379"/>
      <c r="L108" s="379"/>
      <c r="M108" s="379"/>
      <c r="N108" s="379"/>
    </row>
    <row r="109" spans="5:52" x14ac:dyDescent="0.2"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5:52" x14ac:dyDescent="0.2">
      <c r="E110" s="14"/>
      <c r="F110" s="14"/>
      <c r="G110" s="14"/>
      <c r="H110" s="14"/>
      <c r="I110" s="14"/>
      <c r="J110" s="14"/>
      <c r="K110" s="14"/>
      <c r="L110" s="14"/>
      <c r="M110" s="14"/>
      <c r="N110" s="14"/>
    </row>
    <row r="111" spans="5:52" x14ac:dyDescent="0.2">
      <c r="E111" s="132" t="s">
        <v>333</v>
      </c>
      <c r="F111" s="243" t="e" vm="2">
        <f t="array" ref="F111:F146" ca="1">TRANSPOSE(F104:AO104)</f>
        <v>#VALUE!</v>
      </c>
      <c r="G111" s="14"/>
      <c r="H111" s="243" t="e" cm="1" vm="2">
        <f t="array" aca="1" ref="H111:H146" ca="1">TRANSPOSE(F83:AO83)</f>
        <v>#VALUE!</v>
      </c>
      <c r="I111" s="14"/>
      <c r="J111" s="243" t="e" vm="2">
        <f ca="1">BQ18</f>
        <v>#VALUE!</v>
      </c>
      <c r="K111" s="14"/>
      <c r="L111" s="243" t="e" vm="2">
        <f ca="1">BX18</f>
        <v>#VALUE!</v>
      </c>
      <c r="M111" s="14"/>
      <c r="N111" s="247" t="e" vm="2">
        <f ca="1">F111+H111-J111-L111</f>
        <v>#VALUE!</v>
      </c>
    </row>
    <row r="112" spans="5:52" x14ac:dyDescent="0.2">
      <c r="E112" s="132" t="s">
        <v>335</v>
      </c>
      <c r="F112" s="243">
        <v>-2526033.0144413249</v>
      </c>
      <c r="G112" s="14"/>
      <c r="H112" s="243">
        <f ca="1"/>
        <v>0</v>
      </c>
      <c r="I112" s="14"/>
      <c r="J112" s="243">
        <f>BQ19</f>
        <v>-2526033.0144413249</v>
      </c>
      <c r="K112" s="14"/>
      <c r="L112" s="243">
        <f>BX19</f>
        <v>0</v>
      </c>
      <c r="M112" s="14"/>
      <c r="N112" s="247">
        <f t="shared" ref="N112:N146" ca="1" si="3">F112+H112-J112-L112</f>
        <v>0</v>
      </c>
    </row>
    <row r="113" spans="5:14" x14ac:dyDescent="0.2">
      <c r="E113" s="132" t="s">
        <v>336</v>
      </c>
      <c r="F113" s="243">
        <v>9977311.3783394694</v>
      </c>
      <c r="G113" s="14"/>
      <c r="H113" s="243">
        <f ca="1"/>
        <v>0</v>
      </c>
      <c r="I113" s="14"/>
      <c r="J113" s="243">
        <f>BQ20</f>
        <v>9977311.3783394694</v>
      </c>
      <c r="K113" s="14"/>
      <c r="L113" s="243">
        <f>BX20</f>
        <v>0</v>
      </c>
      <c r="M113" s="14"/>
      <c r="N113" s="247">
        <f t="shared" ca="1" si="3"/>
        <v>0</v>
      </c>
    </row>
    <row r="114" spans="5:14" x14ac:dyDescent="0.2">
      <c r="E114" s="132" t="s">
        <v>355</v>
      </c>
      <c r="F114" s="243">
        <v>0</v>
      </c>
      <c r="G114" s="14"/>
      <c r="H114" s="243">
        <f ca="1"/>
        <v>0</v>
      </c>
      <c r="I114" s="14"/>
      <c r="J114" s="243">
        <f>BQ21</f>
        <v>0</v>
      </c>
      <c r="K114" s="14"/>
      <c r="L114" s="243">
        <f>BX21</f>
        <v>0</v>
      </c>
      <c r="M114" s="14"/>
      <c r="N114" s="247">
        <f t="shared" ca="1" si="3"/>
        <v>0</v>
      </c>
    </row>
    <row r="115" spans="5:14" x14ac:dyDescent="0.2">
      <c r="E115" s="132" t="s">
        <v>377</v>
      </c>
      <c r="F115" s="243">
        <v>-1333105.1092348634</v>
      </c>
      <c r="G115" s="14"/>
      <c r="H115" s="243">
        <f ca="1"/>
        <v>0</v>
      </c>
      <c r="I115" s="14"/>
      <c r="J115" s="243">
        <f>BQ22</f>
        <v>-1333105.1092348634</v>
      </c>
      <c r="K115" s="14"/>
      <c r="L115" s="243">
        <f>BX22</f>
        <v>0</v>
      </c>
      <c r="M115" s="14"/>
      <c r="N115" s="247">
        <f t="shared" ca="1" si="3"/>
        <v>0</v>
      </c>
    </row>
    <row r="116" spans="5:14" x14ac:dyDescent="0.2">
      <c r="E116" s="132" t="s">
        <v>466</v>
      </c>
      <c r="F116" s="243">
        <v>110229.37028964539</v>
      </c>
      <c r="G116" s="14"/>
      <c r="H116" s="243">
        <f ca="1"/>
        <v>0</v>
      </c>
      <c r="I116" s="14"/>
      <c r="J116" s="243">
        <f>BQ23</f>
        <v>110229.37028964538</v>
      </c>
      <c r="K116" s="14"/>
      <c r="L116" s="243">
        <f>BX23</f>
        <v>0</v>
      </c>
      <c r="M116" s="14"/>
      <c r="N116" s="247">
        <f t="shared" ca="1" si="3"/>
        <v>1.4551915228366852E-11</v>
      </c>
    </row>
    <row r="117" spans="5:14" x14ac:dyDescent="0.2">
      <c r="E117" s="132" t="s">
        <v>467</v>
      </c>
      <c r="F117" s="243">
        <v>-1.1322425723331082</v>
      </c>
      <c r="G117" s="14"/>
      <c r="H117" s="243">
        <f ca="1"/>
        <v>0</v>
      </c>
      <c r="I117" s="14"/>
      <c r="J117" s="243">
        <f>BQ24</f>
        <v>-1.1322425723331082</v>
      </c>
      <c r="K117" s="14"/>
      <c r="L117" s="243">
        <f>BX24</f>
        <v>0</v>
      </c>
      <c r="M117" s="14"/>
      <c r="N117" s="247">
        <f t="shared" ca="1" si="3"/>
        <v>0</v>
      </c>
    </row>
    <row r="118" spans="5:14" x14ac:dyDescent="0.2">
      <c r="E118" s="132" t="s">
        <v>411</v>
      </c>
      <c r="F118" s="243">
        <v>194131.36779323625</v>
      </c>
      <c r="G118" s="14"/>
      <c r="H118" s="243">
        <f ca="1"/>
        <v>0</v>
      </c>
      <c r="I118" s="14"/>
      <c r="J118" s="243">
        <f>BQ25</f>
        <v>194131.36779323625</v>
      </c>
      <c r="K118" s="14"/>
      <c r="L118" s="243">
        <f>BX25</f>
        <v>0</v>
      </c>
      <c r="M118" s="14"/>
      <c r="N118" s="247">
        <f t="shared" ca="1" si="3"/>
        <v>0</v>
      </c>
    </row>
    <row r="119" spans="5:14" x14ac:dyDescent="0.2">
      <c r="E119" s="132" t="s">
        <v>459</v>
      </c>
      <c r="F119" s="243">
        <v>0</v>
      </c>
      <c r="G119" s="14"/>
      <c r="H119" s="243">
        <f ca="1"/>
        <v>0</v>
      </c>
      <c r="I119" s="14"/>
      <c r="J119" s="243">
        <f>BQ26</f>
        <v>0</v>
      </c>
      <c r="K119" s="14"/>
      <c r="L119" s="243">
        <f>BX26</f>
        <v>0</v>
      </c>
      <c r="M119" s="14"/>
      <c r="N119" s="247">
        <f t="shared" ca="1" si="3"/>
        <v>0</v>
      </c>
    </row>
    <row r="120" spans="5:14" ht="16" customHeight="1" x14ac:dyDescent="0.2">
      <c r="E120" s="229" t="s">
        <v>442</v>
      </c>
      <c r="F120" s="243">
        <v>0</v>
      </c>
      <c r="G120" s="14"/>
      <c r="H120" s="243">
        <f ca="1"/>
        <v>-6518321.9740549196</v>
      </c>
      <c r="I120" s="14"/>
      <c r="J120" s="243">
        <f>BQ27</f>
        <v>-6518321.9740549196</v>
      </c>
      <c r="K120" s="14"/>
      <c r="L120" s="243">
        <f>BX27</f>
        <v>0</v>
      </c>
      <c r="M120" s="14"/>
      <c r="N120" s="247">
        <f t="shared" ca="1" si="3"/>
        <v>0</v>
      </c>
    </row>
    <row r="121" spans="5:14" x14ac:dyDescent="0.2">
      <c r="E121" s="132" t="s">
        <v>409</v>
      </c>
      <c r="F121" s="243">
        <v>0</v>
      </c>
      <c r="G121" s="14"/>
      <c r="H121" s="243">
        <f ca="1"/>
        <v>-92800.199170167136</v>
      </c>
      <c r="I121" s="14"/>
      <c r="J121" s="243">
        <f>BQ28</f>
        <v>0</v>
      </c>
      <c r="K121" s="14"/>
      <c r="L121" s="243">
        <f>BX28</f>
        <v>0</v>
      </c>
      <c r="M121" s="14"/>
      <c r="N121" s="247">
        <f t="shared" ca="1" si="3"/>
        <v>-92800.199170167136</v>
      </c>
    </row>
    <row r="122" spans="5:14" ht="16" customHeight="1" x14ac:dyDescent="0.2">
      <c r="E122" s="229" t="s">
        <v>412</v>
      </c>
      <c r="F122" s="243">
        <v>0</v>
      </c>
      <c r="G122" s="14"/>
      <c r="H122" s="243">
        <f ca="1"/>
        <v>-2526033.0144413249</v>
      </c>
      <c r="I122" s="14"/>
      <c r="J122" s="243">
        <f>BQ29</f>
        <v>-2526033.0144413249</v>
      </c>
      <c r="K122" s="14"/>
      <c r="L122" s="243">
        <f>BX29</f>
        <v>0</v>
      </c>
      <c r="M122" s="14"/>
      <c r="N122" s="247">
        <f t="shared" ca="1" si="3"/>
        <v>0</v>
      </c>
    </row>
    <row r="123" spans="5:14" x14ac:dyDescent="0.2">
      <c r="E123" s="132" t="s">
        <v>437</v>
      </c>
      <c r="F123" s="243">
        <v>0</v>
      </c>
      <c r="G123" s="14"/>
      <c r="H123" s="243">
        <f ca="1"/>
        <v>-278.40895638262924</v>
      </c>
      <c r="I123" s="14"/>
      <c r="J123" s="243">
        <f>BQ30</f>
        <v>0</v>
      </c>
      <c r="K123" s="14"/>
      <c r="L123" s="243">
        <f>BX30</f>
        <v>0</v>
      </c>
      <c r="M123" s="14"/>
      <c r="N123" s="247">
        <f t="shared" ca="1" si="3"/>
        <v>-278.40895638262924</v>
      </c>
    </row>
    <row r="124" spans="5:14" x14ac:dyDescent="0.2">
      <c r="E124" s="230" t="s">
        <v>430</v>
      </c>
      <c r="F124" s="243">
        <v>0</v>
      </c>
      <c r="G124" s="52" t="s">
        <v>371</v>
      </c>
      <c r="H124" s="243">
        <f ca="1"/>
        <v>9977311.3783394694</v>
      </c>
      <c r="I124" s="52" t="s">
        <v>373</v>
      </c>
      <c r="J124" s="243">
        <f>BQ31</f>
        <v>9977311.3783394694</v>
      </c>
      <c r="K124" s="52" t="s">
        <v>373</v>
      </c>
      <c r="L124" s="243">
        <f>BX31</f>
        <v>0</v>
      </c>
      <c r="M124" s="52" t="s">
        <v>374</v>
      </c>
      <c r="N124" s="247">
        <f t="shared" ca="1" si="3"/>
        <v>0</v>
      </c>
    </row>
    <row r="125" spans="5:14" x14ac:dyDescent="0.2">
      <c r="E125" s="132" t="s">
        <v>416</v>
      </c>
      <c r="F125" s="243">
        <v>0</v>
      </c>
      <c r="G125" s="14"/>
      <c r="H125" s="243">
        <f ca="1"/>
        <v>-22975.795924925475</v>
      </c>
      <c r="I125" s="14"/>
      <c r="J125" s="243">
        <f>BQ32</f>
        <v>0</v>
      </c>
      <c r="K125" s="14"/>
      <c r="L125" s="243">
        <f>BX32</f>
        <v>0</v>
      </c>
      <c r="M125" s="14"/>
      <c r="N125" s="247">
        <f t="shared" ca="1" si="3"/>
        <v>-22975.795924925475</v>
      </c>
    </row>
    <row r="126" spans="5:14" ht="16" customHeight="1" x14ac:dyDescent="0.2">
      <c r="E126" s="229" t="s">
        <v>441</v>
      </c>
      <c r="F126" s="243">
        <v>0</v>
      </c>
      <c r="G126" s="14"/>
      <c r="H126" s="243">
        <f ca="1"/>
        <v>-6518321.9740549196</v>
      </c>
      <c r="I126" s="14"/>
      <c r="J126" s="243">
        <f>BQ33</f>
        <v>-6518321.9740549196</v>
      </c>
      <c r="K126" s="14"/>
      <c r="L126" s="243">
        <f>BX33</f>
        <v>0</v>
      </c>
      <c r="M126" s="14"/>
      <c r="N126" s="247">
        <f t="shared" ca="1" si="3"/>
        <v>0</v>
      </c>
    </row>
    <row r="127" spans="5:14" ht="16" customHeight="1" x14ac:dyDescent="0.2">
      <c r="E127" s="229" t="s">
        <v>436</v>
      </c>
      <c r="F127" s="243">
        <v>0</v>
      </c>
      <c r="G127" s="14"/>
      <c r="H127" s="243">
        <f ca="1"/>
        <v>-2526033.0144413249</v>
      </c>
      <c r="I127" s="14"/>
      <c r="J127" s="243">
        <f>BQ34</f>
        <v>-2526033.0144413249</v>
      </c>
      <c r="K127" s="14"/>
      <c r="L127" s="243">
        <f>BX34</f>
        <v>0</v>
      </c>
      <c r="M127" s="14"/>
      <c r="N127" s="247">
        <f t="shared" ca="1" si="3"/>
        <v>0</v>
      </c>
    </row>
    <row r="128" spans="5:14" ht="16" customHeight="1" x14ac:dyDescent="0.2">
      <c r="E128" s="229" t="s">
        <v>433</v>
      </c>
      <c r="F128" s="243">
        <v>0</v>
      </c>
      <c r="G128" s="14"/>
      <c r="H128" s="243">
        <f ca="1"/>
        <v>9977311.3783394694</v>
      </c>
      <c r="I128" s="14"/>
      <c r="J128" s="243">
        <f>BQ35</f>
        <v>9977311.3783394694</v>
      </c>
      <c r="K128" s="14"/>
      <c r="L128" s="243">
        <f>BX35</f>
        <v>0</v>
      </c>
      <c r="M128" s="14"/>
      <c r="N128" s="247">
        <f t="shared" ca="1" si="3"/>
        <v>0</v>
      </c>
    </row>
    <row r="129" spans="5:14" ht="16" customHeight="1" x14ac:dyDescent="0.2">
      <c r="E129" s="229" t="s">
        <v>439</v>
      </c>
      <c r="F129" s="243">
        <v>0</v>
      </c>
      <c r="G129" s="14"/>
      <c r="H129" s="243">
        <f ca="1"/>
        <v>-6350200.1773318211</v>
      </c>
      <c r="I129" s="14"/>
      <c r="J129" s="243">
        <f>BQ36</f>
        <v>-6350200.1773318211</v>
      </c>
      <c r="K129" s="14"/>
      <c r="L129" s="243">
        <f>BX36</f>
        <v>0</v>
      </c>
      <c r="M129" s="14"/>
      <c r="N129" s="247">
        <f t="shared" ca="1" si="3"/>
        <v>0</v>
      </c>
    </row>
    <row r="130" spans="5:14" x14ac:dyDescent="0.2">
      <c r="E130" s="230" t="s">
        <v>438</v>
      </c>
      <c r="F130" s="243">
        <v>0</v>
      </c>
      <c r="G130" s="14"/>
      <c r="H130" s="243">
        <f ca="1"/>
        <v>-168121.79672309788</v>
      </c>
      <c r="I130" s="14"/>
      <c r="J130" s="243">
        <f>BQ37</f>
        <v>0</v>
      </c>
      <c r="K130" s="14"/>
      <c r="L130" s="243">
        <f>BX37</f>
        <v>0</v>
      </c>
      <c r="M130" s="14"/>
      <c r="N130" s="247">
        <f t="shared" ca="1" si="3"/>
        <v>-168121.79672309788</v>
      </c>
    </row>
    <row r="131" spans="5:14" x14ac:dyDescent="0.2">
      <c r="E131" s="230" t="s">
        <v>424</v>
      </c>
      <c r="F131" s="243">
        <v>0</v>
      </c>
      <c r="G131" s="14"/>
      <c r="H131" s="243">
        <f ca="1"/>
        <v>-2526033.0144413249</v>
      </c>
      <c r="I131" s="14"/>
      <c r="J131" s="243">
        <f>BQ38</f>
        <v>-2526033.0144413249</v>
      </c>
      <c r="K131" s="14"/>
      <c r="L131" s="243">
        <f>BX38</f>
        <v>0</v>
      </c>
      <c r="M131" s="14"/>
      <c r="N131" s="247">
        <f t="shared" ca="1" si="3"/>
        <v>0</v>
      </c>
    </row>
    <row r="132" spans="5:14" x14ac:dyDescent="0.2">
      <c r="E132" s="230" t="s">
        <v>456</v>
      </c>
      <c r="F132" s="243">
        <v>0</v>
      </c>
      <c r="G132" s="14"/>
      <c r="H132" s="243">
        <f ca="1"/>
        <v>9977311.3783394694</v>
      </c>
      <c r="I132" s="14"/>
      <c r="J132" s="243">
        <f>BQ39</f>
        <v>9977311.3783394694</v>
      </c>
      <c r="K132" s="14"/>
      <c r="L132" s="243">
        <f>BX39</f>
        <v>0</v>
      </c>
      <c r="M132" s="14"/>
      <c r="N132" s="247">
        <f t="shared" ca="1" si="3"/>
        <v>0</v>
      </c>
    </row>
    <row r="133" spans="5:14" x14ac:dyDescent="0.2">
      <c r="E133" s="230" t="s">
        <v>425</v>
      </c>
      <c r="F133" s="243">
        <v>0</v>
      </c>
      <c r="G133" s="14"/>
      <c r="H133" s="243">
        <f ca="1"/>
        <v>-1256817.6045988721</v>
      </c>
      <c r="I133" s="14"/>
      <c r="J133" s="243">
        <f>BQ40</f>
        <v>-1256817.6045988721</v>
      </c>
      <c r="K133" s="14"/>
      <c r="L133" s="243">
        <f>BX40</f>
        <v>0</v>
      </c>
      <c r="M133" s="14"/>
      <c r="N133" s="247">
        <f t="shared" ca="1" si="3"/>
        <v>0</v>
      </c>
    </row>
    <row r="134" spans="5:14" x14ac:dyDescent="0.2">
      <c r="E134" s="230" t="s">
        <v>427</v>
      </c>
      <c r="F134" s="243">
        <v>0</v>
      </c>
      <c r="G134" s="14"/>
      <c r="H134" s="243">
        <f ca="1"/>
        <v>-74404.460335125405</v>
      </c>
      <c r="I134" s="14"/>
      <c r="J134" s="243">
        <f>BQ41</f>
        <v>0</v>
      </c>
      <c r="K134" s="14"/>
      <c r="L134" s="243">
        <f>BX41</f>
        <v>0</v>
      </c>
      <c r="M134" s="14"/>
      <c r="N134" s="247">
        <f t="shared" ca="1" si="3"/>
        <v>-74404.460335125405</v>
      </c>
    </row>
    <row r="135" spans="5:14" x14ac:dyDescent="0.2">
      <c r="E135" s="230" t="s">
        <v>426</v>
      </c>
      <c r="F135" s="243">
        <v>0</v>
      </c>
      <c r="G135" s="14"/>
      <c r="H135" s="243">
        <f ca="1"/>
        <v>-2884953.3867341313</v>
      </c>
      <c r="I135" s="14"/>
      <c r="J135" s="243">
        <f>BQ42</f>
        <v>0</v>
      </c>
      <c r="K135" s="14"/>
      <c r="L135" s="243">
        <f>BX42</f>
        <v>0</v>
      </c>
      <c r="M135" s="14"/>
      <c r="N135" s="247">
        <f t="shared" ca="1" si="3"/>
        <v>-2884953.3867341313</v>
      </c>
    </row>
    <row r="136" spans="5:14" x14ac:dyDescent="0.2">
      <c r="E136" s="230" t="s">
        <v>484</v>
      </c>
      <c r="F136" s="243">
        <v>0</v>
      </c>
      <c r="G136" s="14"/>
      <c r="H136" s="243">
        <f ca="1"/>
        <v>6114656.4031687425</v>
      </c>
      <c r="I136" s="14"/>
      <c r="J136" s="243">
        <f>BQ43</f>
        <v>6114656.4031687425</v>
      </c>
      <c r="K136" s="14"/>
      <c r="L136" s="243">
        <f>BX43</f>
        <v>0</v>
      </c>
      <c r="M136" s="14"/>
      <c r="N136" s="247">
        <f t="shared" ca="1" si="3"/>
        <v>0</v>
      </c>
    </row>
    <row r="137" spans="5:14" ht="16" customHeight="1" x14ac:dyDescent="0.2">
      <c r="E137" s="244" t="s">
        <v>422</v>
      </c>
      <c r="F137" s="243">
        <v>0</v>
      </c>
      <c r="G137" s="14"/>
      <c r="H137" s="243">
        <f ca="1"/>
        <v>-79567.804564237085</v>
      </c>
      <c r="I137" s="14"/>
      <c r="J137" s="243">
        <f>BQ44</f>
        <v>-79567.804564237085</v>
      </c>
      <c r="K137" s="14"/>
      <c r="L137" s="243">
        <f>BX44</f>
        <v>0</v>
      </c>
      <c r="M137" s="14"/>
      <c r="N137" s="247">
        <f t="shared" ca="1" si="3"/>
        <v>0</v>
      </c>
    </row>
    <row r="138" spans="5:14" ht="16" customHeight="1" x14ac:dyDescent="0.2">
      <c r="E138" s="230" t="s">
        <v>552</v>
      </c>
      <c r="F138" s="243">
        <v>0</v>
      </c>
      <c r="G138" s="14"/>
      <c r="H138" s="243">
        <f ca="1"/>
        <v>-25124.733904286619</v>
      </c>
      <c r="I138" s="14"/>
      <c r="J138" s="243">
        <f>BQ45</f>
        <v>0</v>
      </c>
      <c r="K138" s="14"/>
      <c r="L138" s="243">
        <f>BX45</f>
        <v>0</v>
      </c>
      <c r="M138" s="14"/>
      <c r="N138" s="247">
        <f t="shared" ca="1" si="3"/>
        <v>-25124.733904286619</v>
      </c>
    </row>
    <row r="139" spans="5:14" x14ac:dyDescent="0.2">
      <c r="E139" s="132" t="s">
        <v>421</v>
      </c>
      <c r="F139" s="243">
        <v>0</v>
      </c>
      <c r="G139" s="14"/>
      <c r="H139" s="243">
        <f ca="1"/>
        <v>-341352.70961097698</v>
      </c>
      <c r="I139" s="14"/>
      <c r="J139" s="243">
        <f>BQ46</f>
        <v>0</v>
      </c>
      <c r="K139" s="14"/>
      <c r="L139" s="243">
        <f>BX46</f>
        <v>0</v>
      </c>
      <c r="M139" s="14"/>
      <c r="N139" s="247">
        <f t="shared" ca="1" si="3"/>
        <v>-341352.70961097698</v>
      </c>
    </row>
    <row r="140" spans="5:14" x14ac:dyDescent="0.2">
      <c r="E140" s="230" t="s">
        <v>423</v>
      </c>
      <c r="F140" s="243">
        <v>0</v>
      </c>
      <c r="G140" s="14"/>
      <c r="H140" s="243">
        <f ca="1"/>
        <v>-11160173.670095185</v>
      </c>
      <c r="I140" s="14"/>
      <c r="J140" s="243">
        <f>BQ47</f>
        <v>0</v>
      </c>
      <c r="K140" s="14"/>
      <c r="L140" s="243">
        <f>BX47</f>
        <v>0</v>
      </c>
      <c r="M140" s="14"/>
      <c r="N140" s="247">
        <f t="shared" ca="1" si="3"/>
        <v>-11160173.670095185</v>
      </c>
    </row>
    <row r="141" spans="5:14" x14ac:dyDescent="0.2">
      <c r="E141" s="230" t="s">
        <v>515</v>
      </c>
      <c r="F141" s="243">
        <v>0</v>
      </c>
      <c r="G141" s="14"/>
      <c r="H141" s="243">
        <f ca="1"/>
        <v>-67789.788088811649</v>
      </c>
      <c r="I141" s="14"/>
      <c r="J141" s="243">
        <f>BQ48</f>
        <v>-67789.788088811649</v>
      </c>
      <c r="K141" s="14"/>
      <c r="L141" s="243">
        <f>BX48</f>
        <v>0</v>
      </c>
      <c r="M141" s="14"/>
      <c r="N141" s="247">
        <f t="shared" ca="1" si="3"/>
        <v>0</v>
      </c>
    </row>
    <row r="142" spans="5:14" x14ac:dyDescent="0.2">
      <c r="E142" s="230" t="s">
        <v>517</v>
      </c>
      <c r="F142" s="243">
        <v>0</v>
      </c>
      <c r="G142" s="14"/>
      <c r="H142" s="243">
        <f ca="1"/>
        <v>-67789.788088811649</v>
      </c>
      <c r="I142" s="14"/>
      <c r="J142" s="243">
        <f>BQ49</f>
        <v>-47452.851662168148</v>
      </c>
      <c r="K142" s="14"/>
      <c r="L142" s="243">
        <f>BX49</f>
        <v>-20336.93642664349</v>
      </c>
      <c r="M142" s="14"/>
      <c r="N142" s="247">
        <f t="shared" ca="1" si="3"/>
        <v>0</v>
      </c>
    </row>
    <row r="143" spans="5:14" x14ac:dyDescent="0.2">
      <c r="E143" s="230" t="s">
        <v>445</v>
      </c>
      <c r="F143" s="243">
        <v>0</v>
      </c>
      <c r="G143" s="14"/>
      <c r="H143" s="243">
        <f ca="1"/>
        <v>-1492361.3787619506</v>
      </c>
      <c r="I143" s="14"/>
      <c r="J143" s="243">
        <f>BQ50</f>
        <v>-1492361.3787619506</v>
      </c>
      <c r="K143" s="14"/>
      <c r="L143" s="243">
        <f>BX50</f>
        <v>0</v>
      </c>
      <c r="M143" s="14"/>
      <c r="N143" s="247">
        <f t="shared" ca="1" si="3"/>
        <v>0</v>
      </c>
    </row>
    <row r="144" spans="5:14" x14ac:dyDescent="0.2">
      <c r="E144" s="230" t="s">
        <v>446</v>
      </c>
      <c r="F144" s="243">
        <v>0</v>
      </c>
      <c r="G144" s="14"/>
      <c r="H144" s="243">
        <f ca="1"/>
        <v>0</v>
      </c>
      <c r="I144" s="14"/>
      <c r="J144" s="243">
        <f t="shared" ref="J144:J146" si="4">BQ51</f>
        <v>0</v>
      </c>
      <c r="K144" s="14"/>
      <c r="L144" s="243">
        <f>BX51</f>
        <v>0</v>
      </c>
      <c r="M144" s="14"/>
      <c r="N144" s="247">
        <f t="shared" ca="1" si="3"/>
        <v>0</v>
      </c>
    </row>
    <row r="145" spans="5:26" x14ac:dyDescent="0.2">
      <c r="E145" s="230" t="s">
        <v>447</v>
      </c>
      <c r="F145" s="243">
        <v>0</v>
      </c>
      <c r="G145" s="14"/>
      <c r="H145" s="243">
        <f ca="1"/>
        <v>-12244393.644879689</v>
      </c>
      <c r="I145" s="14"/>
      <c r="J145" s="243">
        <f t="shared" si="4"/>
        <v>0</v>
      </c>
      <c r="K145" s="14"/>
      <c r="L145" s="243">
        <f>BX52</f>
        <v>0</v>
      </c>
      <c r="M145" s="14"/>
      <c r="N145" s="247">
        <f t="shared" ca="1" si="3"/>
        <v>-12244393.644879689</v>
      </c>
    </row>
    <row r="146" spans="5:26" x14ac:dyDescent="0.2">
      <c r="E146" s="230" t="s">
        <v>457</v>
      </c>
      <c r="F146" s="243">
        <v>0</v>
      </c>
      <c r="G146" s="14"/>
      <c r="H146" s="243">
        <f ca="1"/>
        <v>-177387.6603372262</v>
      </c>
      <c r="I146" s="14"/>
      <c r="J146" s="243">
        <f t="shared" si="4"/>
        <v>0</v>
      </c>
      <c r="K146" s="14"/>
      <c r="L146" s="243">
        <f>BX53</f>
        <v>0</v>
      </c>
      <c r="M146" s="14"/>
      <c r="N146" s="247">
        <f t="shared" ca="1" si="3"/>
        <v>-177387.6603372262</v>
      </c>
    </row>
    <row r="147" spans="5:26" ht="14" customHeight="1" x14ac:dyDescent="0.2">
      <c r="F147" s="14" t="s">
        <v>370</v>
      </c>
      <c r="G147" s="14"/>
      <c r="H147" s="14" t="s">
        <v>372</v>
      </c>
      <c r="I147" s="14"/>
      <c r="J147" s="52" t="s">
        <v>369</v>
      </c>
      <c r="K147" s="14"/>
      <c r="L147" s="52" t="s">
        <v>38</v>
      </c>
      <c r="M147" s="14"/>
      <c r="N147" s="52" t="e" vm="2">
        <f ca="1">SUM(N111:N146)</f>
        <v>#VALUE!</v>
      </c>
    </row>
    <row r="148" spans="5:26" ht="14" customHeight="1" x14ac:dyDescent="0.2">
      <c r="F148" s="14"/>
      <c r="G148" s="14"/>
      <c r="H148" s="14"/>
      <c r="I148" s="14"/>
      <c r="J148" s="52"/>
      <c r="K148" s="14"/>
      <c r="L148" s="52"/>
      <c r="M148" s="14"/>
      <c r="N148" s="52"/>
    </row>
    <row r="149" spans="5:26" ht="14" customHeight="1" x14ac:dyDescent="0.2">
      <c r="F149" s="14"/>
      <c r="G149" s="14"/>
      <c r="H149" s="14"/>
      <c r="I149" s="14"/>
      <c r="J149" s="52"/>
      <c r="K149" s="14"/>
      <c r="L149" s="52"/>
      <c r="M149" s="14"/>
      <c r="N149" s="52"/>
    </row>
    <row r="150" spans="5:26" ht="14" customHeight="1" x14ac:dyDescent="0.2">
      <c r="F150" s="14"/>
      <c r="G150" s="14"/>
      <c r="H150" s="14"/>
      <c r="I150" s="14"/>
      <c r="J150" s="52"/>
      <c r="K150" s="14"/>
      <c r="L150" s="52"/>
      <c r="M150" s="14"/>
      <c r="N150" s="52"/>
    </row>
    <row r="151" spans="5:26" ht="14" customHeight="1" x14ac:dyDescent="0.2">
      <c r="F151" s="14"/>
      <c r="G151" s="14"/>
      <c r="H151" s="14"/>
      <c r="I151" s="14"/>
      <c r="J151" s="52"/>
      <c r="K151" s="14"/>
      <c r="L151" s="52"/>
      <c r="M151" s="14"/>
      <c r="N151" s="52"/>
    </row>
    <row r="153" spans="5:26" ht="12" customHeight="1" x14ac:dyDescent="0.2"/>
    <row r="154" spans="5:26" ht="12" customHeight="1" x14ac:dyDescent="0.2"/>
    <row r="155" spans="5:26" x14ac:dyDescent="0.2">
      <c r="E155" s="14"/>
    </row>
    <row r="156" spans="5:26" ht="175" x14ac:dyDescent="0.2">
      <c r="E156" s="14"/>
      <c r="F156" s="382" t="s">
        <v>743</v>
      </c>
      <c r="G156" s="382"/>
      <c r="H156" s="382"/>
      <c r="I156" s="382"/>
      <c r="J156" s="382"/>
      <c r="K156" s="382"/>
      <c r="L156" s="382"/>
      <c r="S156" s="233" t="s">
        <v>807</v>
      </c>
      <c r="T156" s="231" t="s">
        <v>808</v>
      </c>
      <c r="U156" s="231" t="s">
        <v>809</v>
      </c>
      <c r="V156" s="231" t="s">
        <v>810</v>
      </c>
      <c r="W156" s="231" t="s">
        <v>811</v>
      </c>
      <c r="X156" s="231" t="s">
        <v>812</v>
      </c>
      <c r="Y156" s="231" t="s">
        <v>813</v>
      </c>
      <c r="Z156" s="231" t="s">
        <v>814</v>
      </c>
    </row>
    <row r="157" spans="5:26" x14ac:dyDescent="0.2">
      <c r="E157" s="14"/>
      <c r="F157" s="14"/>
      <c r="G157" s="14"/>
      <c r="H157" s="14"/>
      <c r="I157" s="14"/>
      <c r="J157" s="14"/>
      <c r="K157" s="14"/>
      <c r="L157" s="14"/>
      <c r="R157" s="132" t="s">
        <v>325</v>
      </c>
      <c r="S157" s="436" t="e" vm="2">
        <f ca="1">Ore_to_PI!AC78</f>
        <v>#VALUE!</v>
      </c>
      <c r="T157" s="437">
        <v>0</v>
      </c>
      <c r="U157" s="437">
        <v>0</v>
      </c>
      <c r="V157" s="234">
        <v>0</v>
      </c>
      <c r="W157" s="234">
        <v>0</v>
      </c>
      <c r="X157" s="234">
        <v>0</v>
      </c>
      <c r="Y157" s="234">
        <v>0</v>
      </c>
      <c r="Z157" s="234">
        <v>0</v>
      </c>
    </row>
    <row r="158" spans="5:26" x14ac:dyDescent="0.2">
      <c r="E158" s="14"/>
      <c r="F158" s="14"/>
      <c r="G158" s="14"/>
      <c r="H158" s="14"/>
      <c r="I158" s="14"/>
      <c r="J158" s="14"/>
      <c r="K158" s="14"/>
      <c r="L158" s="14"/>
      <c r="R158" s="132" t="s">
        <v>326</v>
      </c>
      <c r="S158" s="437">
        <v>0</v>
      </c>
      <c r="T158" s="436">
        <f>L160</f>
        <v>518.86817691568285</v>
      </c>
      <c r="U158" s="437">
        <v>0</v>
      </c>
      <c r="V158" s="234">
        <v>0</v>
      </c>
      <c r="W158" s="234">
        <v>0</v>
      </c>
      <c r="X158" s="234">
        <v>0</v>
      </c>
      <c r="Y158" s="234">
        <v>0</v>
      </c>
      <c r="Z158" s="234">
        <v>0</v>
      </c>
    </row>
    <row r="159" spans="5:26" x14ac:dyDescent="0.2">
      <c r="E159" s="132" t="s">
        <v>325</v>
      </c>
      <c r="F159" s="248" t="e" vm="2">
        <f ca="1">SUM(BB18:BB53)</f>
        <v>#VALUE!</v>
      </c>
      <c r="G159" s="14"/>
      <c r="H159" s="248">
        <v>0</v>
      </c>
      <c r="I159" s="14"/>
      <c r="J159" s="320" t="e" vm="2">
        <f ca="1">SUM(F67:AO67)</f>
        <v>#VALUE!</v>
      </c>
      <c r="K159" s="14"/>
      <c r="L159" s="268" t="e" vm="2">
        <f ca="1">F159+H159-J159</f>
        <v>#VALUE!</v>
      </c>
      <c r="R159" s="132" t="s">
        <v>327</v>
      </c>
      <c r="S159" s="437">
        <v>0</v>
      </c>
      <c r="T159" s="436">
        <f>L161</f>
        <v>125419.28808658384</v>
      </c>
      <c r="U159" s="437">
        <v>0</v>
      </c>
      <c r="V159" s="234">
        <v>0</v>
      </c>
      <c r="W159" s="234">
        <v>0</v>
      </c>
      <c r="X159" s="234">
        <v>0</v>
      </c>
      <c r="Y159" s="234">
        <v>0</v>
      </c>
      <c r="Z159" s="234">
        <v>0</v>
      </c>
    </row>
    <row r="160" spans="5:26" x14ac:dyDescent="0.2">
      <c r="E160" s="132" t="s">
        <v>326</v>
      </c>
      <c r="F160" s="248">
        <f>SUM(BC18:BC53)</f>
        <v>-2525792.5552207916</v>
      </c>
      <c r="G160" s="14"/>
      <c r="H160" s="248">
        <v>0</v>
      </c>
      <c r="I160" s="14"/>
      <c r="J160" s="320">
        <f>SUM(F68:AO68)</f>
        <v>-2526311.4233977073</v>
      </c>
      <c r="K160" s="14"/>
      <c r="L160" s="268">
        <f t="shared" ref="L160:L173" si="5">F160+H160-J160</f>
        <v>518.86817691568285</v>
      </c>
      <c r="R160" s="132" t="s">
        <v>455</v>
      </c>
      <c r="S160" s="437">
        <v>0</v>
      </c>
      <c r="T160" s="437">
        <v>0</v>
      </c>
      <c r="U160" s="252">
        <f>L162</f>
        <v>609792.25175934844</v>
      </c>
      <c r="V160" s="234">
        <v>0</v>
      </c>
      <c r="W160" s="234">
        <v>0</v>
      </c>
      <c r="X160" s="234">
        <v>0</v>
      </c>
      <c r="Y160" s="234">
        <v>0</v>
      </c>
      <c r="Z160" s="234">
        <v>0</v>
      </c>
    </row>
    <row r="161" spans="5:26" x14ac:dyDescent="0.2">
      <c r="E161" s="132" t="s">
        <v>327</v>
      </c>
      <c r="F161" s="248">
        <f>SUM(BD18:BD53)</f>
        <v>9999138.500261236</v>
      </c>
      <c r="G161" s="14"/>
      <c r="H161" s="248">
        <f>Ore_to_PI!AC195</f>
        <v>80616.370239891301</v>
      </c>
      <c r="I161" s="14"/>
      <c r="J161" s="320">
        <f>SUM(F69:AO69)</f>
        <v>9954335.5824145433</v>
      </c>
      <c r="K161" s="14"/>
      <c r="L161" s="268">
        <f t="shared" si="5"/>
        <v>125419.28808658384</v>
      </c>
      <c r="R161" s="132" t="s">
        <v>435</v>
      </c>
      <c r="S161" s="437">
        <v>0</v>
      </c>
      <c r="T161" s="437">
        <v>0</v>
      </c>
      <c r="U161" s="252">
        <f t="shared" ref="U161:U162" si="6">L163</f>
        <v>2824.8856477448717</v>
      </c>
      <c r="V161" s="234">
        <v>0</v>
      </c>
      <c r="W161" s="234">
        <v>0</v>
      </c>
      <c r="X161" s="234">
        <v>0</v>
      </c>
      <c r="Y161" s="234">
        <v>0</v>
      </c>
      <c r="Z161" s="234">
        <v>0</v>
      </c>
    </row>
    <row r="162" spans="5:26" x14ac:dyDescent="0.2">
      <c r="E162" s="132" t="s">
        <v>455</v>
      </c>
      <c r="F162" s="248">
        <f>SUM(BE18:BE53)</f>
        <v>-6518321.9740549196</v>
      </c>
      <c r="G162" s="14"/>
      <c r="H162" s="248">
        <f>Ore_to_PI!AU28</f>
        <v>609792.2517593482</v>
      </c>
      <c r="I162" s="14"/>
      <c r="J162" s="320">
        <f>SUM(F70:AO70)</f>
        <v>-6518321.9740549196</v>
      </c>
      <c r="K162" s="14"/>
      <c r="L162" s="268">
        <f t="shared" si="5"/>
        <v>609792.25175934844</v>
      </c>
      <c r="R162" s="132" t="s">
        <v>434</v>
      </c>
      <c r="S162" s="437">
        <v>0</v>
      </c>
      <c r="T162" s="437">
        <v>0</v>
      </c>
      <c r="U162" s="252">
        <f t="shared" si="6"/>
        <v>282.12877103127539</v>
      </c>
      <c r="V162" s="234">
        <v>0</v>
      </c>
      <c r="W162" s="234">
        <v>0</v>
      </c>
      <c r="X162" s="234">
        <v>0</v>
      </c>
      <c r="Y162" s="234">
        <v>0</v>
      </c>
      <c r="Z162" s="234">
        <v>0</v>
      </c>
    </row>
    <row r="163" spans="5:26" x14ac:dyDescent="0.2">
      <c r="E163" s="132" t="s">
        <v>435</v>
      </c>
      <c r="F163" s="248">
        <f>SUM(BF18:BF53)</f>
        <v>-2526033.0144413249</v>
      </c>
      <c r="G163" s="14"/>
      <c r="H163" s="248">
        <f>Ore_to_PI!AU113</f>
        <v>2824.8856477449194</v>
      </c>
      <c r="I163" s="14"/>
      <c r="J163" s="320">
        <f>SUM(F71:AO71)</f>
        <v>-2526033.0144413249</v>
      </c>
      <c r="K163" s="14"/>
      <c r="L163" s="268">
        <f t="shared" si="5"/>
        <v>2824.8856477448717</v>
      </c>
      <c r="R163" s="132" t="s">
        <v>351</v>
      </c>
      <c r="S163" s="437">
        <v>0</v>
      </c>
      <c r="T163" s="437">
        <v>0</v>
      </c>
      <c r="U163" s="437">
        <v>0</v>
      </c>
      <c r="V163" s="234">
        <f>L165</f>
        <v>12626.098826337606</v>
      </c>
      <c r="W163" s="234">
        <v>0</v>
      </c>
      <c r="X163" s="234">
        <v>0</v>
      </c>
      <c r="Y163" s="234">
        <v>0</v>
      </c>
      <c r="Z163" s="234">
        <v>0</v>
      </c>
    </row>
    <row r="164" spans="5:26" x14ac:dyDescent="0.2">
      <c r="E164" s="132" t="s">
        <v>434</v>
      </c>
      <c r="F164" s="248">
        <f>SUM(BG18:BG53)</f>
        <v>9977311.3783394694</v>
      </c>
      <c r="G164" s="14"/>
      <c r="H164" s="248">
        <f>Ore_to_PI!AU190</f>
        <v>282.1287710315147</v>
      </c>
      <c r="I164" s="14"/>
      <c r="J164" s="320">
        <f>SUM(F72:AO72)</f>
        <v>9977311.3783394694</v>
      </c>
      <c r="K164" s="14"/>
      <c r="L164" s="268">
        <f t="shared" si="5"/>
        <v>282.12877103127539</v>
      </c>
      <c r="R164" s="132" t="s">
        <v>348</v>
      </c>
      <c r="S164" s="234">
        <v>0</v>
      </c>
      <c r="T164" s="234">
        <v>0</v>
      </c>
      <c r="U164" s="234">
        <f>L166</f>
        <v>34.678095164243132</v>
      </c>
      <c r="V164" s="234">
        <v>0</v>
      </c>
      <c r="W164" s="234">
        <v>0</v>
      </c>
      <c r="X164" s="234">
        <v>0</v>
      </c>
      <c r="Y164" s="234">
        <v>0</v>
      </c>
      <c r="Z164" s="234">
        <v>0</v>
      </c>
    </row>
    <row r="165" spans="5:26" x14ac:dyDescent="0.2">
      <c r="E165" s="132" t="s">
        <v>351</v>
      </c>
      <c r="F165" s="248">
        <f>SUM(BH18:BH53)</f>
        <v>-6518321.9740549196</v>
      </c>
      <c r="G165" s="14"/>
      <c r="H165" s="248">
        <f>Ore_to_PI!BN35</f>
        <v>12626.098826338684</v>
      </c>
      <c r="I165" s="14"/>
      <c r="J165" s="320">
        <f>SUM(F73:AO73)</f>
        <v>-6518321.9740549186</v>
      </c>
      <c r="K165" s="14"/>
      <c r="L165" s="268">
        <f t="shared" si="5"/>
        <v>12626.098826337606</v>
      </c>
      <c r="R165" s="132" t="s">
        <v>362</v>
      </c>
      <c r="S165" s="234">
        <v>0</v>
      </c>
      <c r="T165" s="234">
        <v>0</v>
      </c>
      <c r="U165" s="234">
        <f>L167</f>
        <v>50.35808415338397</v>
      </c>
      <c r="V165" s="234">
        <v>0</v>
      </c>
      <c r="W165" s="234">
        <v>0</v>
      </c>
      <c r="X165" s="234">
        <v>0</v>
      </c>
      <c r="Y165" s="234">
        <v>0</v>
      </c>
      <c r="Z165" s="234">
        <v>0</v>
      </c>
    </row>
    <row r="166" spans="5:26" x14ac:dyDescent="0.2">
      <c r="E166" s="132" t="s">
        <v>348</v>
      </c>
      <c r="F166" s="248">
        <f>SUM(BI18:BI53)</f>
        <v>-2526033.0144413249</v>
      </c>
      <c r="G166" s="14" t="s">
        <v>371</v>
      </c>
      <c r="H166" s="248">
        <f>Ore_to_PI!BM116</f>
        <v>34.678095164114971</v>
      </c>
      <c r="I166" s="249" t="s">
        <v>378</v>
      </c>
      <c r="J166" s="320">
        <f>SUM(F74:AO74)</f>
        <v>-2526033.0144413249</v>
      </c>
      <c r="K166" s="249" t="s">
        <v>374</v>
      </c>
      <c r="L166" s="268">
        <f t="shared" si="5"/>
        <v>34.678095164243132</v>
      </c>
      <c r="R166" s="132" t="s">
        <v>349</v>
      </c>
      <c r="S166" s="234">
        <v>0</v>
      </c>
      <c r="T166" s="234">
        <v>0</v>
      </c>
      <c r="U166" s="234">
        <v>0</v>
      </c>
      <c r="V166" s="234">
        <v>0</v>
      </c>
      <c r="W166" s="234">
        <f>L168</f>
        <v>1515160.1036388339</v>
      </c>
      <c r="X166" s="234">
        <v>0</v>
      </c>
      <c r="Y166" s="234">
        <v>0</v>
      </c>
      <c r="Z166" s="234">
        <v>0</v>
      </c>
    </row>
    <row r="167" spans="5:26" x14ac:dyDescent="0.2">
      <c r="E167" s="132" t="s">
        <v>362</v>
      </c>
      <c r="F167" s="248">
        <f>SUM(BJ18:BJ53)</f>
        <v>9977311.3783394694</v>
      </c>
      <c r="G167" s="14"/>
      <c r="H167" s="248">
        <f>Ore_to_PI!BM195</f>
        <v>50.358084153937838</v>
      </c>
      <c r="I167" s="14"/>
      <c r="J167" s="320">
        <f>SUM(F75:AO75)</f>
        <v>9977311.3783394694</v>
      </c>
      <c r="K167" s="14"/>
      <c r="L167" s="268">
        <f t="shared" si="5"/>
        <v>50.35808415338397</v>
      </c>
      <c r="R167" s="132" t="s">
        <v>344</v>
      </c>
      <c r="S167" s="234">
        <v>0</v>
      </c>
      <c r="T167" s="234">
        <v>0</v>
      </c>
      <c r="U167" s="234">
        <v>0</v>
      </c>
      <c r="V167" s="234">
        <v>0</v>
      </c>
      <c r="W167" s="234">
        <v>0</v>
      </c>
      <c r="X167" s="234">
        <f>L169</f>
        <v>14519667.467864737</v>
      </c>
      <c r="Y167" s="234">
        <v>0</v>
      </c>
      <c r="Z167" s="234">
        <v>0</v>
      </c>
    </row>
    <row r="168" spans="5:26" x14ac:dyDescent="0.2">
      <c r="E168" s="132" t="s">
        <v>349</v>
      </c>
      <c r="F168" s="248">
        <f>SUM(BK18:BK53)</f>
        <v>-2701015.3480292945</v>
      </c>
      <c r="G168" s="14"/>
      <c r="H168" s="248">
        <v>0</v>
      </c>
      <c r="I168" s="14"/>
      <c r="J168" s="320">
        <f>SUM(F76:AO76)</f>
        <v>-4216175.4516681284</v>
      </c>
      <c r="K168" s="14"/>
      <c r="L168" s="268">
        <f t="shared" si="5"/>
        <v>1515160.1036388339</v>
      </c>
      <c r="R168" s="132" t="s">
        <v>514</v>
      </c>
      <c r="S168" s="234">
        <v>0</v>
      </c>
      <c r="T168" s="234">
        <v>0</v>
      </c>
      <c r="U168" s="234">
        <v>0</v>
      </c>
      <c r="V168" s="234">
        <v>0</v>
      </c>
      <c r="W168" s="234">
        <v>0</v>
      </c>
      <c r="X168" s="234">
        <v>0</v>
      </c>
      <c r="Y168" s="234">
        <f>L170</f>
        <v>21413.842918272028</v>
      </c>
      <c r="Z168" s="234">
        <v>0</v>
      </c>
    </row>
    <row r="169" spans="5:26" x14ac:dyDescent="0.2">
      <c r="E169" s="132" t="s">
        <v>344</v>
      </c>
      <c r="F169" s="248">
        <f>SUM(BL18:BL53)</f>
        <v>9028104.9528587945</v>
      </c>
      <c r="G169" s="14"/>
      <c r="H169" s="248">
        <v>0</v>
      </c>
      <c r="I169" s="14"/>
      <c r="J169" s="320">
        <f>SUM(F77:AO77)</f>
        <v>-5491562.5150059424</v>
      </c>
      <c r="K169" s="14"/>
      <c r="L169" s="268">
        <f t="shared" si="5"/>
        <v>14519667.467864737</v>
      </c>
      <c r="R169" s="132" t="s">
        <v>516</v>
      </c>
      <c r="S169" s="234">
        <v>0</v>
      </c>
      <c r="T169" s="234">
        <v>0</v>
      </c>
      <c r="U169" s="234">
        <v>0</v>
      </c>
      <c r="V169" s="234">
        <v>0</v>
      </c>
      <c r="W169" s="234">
        <v>0</v>
      </c>
      <c r="X169" s="234">
        <v>0</v>
      </c>
      <c r="Y169" s="234">
        <v>0</v>
      </c>
      <c r="Z169" s="234">
        <v>0</v>
      </c>
    </row>
    <row r="170" spans="5:26" x14ac:dyDescent="0.2">
      <c r="E170" s="132" t="s">
        <v>514</v>
      </c>
      <c r="F170" s="248">
        <f>SUM(BM18:BM53)</f>
        <v>-79567.804564237085</v>
      </c>
      <c r="G170" s="14"/>
      <c r="H170" s="248">
        <f>Ore_to_PI!DD229</f>
        <v>33191.859393697465</v>
      </c>
      <c r="I170" s="14"/>
      <c r="J170" s="320">
        <f>SUM(F78:AO78)</f>
        <v>-67789.788088811649</v>
      </c>
      <c r="K170" s="14"/>
      <c r="L170" s="268">
        <f t="shared" si="5"/>
        <v>21413.842918272028</v>
      </c>
      <c r="R170" s="132" t="s">
        <v>76</v>
      </c>
      <c r="S170" s="234">
        <v>0</v>
      </c>
      <c r="T170" s="234">
        <v>0</v>
      </c>
      <c r="U170" s="234">
        <v>0</v>
      </c>
      <c r="V170" s="234">
        <v>0</v>
      </c>
      <c r="W170" s="234">
        <v>0</v>
      </c>
      <c r="X170" s="234">
        <v>0</v>
      </c>
      <c r="Y170" s="234">
        <v>0</v>
      </c>
      <c r="Z170" s="234">
        <v>0</v>
      </c>
    </row>
    <row r="171" spans="5:26" x14ac:dyDescent="0.2">
      <c r="E171" s="132" t="s">
        <v>516</v>
      </c>
      <c r="F171" s="248">
        <f>SUM(BN18:BN53)</f>
        <v>-67789.788088811649</v>
      </c>
      <c r="G171" s="14"/>
      <c r="H171" s="248">
        <v>0</v>
      </c>
      <c r="I171" s="14"/>
      <c r="J171" s="320">
        <f>SUM(F79:AO79)</f>
        <v>-67789.788088811649</v>
      </c>
      <c r="K171" s="14"/>
      <c r="L171" s="268">
        <f t="shared" si="5"/>
        <v>0</v>
      </c>
      <c r="R171" s="132" t="s">
        <v>337</v>
      </c>
      <c r="S171" s="234">
        <v>0</v>
      </c>
      <c r="T171" s="234">
        <v>0</v>
      </c>
      <c r="U171" s="234">
        <v>0</v>
      </c>
      <c r="V171" s="234">
        <v>0</v>
      </c>
      <c r="W171" s="234">
        <v>0</v>
      </c>
      <c r="X171" s="234">
        <v>0</v>
      </c>
      <c r="Y171" s="234">
        <v>0</v>
      </c>
      <c r="Z171" s="234">
        <f>L173</f>
        <v>11186112.196651561</v>
      </c>
    </row>
    <row r="172" spans="5:26" x14ac:dyDescent="0.2">
      <c r="E172" s="132" t="s">
        <v>76</v>
      </c>
      <c r="F172" s="248">
        <f>SUM(BO18:BO53)</f>
        <v>-1492361.3787619509</v>
      </c>
      <c r="G172" s="14"/>
      <c r="H172" s="248">
        <v>0</v>
      </c>
      <c r="I172" s="14"/>
      <c r="J172" s="320">
        <f>SUM(F80:AO80)</f>
        <v>-1492361.3787619506</v>
      </c>
      <c r="K172" s="14"/>
      <c r="L172" s="268">
        <f t="shared" si="5"/>
        <v>0</v>
      </c>
    </row>
    <row r="173" spans="5:26" x14ac:dyDescent="0.2">
      <c r="E173" s="132" t="s">
        <v>337</v>
      </c>
      <c r="F173" s="248">
        <f>SUM(BP18:BP53)</f>
        <v>-1554599.2127971007</v>
      </c>
      <c r="G173" s="14"/>
      <c r="H173" s="250">
        <f>Ore_to_PI!EU117</f>
        <v>318930.1042317453</v>
      </c>
      <c r="I173" s="249"/>
      <c r="J173" s="320">
        <f>SUM(F81:AO81)</f>
        <v>-12421781.305216916</v>
      </c>
      <c r="K173" s="14"/>
      <c r="L173" s="268">
        <f t="shared" si="5"/>
        <v>11186112.196651561</v>
      </c>
    </row>
    <row r="174" spans="5:26" ht="17" x14ac:dyDescent="0.2">
      <c r="F174" s="14" t="s">
        <v>577</v>
      </c>
      <c r="G174" s="249"/>
      <c r="H174" s="249" t="s">
        <v>196</v>
      </c>
      <c r="I174" s="249"/>
      <c r="J174" s="52" t="s">
        <v>365</v>
      </c>
      <c r="K174" s="14"/>
      <c r="L174" s="249" t="s">
        <v>578</v>
      </c>
    </row>
    <row r="179" spans="5:12" x14ac:dyDescent="0.2">
      <c r="F179" s="382" t="s">
        <v>744</v>
      </c>
      <c r="G179" s="382"/>
      <c r="H179" s="382"/>
      <c r="I179" s="382"/>
      <c r="J179" s="382"/>
      <c r="K179" s="382"/>
      <c r="L179" s="382"/>
    </row>
    <row r="181" spans="5:12" ht="17" customHeight="1" x14ac:dyDescent="0.2">
      <c r="E181" s="132" t="s">
        <v>325</v>
      </c>
      <c r="F181" s="321" t="e" cm="1" vm="2">
        <f t="array" aca="1" ref="F181:F195" ca="1">TRANSPOSE(BB55:BP55)</f>
        <v>#VALUE!</v>
      </c>
      <c r="H181" s="322" cm="1">
        <f t="array" ref="H181:H195">H159:H173</f>
        <v>0</v>
      </c>
      <c r="J181" s="321" t="e" cm="1" vm="2">
        <f t="array" aca="1" ref="J181:J195" ca="1">AP67:AP81</f>
        <v>#VALUE!</v>
      </c>
      <c r="L181" s="314" t="e" vm="2">
        <f ca="1">F181+H181-J181</f>
        <v>#VALUE!</v>
      </c>
    </row>
    <row r="182" spans="5:12" x14ac:dyDescent="0.2">
      <c r="E182" s="132" t="s">
        <v>326</v>
      </c>
      <c r="F182" s="321">
        <f ca="1"/>
        <v>-2525792.5552207916</v>
      </c>
      <c r="H182" s="322">
        <v>0</v>
      </c>
      <c r="J182" s="321">
        <f ca="1"/>
        <v>-2526311.4233977073</v>
      </c>
      <c r="L182" s="314">
        <f ca="1">F182+H182-J182</f>
        <v>518.86817691568285</v>
      </c>
    </row>
    <row r="183" spans="5:12" x14ac:dyDescent="0.2">
      <c r="E183" s="132" t="s">
        <v>327</v>
      </c>
      <c r="F183" s="321">
        <f ca="1"/>
        <v>9999138.500261236</v>
      </c>
      <c r="H183" s="322">
        <v>80616.370239891301</v>
      </c>
      <c r="J183" s="321">
        <f ca="1"/>
        <v>9954335.5824145433</v>
      </c>
      <c r="L183" s="314">
        <f ca="1">F183+H183-J183</f>
        <v>125419.28808658384</v>
      </c>
    </row>
    <row r="184" spans="5:12" x14ac:dyDescent="0.2">
      <c r="E184" s="132" t="s">
        <v>455</v>
      </c>
      <c r="F184" s="321">
        <f ca="1"/>
        <v>-6518321.9740549196</v>
      </c>
      <c r="H184" s="322">
        <v>609792.2517593482</v>
      </c>
      <c r="J184" s="321">
        <f ca="1"/>
        <v>-6518321.9740549196</v>
      </c>
      <c r="L184" s="314">
        <f ca="1">F184+H184-J184</f>
        <v>609792.25175934844</v>
      </c>
    </row>
    <row r="185" spans="5:12" x14ac:dyDescent="0.2">
      <c r="E185" s="132" t="s">
        <v>435</v>
      </c>
      <c r="F185" s="321">
        <f ca="1"/>
        <v>-2526033.0144413249</v>
      </c>
      <c r="H185" s="322">
        <v>2824.8856477449194</v>
      </c>
      <c r="J185" s="321">
        <f ca="1"/>
        <v>-2526033.0144413249</v>
      </c>
      <c r="L185" s="314">
        <f ca="1">F185+H185-J185</f>
        <v>2824.8856477448717</v>
      </c>
    </row>
    <row r="186" spans="5:12" x14ac:dyDescent="0.2">
      <c r="E186" s="132" t="s">
        <v>434</v>
      </c>
      <c r="F186" s="321">
        <f ca="1"/>
        <v>9977311.3783394694</v>
      </c>
      <c r="H186" s="322">
        <v>282.1287710315147</v>
      </c>
      <c r="J186" s="321">
        <f ca="1"/>
        <v>9977311.3783394694</v>
      </c>
      <c r="L186" s="314">
        <f ca="1">F186+H186-J186</f>
        <v>282.12877103127539</v>
      </c>
    </row>
    <row r="187" spans="5:12" x14ac:dyDescent="0.2">
      <c r="E187" s="132" t="s">
        <v>351</v>
      </c>
      <c r="F187" s="321">
        <f ca="1"/>
        <v>-6518321.9740549196</v>
      </c>
      <c r="G187" s="304" t="s">
        <v>371</v>
      </c>
      <c r="H187" s="322">
        <v>12626.098826338684</v>
      </c>
      <c r="I187" s="304" t="s">
        <v>378</v>
      </c>
      <c r="J187" s="321">
        <f ca="1"/>
        <v>-6518321.9740549186</v>
      </c>
      <c r="K187" s="304" t="s">
        <v>374</v>
      </c>
      <c r="L187" s="314">
        <f ca="1">F187+H187-J187</f>
        <v>12626.098826337606</v>
      </c>
    </row>
    <row r="188" spans="5:12" x14ac:dyDescent="0.2">
      <c r="E188" s="132" t="s">
        <v>348</v>
      </c>
      <c r="F188" s="321">
        <f ca="1"/>
        <v>-2526033.0144413249</v>
      </c>
      <c r="H188" s="322">
        <v>34.678095164114971</v>
      </c>
      <c r="J188" s="321">
        <f ca="1"/>
        <v>-2526033.0144413249</v>
      </c>
      <c r="L188" s="314">
        <f ca="1">F188+H188-J188</f>
        <v>34.678095164243132</v>
      </c>
    </row>
    <row r="189" spans="5:12" x14ac:dyDescent="0.2">
      <c r="E189" s="132" t="s">
        <v>362</v>
      </c>
      <c r="F189" s="321">
        <f ca="1"/>
        <v>9977311.3783394694</v>
      </c>
      <c r="H189" s="322">
        <v>50.358084153937838</v>
      </c>
      <c r="J189" s="321">
        <f ca="1"/>
        <v>9977311.3783394694</v>
      </c>
      <c r="L189" s="314">
        <f ca="1">F189+H189-J189</f>
        <v>50.35808415338397</v>
      </c>
    </row>
    <row r="190" spans="5:12" x14ac:dyDescent="0.2">
      <c r="E190" s="132" t="s">
        <v>349</v>
      </c>
      <c r="F190" s="321">
        <f ca="1"/>
        <v>-2701015.3480292945</v>
      </c>
      <c r="H190" s="322">
        <v>0</v>
      </c>
      <c r="J190" s="321">
        <f ca="1"/>
        <v>-4216175.4516681284</v>
      </c>
      <c r="L190" s="314">
        <f ca="1">F190+H190-J190</f>
        <v>1515160.1036388339</v>
      </c>
    </row>
    <row r="191" spans="5:12" x14ac:dyDescent="0.2">
      <c r="E191" s="132" t="s">
        <v>344</v>
      </c>
      <c r="F191" s="321">
        <f ca="1"/>
        <v>9028104.9528587945</v>
      </c>
      <c r="H191" s="322">
        <v>0</v>
      </c>
      <c r="J191" s="321">
        <f ca="1"/>
        <v>-5491562.5150059424</v>
      </c>
      <c r="L191" s="314">
        <f ca="1">F191+H191-J191</f>
        <v>14519667.467864737</v>
      </c>
    </row>
    <row r="192" spans="5:12" x14ac:dyDescent="0.2">
      <c r="E192" s="132" t="s">
        <v>514</v>
      </c>
      <c r="F192" s="321">
        <f ca="1"/>
        <v>-79567.804564237085</v>
      </c>
      <c r="H192" s="322">
        <v>33191.859393697465</v>
      </c>
      <c r="J192" s="321">
        <f ca="1"/>
        <v>-67789.788088811649</v>
      </c>
      <c r="L192" s="314">
        <f ca="1">F192+H192-J192</f>
        <v>21413.842918272028</v>
      </c>
    </row>
    <row r="193" spans="5:12" x14ac:dyDescent="0.2">
      <c r="E193" s="132" t="s">
        <v>516</v>
      </c>
      <c r="F193" s="321">
        <f ca="1"/>
        <v>-67789.788088811649</v>
      </c>
      <c r="H193" s="322">
        <v>0</v>
      </c>
      <c r="J193" s="321">
        <f ca="1"/>
        <v>-67789.788088811649</v>
      </c>
      <c r="L193" s="314">
        <f ca="1">F193+H193-J193</f>
        <v>0</v>
      </c>
    </row>
    <row r="194" spans="5:12" x14ac:dyDescent="0.2">
      <c r="E194" s="132" t="s">
        <v>76</v>
      </c>
      <c r="F194" s="321">
        <f ca="1"/>
        <v>-1492361.3787619509</v>
      </c>
      <c r="H194" s="322">
        <v>0</v>
      </c>
      <c r="J194" s="321">
        <f ca="1"/>
        <v>-1492361.3787619506</v>
      </c>
      <c r="L194" s="314">
        <f ca="1">F194+H194-J194</f>
        <v>0</v>
      </c>
    </row>
    <row r="195" spans="5:12" x14ac:dyDescent="0.2">
      <c r="E195" s="132" t="s">
        <v>337</v>
      </c>
      <c r="F195" s="321">
        <f ca="1"/>
        <v>-1554599.2127971007</v>
      </c>
      <c r="H195" s="322">
        <v>318930.1042317453</v>
      </c>
      <c r="J195" s="321">
        <f ca="1"/>
        <v>-12421781.305216916</v>
      </c>
      <c r="L195" s="314">
        <f ca="1">F195+H195-J195</f>
        <v>11186112.196651561</v>
      </c>
    </row>
    <row r="196" spans="5:12" ht="17" x14ac:dyDescent="0.2">
      <c r="F196" s="14" t="s">
        <v>577</v>
      </c>
      <c r="G196" s="249"/>
      <c r="H196" s="249" t="s">
        <v>196</v>
      </c>
      <c r="I196" s="249"/>
      <c r="J196" s="52" t="s">
        <v>365</v>
      </c>
      <c r="L196" s="319">
        <v>0</v>
      </c>
    </row>
  </sheetData>
  <mergeCells count="11">
    <mergeCell ref="F82:AO82"/>
    <mergeCell ref="F179:L179"/>
    <mergeCell ref="F55:G55"/>
    <mergeCell ref="BB54:BP54"/>
    <mergeCell ref="BV54:BW54"/>
    <mergeCell ref="F103:AO103"/>
    <mergeCell ref="F108:N108"/>
    <mergeCell ref="F156:L156"/>
    <mergeCell ref="BB56:BP56"/>
    <mergeCell ref="F105:AW105"/>
    <mergeCell ref="F84:AW84"/>
  </mergeCells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topLeftCell="AW31" zoomScale="116" zoomScaleNormal="25" workbookViewId="0">
      <selection activeCell="AW63" sqref="AW63"/>
    </sheetView>
  </sheetViews>
  <sheetFormatPr baseColWidth="10" defaultColWidth="11.5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2.83203125" bestFit="1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4:20" x14ac:dyDescent="0.2">
      <c r="T1" s="3"/>
    </row>
    <row r="2" spans="4:20" x14ac:dyDescent="0.2">
      <c r="T2" s="3"/>
    </row>
    <row r="3" spans="4:20" x14ac:dyDescent="0.2">
      <c r="T3" s="3"/>
    </row>
    <row r="6" spans="4:20" x14ac:dyDescent="0.2">
      <c r="T6" s="3"/>
    </row>
    <row r="7" spans="4:20" x14ac:dyDescent="0.2">
      <c r="T7" s="3"/>
    </row>
    <row r="8" spans="4:20" x14ac:dyDescent="0.2">
      <c r="D8" t="s">
        <v>740</v>
      </c>
      <c r="G8" t="s">
        <v>739</v>
      </c>
      <c r="T8" s="3"/>
    </row>
    <row r="9" spans="4:20" x14ac:dyDescent="0.2">
      <c r="T9" s="3"/>
    </row>
    <row r="11" spans="4:20" x14ac:dyDescent="0.2">
      <c r="T11" s="3"/>
    </row>
    <row r="12" spans="4:20" x14ac:dyDescent="0.2">
      <c r="T12" s="3"/>
    </row>
    <row r="13" spans="4:20" x14ac:dyDescent="0.2">
      <c r="T13" s="3"/>
    </row>
    <row r="23" spans="14:66" ht="15" customHeight="1" x14ac:dyDescent="0.2">
      <c r="P23" s="402" t="s">
        <v>285</v>
      </c>
      <c r="Q23" s="402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" customHeight="1" x14ac:dyDescent="0.2">
      <c r="P24" s="403"/>
      <c r="Q24" s="403"/>
    </row>
    <row r="25" spans="14:66" ht="16" customHeight="1" x14ac:dyDescent="0.2">
      <c r="P25" s="395" t="s">
        <v>269</v>
      </c>
      <c r="Q25" s="98" t="s">
        <v>245</v>
      </c>
      <c r="AO25" s="405" t="s">
        <v>346</v>
      </c>
      <c r="AP25" s="405"/>
      <c r="AQ25" s="405"/>
      <c r="AR25" s="405"/>
      <c r="AS25" s="405"/>
      <c r="AT25" s="405"/>
      <c r="AU25" s="405"/>
      <c r="BH25" s="405" t="s">
        <v>350</v>
      </c>
      <c r="BI25" s="405"/>
      <c r="BJ25" s="405"/>
      <c r="BK25" s="405"/>
      <c r="BL25" s="405"/>
      <c r="BM25" s="405"/>
      <c r="BN25" s="405"/>
    </row>
    <row r="26" spans="14:66" x14ac:dyDescent="0.2">
      <c r="P26" s="398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7" customHeight="1" x14ac:dyDescent="0.25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 x14ac:dyDescent="0.2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" customHeight="1" x14ac:dyDescent="0.2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 x14ac:dyDescent="0.2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 x14ac:dyDescent="0.2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 x14ac:dyDescent="0.2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 x14ac:dyDescent="0.2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 x14ac:dyDescent="0.2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 x14ac:dyDescent="0.2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" customHeight="1" thickBot="1" x14ac:dyDescent="0.25"/>
    <row r="40" spans="5:80" x14ac:dyDescent="0.2">
      <c r="T40" s="335" t="s">
        <v>250</v>
      </c>
      <c r="U40" s="176" t="s">
        <v>1</v>
      </c>
      <c r="V40" s="175" t="s">
        <v>0</v>
      </c>
      <c r="AM40" s="335" t="s">
        <v>250</v>
      </c>
      <c r="AN40" s="176" t="s">
        <v>1</v>
      </c>
      <c r="AO40" s="175" t="s">
        <v>0</v>
      </c>
      <c r="BF40" s="335" t="s">
        <v>250</v>
      </c>
      <c r="BG40" s="176" t="s">
        <v>1</v>
      </c>
      <c r="BH40" s="175" t="s">
        <v>0</v>
      </c>
      <c r="BY40" s="335" t="s">
        <v>250</v>
      </c>
      <c r="BZ40" s="176" t="s">
        <v>1</v>
      </c>
      <c r="CA40" s="175" t="s">
        <v>0</v>
      </c>
    </row>
    <row r="41" spans="5:80" ht="18" customHeight="1" x14ac:dyDescent="0.25">
      <c r="J41" s="21"/>
      <c r="K41" s="21"/>
      <c r="N41" s="21"/>
      <c r="O41" s="21"/>
      <c r="Q41" s="152"/>
      <c r="R41" s="152"/>
      <c r="S41" s="21"/>
      <c r="T41" s="191" t="s">
        <v>510</v>
      </c>
      <c r="U41" s="178" t="s">
        <v>83</v>
      </c>
      <c r="V41" s="177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191" t="s">
        <v>510</v>
      </c>
      <c r="AN41" s="178" t="s">
        <v>83</v>
      </c>
      <c r="AO41" s="177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191" t="s">
        <v>510</v>
      </c>
      <c r="BG41" s="178" t="s">
        <v>83</v>
      </c>
      <c r="BH41" s="177" t="s">
        <v>87</v>
      </c>
      <c r="BI41" s="21"/>
      <c r="BY41" s="191" t="s">
        <v>510</v>
      </c>
      <c r="BZ41" s="178" t="s">
        <v>83</v>
      </c>
      <c r="CA41" s="177" t="s">
        <v>87</v>
      </c>
    </row>
    <row r="42" spans="5:80" ht="16" customHeight="1" thickBot="1" x14ac:dyDescent="0.25">
      <c r="E42" s="411" t="s">
        <v>332</v>
      </c>
      <c r="F42" s="411"/>
      <c r="G42" s="411"/>
      <c r="H42" s="411"/>
      <c r="J42" s="21"/>
      <c r="K42" s="21"/>
      <c r="L42" s="21"/>
      <c r="M42" s="21"/>
      <c r="N42" s="21"/>
      <c r="O42" s="21"/>
      <c r="P42" s="152"/>
      <c r="Q42" s="152" t="s">
        <v>333</v>
      </c>
      <c r="R42" s="152"/>
      <c r="S42" s="21"/>
      <c r="T42" s="336">
        <f>V42/U42</f>
        <v>106.92660448984697</v>
      </c>
      <c r="U42" s="174">
        <f>K52</f>
        <v>1011.7674660019052</v>
      </c>
      <c r="V42" s="173">
        <f>V52</f>
        <v>108184.8596728804</v>
      </c>
      <c r="W42" s="399" t="s">
        <v>325</v>
      </c>
      <c r="X42" s="399"/>
      <c r="Y42" s="399"/>
      <c r="Z42" s="399"/>
      <c r="AA42" s="399"/>
      <c r="AB42" s="21"/>
      <c r="AC42" s="21"/>
      <c r="AD42" s="21"/>
      <c r="AE42" s="21"/>
      <c r="AF42" s="21"/>
      <c r="AG42" s="21"/>
      <c r="AH42" s="21"/>
      <c r="AI42" s="186"/>
      <c r="AJ42" s="21" t="s">
        <v>442</v>
      </c>
      <c r="AK42" s="21"/>
      <c r="AL42" s="21"/>
      <c r="AM42" s="336">
        <f>AO42/AN42</f>
        <v>106.92660448984697</v>
      </c>
      <c r="AN42" s="174">
        <f>AD52</f>
        <v>1011.7674660019052</v>
      </c>
      <c r="AO42" s="173">
        <f>AO52</f>
        <v>108184.8596728804</v>
      </c>
      <c r="AP42" s="399" t="s">
        <v>455</v>
      </c>
      <c r="AQ42" s="399"/>
      <c r="AR42" s="399"/>
      <c r="AS42" s="399"/>
      <c r="AT42" s="399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336">
        <f>BH42/BG42</f>
        <v>106.92660448984697</v>
      </c>
      <c r="BG42" s="174">
        <f>AW52</f>
        <v>1011.7674660019052</v>
      </c>
      <c r="BH42" s="173">
        <f>BH52</f>
        <v>108184.8596728804</v>
      </c>
      <c r="BI42" s="399" t="s">
        <v>351</v>
      </c>
      <c r="BJ42" s="399"/>
      <c r="BK42" s="399"/>
      <c r="BL42" s="399"/>
      <c r="BM42" s="399"/>
      <c r="BV42" s="14" t="s">
        <v>439</v>
      </c>
      <c r="BY42" s="336">
        <f>CA48/BP48</f>
        <v>88.071706245154459</v>
      </c>
      <c r="BZ42" s="174">
        <f>BP48</f>
        <v>1000.0000000000001</v>
      </c>
      <c r="CA42" s="173">
        <f>CA48</f>
        <v>88071.706245154463</v>
      </c>
    </row>
    <row r="43" spans="5:80" ht="16" customHeight="1" thickBot="1" x14ac:dyDescent="0.25">
      <c r="E43" s="411"/>
      <c r="F43" s="411"/>
      <c r="G43" s="411"/>
      <c r="H43" s="411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400"/>
      <c r="X43" s="400"/>
      <c r="Y43" s="400"/>
      <c r="Z43" s="400"/>
      <c r="AA43" s="400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99"/>
      <c r="AQ43" s="399"/>
      <c r="AR43" s="399"/>
      <c r="AS43" s="399"/>
      <c r="AT43" s="399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99"/>
      <c r="BJ43" s="399"/>
      <c r="BK43" s="399"/>
      <c r="BL43" s="399"/>
      <c r="BM43" s="399"/>
    </row>
    <row r="44" spans="5:80" ht="19.25" customHeight="1" x14ac:dyDescent="0.25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1" t="s">
        <v>339</v>
      </c>
      <c r="X44" s="188" t="s">
        <v>379</v>
      </c>
      <c r="Y44" s="125" t="s">
        <v>264</v>
      </c>
      <c r="Z44" s="409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1" t="s">
        <v>339</v>
      </c>
      <c r="AQ44" s="131" t="s">
        <v>379</v>
      </c>
      <c r="AR44" s="17" t="s">
        <v>264</v>
      </c>
      <c r="AS44" s="395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1" t="s">
        <v>339</v>
      </c>
      <c r="BJ44" s="131" t="s">
        <v>379</v>
      </c>
      <c r="BK44" s="125" t="s">
        <v>264</v>
      </c>
      <c r="BL44" s="395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</row>
    <row r="45" spans="5:80" ht="18" customHeight="1" x14ac:dyDescent="0.25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5" t="s">
        <v>47</v>
      </c>
      <c r="X45" s="181" t="s">
        <v>47</v>
      </c>
      <c r="Y45" s="126" t="s">
        <v>83</v>
      </c>
      <c r="Z45" s="410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5" t="s">
        <v>47</v>
      </c>
      <c r="AQ45" s="191" t="s">
        <v>47</v>
      </c>
      <c r="AR45" s="1" t="s">
        <v>83</v>
      </c>
      <c r="AS45" s="398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5" t="s">
        <v>47</v>
      </c>
      <c r="BJ45" s="191" t="s">
        <v>47</v>
      </c>
      <c r="BK45" s="191" t="s">
        <v>83</v>
      </c>
      <c r="BL45" s="398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7" t="s">
        <v>84</v>
      </c>
      <c r="BS45" s="137" t="s">
        <v>80</v>
      </c>
      <c r="BT45" s="1" t="s">
        <v>89</v>
      </c>
      <c r="BU45" s="137" t="s">
        <v>89</v>
      </c>
      <c r="BV45" s="137" t="s">
        <v>24</v>
      </c>
      <c r="BW45" s="137" t="s">
        <v>91</v>
      </c>
      <c r="BX45" s="137" t="s">
        <v>89</v>
      </c>
      <c r="BY45" s="137" t="s">
        <v>89</v>
      </c>
      <c r="BZ45" s="137" t="s">
        <v>88</v>
      </c>
      <c r="CA45" s="137" t="s">
        <v>86</v>
      </c>
      <c r="CB45" s="1"/>
    </row>
    <row r="46" spans="5:80" ht="19" customHeight="1" x14ac:dyDescent="0.25">
      <c r="I46" s="397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3">
        <f>AO63</f>
        <v>2244.7960862667505</v>
      </c>
      <c r="X46" s="189">
        <f>SUM(V42,V59,V72) -AO63-AO42</f>
        <v>92026.437429115918</v>
      </c>
      <c r="Y46" s="127">
        <f>ROUND(U42+U59+U72-AN42-AN63, 10)</f>
        <v>0</v>
      </c>
      <c r="Z46" s="99" t="s">
        <v>489</v>
      </c>
      <c r="AA46" s="96">
        <f>($AO$42+AO63)/(V59+V72+$V$42)</f>
        <v>0.54544989987759507</v>
      </c>
      <c r="AB46" s="397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3">
        <f>0</f>
        <v>0</v>
      </c>
      <c r="AQ46" s="187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97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3">
        <f>CA55</f>
        <v>21722.892325740406</v>
      </c>
      <c r="BJ46" s="193">
        <f>BH42+BN35-CA42-CA55</f>
        <v>11016.359928324211</v>
      </c>
      <c r="BK46" s="127">
        <f>BZ42+BZ55-BG42</f>
        <v>0</v>
      </c>
      <c r="BL46" s="99" t="s">
        <v>489</v>
      </c>
      <c r="BM46" s="96">
        <f>(CA42+CA55)/(BN35+BH42)</f>
        <v>0.90881323958376325</v>
      </c>
      <c r="BN46" s="397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" customHeight="1" x14ac:dyDescent="0.25">
      <c r="I47" s="397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97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97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97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97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97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97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U48" s="14">
        <f>(BS46*BU46) + (BS47*BU47)</f>
        <v>98793.633163207676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 x14ac:dyDescent="0.25">
      <c r="I49" s="397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97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97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1" t="s">
        <v>87</v>
      </c>
      <c r="BV49" s="21"/>
      <c r="BZ49" s="14" t="s">
        <v>90</v>
      </c>
      <c r="CA49" s="1" t="s">
        <v>87</v>
      </c>
    </row>
    <row r="50" spans="2:86" x14ac:dyDescent="0.2">
      <c r="I50" s="397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97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97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  <c r="BV50" s="300" t="s">
        <v>250</v>
      </c>
    </row>
    <row r="51" spans="2:86" x14ac:dyDescent="0.2">
      <c r="I51" s="397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97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97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  <c r="BV51" t="s">
        <v>803</v>
      </c>
    </row>
    <row r="52" spans="2:86" ht="16" customHeight="1" thickBot="1" x14ac:dyDescent="0.25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  <c r="BV52" s="304">
        <f>BU48/BP48</f>
        <v>98.793633163207659</v>
      </c>
    </row>
    <row r="53" spans="2:86" ht="18" customHeight="1" x14ac:dyDescent="0.25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Y53" s="335" t="s">
        <v>250</v>
      </c>
      <c r="BZ53" s="176" t="s">
        <v>1</v>
      </c>
      <c r="CA53" s="175" t="s">
        <v>0</v>
      </c>
    </row>
    <row r="54" spans="2:86" ht="18" customHeight="1" x14ac:dyDescent="0.25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Y54" s="191" t="s">
        <v>510</v>
      </c>
      <c r="BZ54" s="178" t="s">
        <v>83</v>
      </c>
      <c r="CA54" s="177" t="s">
        <v>87</v>
      </c>
    </row>
    <row r="55" spans="2:86" ht="17" customHeight="1" thickBot="1" x14ac:dyDescent="0.25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AZ55">
        <f>(AW52*BA52)/AY52</f>
        <v>-6518321.9740549196</v>
      </c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Y55" s="336">
        <f>CA55/Beneficiation_Iron_waste</f>
        <v>1846.0127543367071</v>
      </c>
      <c r="BZ55" s="174">
        <f>BP63</f>
        <v>11.767466001905108</v>
      </c>
      <c r="CA55" s="173">
        <f>CA63</f>
        <v>21722.892325740406</v>
      </c>
    </row>
    <row r="56" spans="2:86" ht="17" customHeight="1" thickBot="1" x14ac:dyDescent="0.25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 x14ac:dyDescent="0.25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335" t="s">
        <v>250</v>
      </c>
      <c r="U57" s="176" t="s">
        <v>1</v>
      </c>
      <c r="V57" s="175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 x14ac:dyDescent="0.25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191" t="s">
        <v>510</v>
      </c>
      <c r="U58" s="178" t="s">
        <v>83</v>
      </c>
      <c r="V58" s="177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38"/>
      <c r="BO58" s="21" t="s">
        <v>40</v>
      </c>
      <c r="BP58" s="1" t="s">
        <v>82</v>
      </c>
      <c r="BQ58" s="21" t="s">
        <v>213</v>
      </c>
      <c r="BR58" s="137" t="s">
        <v>84</v>
      </c>
      <c r="BS58" s="137" t="s">
        <v>80</v>
      </c>
      <c r="BT58" s="1" t="s">
        <v>89</v>
      </c>
      <c r="BU58" s="137" t="s">
        <v>89</v>
      </c>
      <c r="BV58" s="137" t="s">
        <v>24</v>
      </c>
      <c r="BW58" s="137" t="s">
        <v>91</v>
      </c>
      <c r="BX58" s="137" t="s">
        <v>89</v>
      </c>
      <c r="BY58" s="137" t="s">
        <v>89</v>
      </c>
      <c r="BZ58" s="137" t="s">
        <v>88</v>
      </c>
      <c r="CA58" s="137" t="s">
        <v>86</v>
      </c>
    </row>
    <row r="59" spans="2:86" ht="24" customHeight="1" thickBot="1" x14ac:dyDescent="0.3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2" t="s">
        <v>466</v>
      </c>
      <c r="R59" s="21"/>
      <c r="S59" s="21"/>
      <c r="T59" s="336">
        <f>V59/U59</f>
        <v>45492.270191724252</v>
      </c>
      <c r="U59" s="174">
        <f>L64</f>
        <v>2.0694989883749622</v>
      </c>
      <c r="V59" s="173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97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 thickBot="1" x14ac:dyDescent="0.3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670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97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 x14ac:dyDescent="0.25">
      <c r="B61" s="390" t="s">
        <v>386</v>
      </c>
      <c r="C61" s="390"/>
      <c r="D61" s="390"/>
      <c r="E61" s="390"/>
      <c r="F61" s="390"/>
      <c r="G61" s="390"/>
      <c r="H61" s="390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M61" s="335" t="s">
        <v>250</v>
      </c>
      <c r="AN61" s="176" t="s">
        <v>1</v>
      </c>
      <c r="AO61" s="175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97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 x14ac:dyDescent="0.25">
      <c r="B62" s="394"/>
      <c r="C62" s="394"/>
      <c r="D62" s="394"/>
      <c r="E62" s="394"/>
      <c r="F62" s="394"/>
      <c r="G62" s="394"/>
      <c r="H62" s="394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M62" s="191" t="s">
        <v>510</v>
      </c>
      <c r="AN62" s="178" t="s">
        <v>83</v>
      </c>
      <c r="AO62" s="177" t="s">
        <v>87</v>
      </c>
      <c r="AP62" s="21"/>
      <c r="AQ62" s="21"/>
      <c r="AR62" s="21"/>
      <c r="AS62" s="21"/>
      <c r="AT62" s="21"/>
      <c r="AU62" s="21"/>
      <c r="AV62" s="299" t="s">
        <v>656</v>
      </c>
      <c r="AW62" s="299" t="s">
        <v>265</v>
      </c>
      <c r="AX62" s="300" t="s">
        <v>250</v>
      </c>
      <c r="AY62" s="300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97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184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 thickBot="1" x14ac:dyDescent="0.3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6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M63" s="336">
        <f>AO63/AN63</f>
        <v>69.671049151828498</v>
      </c>
      <c r="AN63" s="174">
        <f>AD70</f>
        <v>32.219926549044033</v>
      </c>
      <c r="AO63" s="173">
        <f>AO70</f>
        <v>2244.7960862667505</v>
      </c>
      <c r="AP63" s="21"/>
      <c r="AQ63" s="21"/>
      <c r="AR63" s="21"/>
      <c r="AS63" s="21"/>
      <c r="AT63" s="21"/>
      <c r="AU63" s="21"/>
      <c r="AV63" s="299" t="s">
        <v>47</v>
      </c>
      <c r="AW63" s="299" t="s">
        <v>62</v>
      </c>
      <c r="AX63" s="299" t="s">
        <v>91</v>
      </c>
      <c r="AY63" s="299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38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14">
        <f>(BS61*BU61) + (BS62*BU62)+(BS59*BU59)+(BS60*BU60)</f>
        <v>21969.020680588357</v>
      </c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 x14ac:dyDescent="0.25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1">
        <f>AS28</f>
        <v>609792.2517593482</v>
      </c>
      <c r="AW64" s="301">
        <v>298.14999999999998</v>
      </c>
      <c r="AX64" s="301">
        <f>1-(T_0/AW64)</f>
        <v>5.0310246520202107E-4</v>
      </c>
      <c r="AY64" s="301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1" t="s">
        <v>87</v>
      </c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 x14ac:dyDescent="0.25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434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 x14ac:dyDescent="0.25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4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7" t="s">
        <v>40</v>
      </c>
      <c r="AD66" s="137" t="s">
        <v>10</v>
      </c>
      <c r="AE66" s="21" t="s">
        <v>213</v>
      </c>
      <c r="AF66" s="137" t="s">
        <v>11</v>
      </c>
      <c r="AG66" s="137" t="s">
        <v>12</v>
      </c>
      <c r="AH66" s="1" t="s">
        <v>89</v>
      </c>
      <c r="AI66" s="137" t="s">
        <v>13</v>
      </c>
      <c r="AJ66" s="137" t="s">
        <v>24</v>
      </c>
      <c r="AK66" s="137" t="s">
        <v>24</v>
      </c>
      <c r="AL66" s="137" t="s">
        <v>13</v>
      </c>
      <c r="AM66" s="137" t="s">
        <v>13</v>
      </c>
      <c r="AN66" s="137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7" customHeight="1" x14ac:dyDescent="0.25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4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97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7" customHeight="1" x14ac:dyDescent="0.25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4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97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" customHeight="1" thickBot="1" x14ac:dyDescent="0.3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4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97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" customHeight="1" x14ac:dyDescent="0.2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4">
        <v>1.06</v>
      </c>
      <c r="H70" s="20">
        <f t="shared" si="38"/>
        <v>1357.8286867689221</v>
      </c>
      <c r="T70" s="335" t="s">
        <v>250</v>
      </c>
      <c r="U70" s="176" t="s">
        <v>1</v>
      </c>
      <c r="V70" s="175" t="s">
        <v>0</v>
      </c>
      <c r="X70" s="21"/>
      <c r="Y70" s="21"/>
      <c r="Z70" s="21"/>
      <c r="AA70" s="21"/>
      <c r="AB70" s="397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 x14ac:dyDescent="0.25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4">
        <v>1.06</v>
      </c>
      <c r="H71" s="20">
        <f t="shared" si="38"/>
        <v>949.34855683260469</v>
      </c>
      <c r="T71" s="191" t="s">
        <v>510</v>
      </c>
      <c r="U71" s="178" t="s">
        <v>83</v>
      </c>
      <c r="V71" s="177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" customHeight="1" thickBot="1" x14ac:dyDescent="0.25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T72" s="336">
        <f>V72/U72</f>
        <v>4.1467529598807173</v>
      </c>
      <c r="U72" s="174">
        <f>K78</f>
        <v>30.150427560669065</v>
      </c>
      <c r="V72" s="173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299" t="s">
        <v>656</v>
      </c>
      <c r="BQ72" s="299" t="s">
        <v>265</v>
      </c>
      <c r="BR72" s="300" t="s">
        <v>250</v>
      </c>
      <c r="BS72" s="300" t="s">
        <v>657</v>
      </c>
      <c r="BU72" s="21"/>
      <c r="BV72" s="21"/>
      <c r="BW72" s="21"/>
      <c r="BX72" s="21"/>
      <c r="BY72" s="21"/>
      <c r="BZ72" s="21"/>
    </row>
    <row r="73" spans="2:78" x14ac:dyDescent="0.2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299" t="s">
        <v>47</v>
      </c>
      <c r="BQ73" s="299" t="s">
        <v>62</v>
      </c>
      <c r="BR73" s="299" t="s">
        <v>91</v>
      </c>
      <c r="BS73" s="299" t="s">
        <v>47</v>
      </c>
      <c r="BU73" s="21"/>
      <c r="BV73" s="21"/>
      <c r="BW73" s="21"/>
      <c r="BX73" s="21"/>
      <c r="BY73" s="21"/>
      <c r="BZ73" s="21"/>
    </row>
    <row r="74" spans="2:78" ht="18" customHeight="1" x14ac:dyDescent="0.25">
      <c r="E74" s="390" t="s">
        <v>414</v>
      </c>
      <c r="F74" s="390"/>
      <c r="G74" s="390"/>
      <c r="H74" s="390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668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1">
        <f>'MCC_Q_RUVY_matrices_mat_level '!L165</f>
        <v>12626.098826337606</v>
      </c>
      <c r="BQ74" s="301">
        <v>1448.15</v>
      </c>
      <c r="BR74" s="301">
        <f>1-(T_0/BQ74)</f>
        <v>0.79422021199461379</v>
      </c>
      <c r="BS74" s="301">
        <f>BP74*BR74</f>
        <v>10027.902886518797</v>
      </c>
      <c r="BU74" s="21"/>
      <c r="BV74" s="21"/>
      <c r="BW74" s="21"/>
      <c r="BX74" s="21"/>
      <c r="BY74" s="21"/>
      <c r="BZ74" s="21"/>
    </row>
    <row r="75" spans="2:78" ht="18" customHeight="1" x14ac:dyDescent="0.25">
      <c r="E75" s="390"/>
      <c r="F75" s="390"/>
      <c r="G75" s="390"/>
      <c r="H75" s="390"/>
      <c r="J75" s="184" t="s">
        <v>40</v>
      </c>
      <c r="K75" s="14" t="s">
        <v>10</v>
      </c>
      <c r="L75" s="14" t="s">
        <v>171</v>
      </c>
      <c r="M75" s="137" t="s">
        <v>84</v>
      </c>
      <c r="N75" s="137" t="s">
        <v>80</v>
      </c>
      <c r="O75" s="1" t="s">
        <v>89</v>
      </c>
      <c r="P75" s="137" t="s">
        <v>89</v>
      </c>
      <c r="Q75" s="137" t="s">
        <v>24</v>
      </c>
      <c r="R75" s="137" t="s">
        <v>91</v>
      </c>
      <c r="S75" s="137" t="s">
        <v>89</v>
      </c>
      <c r="T75" s="137" t="s">
        <v>89</v>
      </c>
      <c r="U75" s="137" t="s">
        <v>88</v>
      </c>
      <c r="V75" s="137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 x14ac:dyDescent="0.25">
      <c r="I76" s="397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299" t="s">
        <v>656</v>
      </c>
      <c r="AD76" s="299" t="s">
        <v>265</v>
      </c>
      <c r="AE76" s="300" t="s">
        <v>250</v>
      </c>
      <c r="AF76" s="300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 x14ac:dyDescent="0.25">
      <c r="I77" s="397"/>
      <c r="J77" s="157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7">
        <f>LN(Q77)</f>
        <v>-0.23582871084152554</v>
      </c>
      <c r="S77" s="137">
        <f>RT0*R77</f>
        <v>-0.58428261077706012</v>
      </c>
      <c r="T77" s="137">
        <f>P77+S77</f>
        <v>0.11571738922293984</v>
      </c>
      <c r="U77" s="137">
        <f>T77*Q77</f>
        <v>9.1407013335767603E-2</v>
      </c>
      <c r="V77" s="137">
        <f>N78*U77</f>
        <v>95.524804170806448</v>
      </c>
      <c r="X77" s="21"/>
      <c r="Y77" s="21"/>
      <c r="Z77" s="21"/>
      <c r="AA77" s="21"/>
      <c r="AC77" s="299" t="s">
        <v>47</v>
      </c>
      <c r="AD77" s="299" t="s">
        <v>62</v>
      </c>
      <c r="AE77" s="299" t="s">
        <v>91</v>
      </c>
      <c r="AF77" s="299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" customHeight="1" x14ac:dyDescent="0.2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1" t="e" vm="2">
        <f ca="1">'MCC_Q_RUVY_matrices_mat_level '!L159</f>
        <v>#VALUE!</v>
      </c>
      <c r="AD78" s="301">
        <v>338.15</v>
      </c>
      <c r="AE78" s="301">
        <f>1-(T_0/AD78)</f>
        <v>0.11873428951648668</v>
      </c>
      <c r="AF78" s="301" t="e" vm="2">
        <f ca="1">AC78</f>
        <v>#VALUE!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 x14ac:dyDescent="0.25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434" t="s">
        <v>805</v>
      </c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 x14ac:dyDescent="0.2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183"/>
      <c r="BR81" s="183"/>
      <c r="BS81" s="183"/>
      <c r="BT81" s="183"/>
      <c r="BU81" s="42"/>
      <c r="BV81" s="42"/>
      <c r="BW81" s="183"/>
      <c r="BX81" s="183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 x14ac:dyDescent="0.2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 x14ac:dyDescent="0.2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 x14ac:dyDescent="0.2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 x14ac:dyDescent="0.2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 x14ac:dyDescent="0.2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 x14ac:dyDescent="0.2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 x14ac:dyDescent="0.2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 x14ac:dyDescent="0.2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 x14ac:dyDescent="0.2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 x14ac:dyDescent="0.2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75" customHeight="1" x14ac:dyDescent="0.2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 x14ac:dyDescent="0.2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 x14ac:dyDescent="0.2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5" customHeight="1" x14ac:dyDescent="0.2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 x14ac:dyDescent="0.2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5" customHeight="1" thickBot="1" x14ac:dyDescent="0.25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 x14ac:dyDescent="0.2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335" t="s">
        <v>250</v>
      </c>
      <c r="EL99" s="176" t="s">
        <v>1</v>
      </c>
      <c r="EM99" s="175" t="s">
        <v>0</v>
      </c>
    </row>
    <row r="100" spans="16:169" ht="18" customHeight="1" x14ac:dyDescent="0.25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191" t="s">
        <v>510</v>
      </c>
      <c r="EL100" s="178" t="s">
        <v>83</v>
      </c>
      <c r="EM100" s="177" t="s">
        <v>87</v>
      </c>
    </row>
    <row r="101" spans="16:169" ht="19.25" customHeight="1" thickBot="1" x14ac:dyDescent="0.25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336">
        <f>EM101/EL101</f>
        <v>5923.4858380648811</v>
      </c>
      <c r="EL101" s="174">
        <f>EC106</f>
        <v>4.914718171980665</v>
      </c>
      <c r="EM101" s="173">
        <f>EM106</f>
        <v>29112.263489807588</v>
      </c>
    </row>
    <row r="102" spans="16:169" ht="39" customHeight="1" x14ac:dyDescent="0.45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4"/>
      <c r="AI102" s="124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K102" s="335" t="s">
        <v>250</v>
      </c>
      <c r="FL102" s="176" t="s">
        <v>1</v>
      </c>
      <c r="FM102" s="175" t="s">
        <v>0</v>
      </c>
    </row>
    <row r="103" spans="16:169" ht="18" customHeight="1" x14ac:dyDescent="0.25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90" t="s">
        <v>410</v>
      </c>
      <c r="DU103" s="390"/>
      <c r="DV103" s="390"/>
      <c r="DW103" s="390"/>
      <c r="DX103" s="390"/>
      <c r="DY103" s="390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K103" s="191" t="s">
        <v>510</v>
      </c>
      <c r="FL103" s="178" t="s">
        <v>83</v>
      </c>
      <c r="FM103" s="177" t="s">
        <v>87</v>
      </c>
    </row>
    <row r="104" spans="16:169" ht="19" customHeight="1" thickBot="1" x14ac:dyDescent="0.3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94"/>
      <c r="DU104" s="394"/>
      <c r="DV104" s="394"/>
      <c r="DW104" s="394"/>
      <c r="DX104" s="394"/>
      <c r="DY104" s="394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K104" s="336">
        <f>FM104/FL104</f>
        <v>295.17680956804259</v>
      </c>
      <c r="FL104" s="174">
        <f>FB109</f>
        <v>229.94813284002646</v>
      </c>
      <c r="FM104" s="173">
        <f>FM109</f>
        <v>67875.356217847453</v>
      </c>
    </row>
    <row r="105" spans="16:169" ht="18.5" customHeight="1" x14ac:dyDescent="0.25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1" t="s">
        <v>166</v>
      </c>
      <c r="DV105" s="201" t="s">
        <v>166</v>
      </c>
      <c r="DW105" s="201" t="s">
        <v>166</v>
      </c>
      <c r="DX105" s="202" t="s">
        <v>250</v>
      </c>
      <c r="DY105" s="201" t="s">
        <v>244</v>
      </c>
      <c r="DZ105" s="136" t="s">
        <v>411</v>
      </c>
      <c r="EA105" s="185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1" t="s">
        <v>161</v>
      </c>
      <c r="DV106" s="201" t="s">
        <v>256</v>
      </c>
      <c r="DW106" s="201" t="s">
        <v>47</v>
      </c>
      <c r="DX106" s="202" t="s">
        <v>91</v>
      </c>
      <c r="DY106" s="201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1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0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7" t="s">
        <v>40</v>
      </c>
      <c r="FB107" s="137" t="s">
        <v>10</v>
      </c>
      <c r="FC107" s="1" t="s">
        <v>452</v>
      </c>
      <c r="FD107" s="137" t="s">
        <v>11</v>
      </c>
      <c r="FE107" s="137" t="s">
        <v>12</v>
      </c>
      <c r="FF107" s="1" t="s">
        <v>89</v>
      </c>
      <c r="FG107" s="137" t="s">
        <v>13</v>
      </c>
      <c r="FH107" s="137" t="s">
        <v>24</v>
      </c>
      <c r="FI107" s="137" t="s">
        <v>24</v>
      </c>
      <c r="FJ107" s="137" t="s">
        <v>13</v>
      </c>
      <c r="FK107" s="137" t="s">
        <v>13</v>
      </c>
      <c r="FL107" s="137" t="s">
        <v>25</v>
      </c>
      <c r="FM107" s="1" t="s">
        <v>47</v>
      </c>
    </row>
    <row r="108" spans="16:169" ht="18" customHeight="1" x14ac:dyDescent="0.25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6" t="s">
        <v>457</v>
      </c>
      <c r="FA108" s="1" t="s">
        <v>21</v>
      </c>
      <c r="FB108" s="1">
        <f>Slag_BF_out</f>
        <v>229.94813284002646</v>
      </c>
      <c r="FC108" s="170">
        <f>FB108/FB109</f>
        <v>1</v>
      </c>
      <c r="FD108" s="27">
        <f>MW_CaSiO3</f>
        <v>0.11616169999999999</v>
      </c>
      <c r="FE108" s="27">
        <f>FB108/FD108</f>
        <v>1979.552062685261</v>
      </c>
      <c r="FF108" s="159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2">
        <f>SUM(FB108)</f>
        <v>229.94813284002646</v>
      </c>
      <c r="FC109" s="142">
        <f>FC108</f>
        <v>1</v>
      </c>
      <c r="FD109" s="142">
        <f>SUM(FD108)</f>
        <v>0.11616169999999999</v>
      </c>
      <c r="FE109" s="142">
        <f>SUM(FE108)</f>
        <v>1979.552062685261</v>
      </c>
      <c r="FF109" s="40">
        <f t="shared" ref="FF109" si="43">SUM(FF108:FF108)</f>
        <v>-89.61</v>
      </c>
      <c r="FG109" s="142">
        <f>FG108</f>
        <v>34.288240000000087</v>
      </c>
      <c r="FH109" s="142">
        <f>FH108</f>
        <v>1</v>
      </c>
      <c r="FI109" s="142"/>
      <c r="FJ109" s="142">
        <f>FJ108</f>
        <v>0</v>
      </c>
      <c r="FK109" s="142">
        <f>FK108</f>
        <v>34.288240000000087</v>
      </c>
      <c r="FL109" s="142">
        <f>SUM(FL108)</f>
        <v>34.288240000000087</v>
      </c>
      <c r="FM109" s="142">
        <f>SUM(FM108)</f>
        <v>67875.356217847453</v>
      </c>
    </row>
    <row r="110" spans="16:169" ht="19.25" customHeight="1" x14ac:dyDescent="0.25">
      <c r="T110" s="21"/>
      <c r="AD110" s="27"/>
      <c r="AE110" s="27"/>
      <c r="AF110" s="200"/>
      <c r="AG110" s="200"/>
      <c r="AH110" s="200"/>
      <c r="AI110" s="200"/>
      <c r="AJ110" s="200"/>
      <c r="AK110" s="27"/>
      <c r="AL110" s="27"/>
      <c r="AM110" s="27"/>
      <c r="AN110" s="27"/>
      <c r="AO110" s="406" t="s">
        <v>346</v>
      </c>
      <c r="AP110" s="393"/>
      <c r="AQ110" s="393"/>
      <c r="AR110" s="393"/>
      <c r="AS110" s="393"/>
      <c r="AT110" s="393"/>
      <c r="AU110" s="393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93" t="s">
        <v>350</v>
      </c>
      <c r="BH110" s="393"/>
      <c r="BI110" s="393"/>
      <c r="BJ110" s="393"/>
      <c r="BK110" s="393"/>
      <c r="BL110" s="393"/>
      <c r="BM110" s="393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FA110" s="1"/>
      <c r="FB110" s="114" t="s">
        <v>83</v>
      </c>
      <c r="FC110" s="114"/>
      <c r="FD110" s="105" t="s">
        <v>85</v>
      </c>
      <c r="FE110" s="105" t="s">
        <v>81</v>
      </c>
      <c r="FF110" s="1" t="s">
        <v>640</v>
      </c>
      <c r="FG110" s="115" t="s">
        <v>636</v>
      </c>
      <c r="FH110" s="115"/>
      <c r="FI110" s="105"/>
      <c r="FJ110" s="105" t="s">
        <v>637</v>
      </c>
      <c r="FK110" s="105" t="s">
        <v>638</v>
      </c>
      <c r="FL110" s="105" t="s">
        <v>90</v>
      </c>
      <c r="FM110" s="113" t="s">
        <v>87</v>
      </c>
    </row>
    <row r="111" spans="16:169" ht="20" customHeight="1" thickBot="1" x14ac:dyDescent="0.25">
      <c r="P111" s="407" t="s">
        <v>285</v>
      </c>
      <c r="Q111" s="407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0"/>
      <c r="AL111" s="200"/>
      <c r="AM111" s="200"/>
      <c r="AN111" s="200"/>
      <c r="AO111" s="2" t="s">
        <v>195</v>
      </c>
      <c r="AP111" s="201" t="s">
        <v>194</v>
      </c>
      <c r="AQ111" s="201" t="s">
        <v>166</v>
      </c>
      <c r="AR111" s="201" t="s">
        <v>35</v>
      </c>
      <c r="AS111" s="201" t="s">
        <v>166</v>
      </c>
      <c r="AT111" s="202" t="s">
        <v>250</v>
      </c>
      <c r="AU111" s="201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1" t="s">
        <v>194</v>
      </c>
      <c r="BI111" s="201" t="s">
        <v>166</v>
      </c>
      <c r="BJ111" s="201" t="s">
        <v>166</v>
      </c>
      <c r="BK111" s="201" t="s">
        <v>166</v>
      </c>
      <c r="BL111" s="202" t="s">
        <v>250</v>
      </c>
      <c r="BM111" s="201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" customHeight="1" thickBot="1" x14ac:dyDescent="0.3">
      <c r="P112" s="408"/>
      <c r="Q112" s="408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0"/>
      <c r="AL112" s="200"/>
      <c r="AM112" s="200"/>
      <c r="AN112" s="200"/>
      <c r="AO112" s="2" t="s">
        <v>91</v>
      </c>
      <c r="AP112" s="2" t="s">
        <v>91</v>
      </c>
      <c r="AQ112" s="201" t="s">
        <v>168</v>
      </c>
      <c r="AR112" s="201" t="s">
        <v>167</v>
      </c>
      <c r="AS112" s="201" t="s">
        <v>47</v>
      </c>
      <c r="AT112" s="202" t="s">
        <v>91</v>
      </c>
      <c r="AU112" s="201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1" t="s">
        <v>161</v>
      </c>
      <c r="BJ112" s="201" t="s">
        <v>256</v>
      </c>
      <c r="BK112" s="201" t="s">
        <v>47</v>
      </c>
      <c r="BL112" s="202" t="s">
        <v>91</v>
      </c>
      <c r="BM112" s="201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0"/>
      <c r="CP112" s="200"/>
      <c r="CQ112" s="200"/>
      <c r="CR112" s="200"/>
      <c r="CS112" s="200"/>
      <c r="CT112" s="200"/>
      <c r="CU112" s="335" t="s">
        <v>250</v>
      </c>
      <c r="CV112" s="204" t="s">
        <v>1</v>
      </c>
      <c r="CW112" s="205" t="s">
        <v>0</v>
      </c>
      <c r="CX112" s="128"/>
      <c r="CY112" s="21"/>
      <c r="CZ112" s="21"/>
      <c r="DA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335" t="s">
        <v>250</v>
      </c>
      <c r="EL112" s="176" t="s">
        <v>1</v>
      </c>
      <c r="EM112" s="175" t="s">
        <v>0</v>
      </c>
    </row>
    <row r="113" spans="5:176" ht="18" customHeight="1" x14ac:dyDescent="0.25">
      <c r="P113" s="395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0"/>
      <c r="AL113" s="200"/>
      <c r="AM113" s="200"/>
      <c r="AN113" s="200"/>
      <c r="AO113" s="201" t="s">
        <v>196</v>
      </c>
      <c r="AP113" s="201" t="s">
        <v>232</v>
      </c>
      <c r="AQ113" s="201">
        <v>700</v>
      </c>
      <c r="AR113" s="201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1" t="s">
        <v>130</v>
      </c>
      <c r="BI113" s="201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0"/>
      <c r="CS113" s="200"/>
      <c r="CT113" s="200"/>
      <c r="CU113" s="191" t="s">
        <v>510</v>
      </c>
      <c r="CV113" s="195" t="s">
        <v>252</v>
      </c>
      <c r="CW113" s="196" t="s">
        <v>253</v>
      </c>
      <c r="CX113" s="27"/>
      <c r="CY113" s="21"/>
      <c r="CZ113" s="21"/>
      <c r="DA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191" t="s">
        <v>510</v>
      </c>
      <c r="EL113" s="178" t="s">
        <v>83</v>
      </c>
      <c r="EM113" s="177" t="s">
        <v>87</v>
      </c>
    </row>
    <row r="114" spans="5:176" ht="17" customHeight="1" thickBot="1" x14ac:dyDescent="0.25">
      <c r="P114" s="398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1" t="s">
        <v>180</v>
      </c>
      <c r="BI114" s="201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0" t="s">
        <v>427</v>
      </c>
      <c r="CS114" s="200"/>
      <c r="CT114" s="200"/>
      <c r="CU114" s="336">
        <f>CW114/CV114</f>
        <v>1552.5848294479019</v>
      </c>
      <c r="CV114" s="208">
        <f>CL119</f>
        <v>4.9847525450981189</v>
      </c>
      <c r="CW114" s="209">
        <f>CW119</f>
        <v>7739.2511800711582</v>
      </c>
      <c r="CX114" s="200"/>
      <c r="CY114" s="21"/>
      <c r="CZ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336">
        <f>EM114/EL114</f>
        <v>51848.933724620954</v>
      </c>
      <c r="EL114" s="174">
        <f>EC119</f>
        <v>44.927545117863247</v>
      </c>
      <c r="EM114" s="173">
        <f>EM119</f>
        <v>2329445.3092260091</v>
      </c>
      <c r="EP114" s="393" t="s">
        <v>352</v>
      </c>
      <c r="EQ114" s="393"/>
      <c r="ER114" s="393"/>
      <c r="ES114" s="393"/>
      <c r="ET114" s="393"/>
      <c r="EU114" s="393"/>
    </row>
    <row r="115" spans="5:176" ht="16" customHeight="1" x14ac:dyDescent="0.2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1" t="s">
        <v>190</v>
      </c>
      <c r="BI115" s="201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0"/>
      <c r="CS115" s="200"/>
      <c r="CT115" s="27"/>
      <c r="CU115" s="27"/>
      <c r="CV115" s="200"/>
      <c r="CW115" s="21"/>
      <c r="CX115" s="21"/>
      <c r="CY115" s="21"/>
      <c r="DB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1" t="s">
        <v>166</v>
      </c>
      <c r="ER115" s="201" t="s">
        <v>166</v>
      </c>
      <c r="ES115" s="201" t="s">
        <v>166</v>
      </c>
      <c r="ET115" s="202" t="s">
        <v>250</v>
      </c>
      <c r="EU115" s="201" t="s">
        <v>244</v>
      </c>
    </row>
    <row r="116" spans="5:176" ht="19.25" customHeight="1" x14ac:dyDescent="0.25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1" t="s">
        <v>18</v>
      </c>
      <c r="BI116" s="201">
        <f>SUM(BI113:BI115)</f>
        <v>3152</v>
      </c>
      <c r="BJ116" s="201">
        <f>SUM(BJ113:BJ115)</f>
        <v>3325.5491200000001</v>
      </c>
      <c r="BK116" s="201">
        <f>SUM(BK113:BK115)</f>
        <v>34.678095164114971</v>
      </c>
      <c r="BL116" s="201"/>
      <c r="BM116" s="201">
        <f>SUM(BM113:BM115)</f>
        <v>34.678095164114971</v>
      </c>
      <c r="BN116" s="27"/>
      <c r="BO116" s="27"/>
      <c r="BP116" s="27"/>
      <c r="BR116" s="299" t="s">
        <v>656</v>
      </c>
      <c r="BS116" s="299" t="s">
        <v>265</v>
      </c>
      <c r="BT116" s="300" t="s">
        <v>250</v>
      </c>
      <c r="BU116" s="300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T116" s="390" t="s">
        <v>376</v>
      </c>
      <c r="DU116" s="390"/>
      <c r="DV116" s="390"/>
      <c r="DW116" s="390"/>
      <c r="DX116" s="390"/>
      <c r="DY116" s="390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1" t="s">
        <v>161</v>
      </c>
      <c r="ER116" s="201" t="s">
        <v>256</v>
      </c>
      <c r="ES116" s="201" t="s">
        <v>47</v>
      </c>
      <c r="ET116" s="202" t="s">
        <v>91</v>
      </c>
      <c r="EU116" s="201" t="s">
        <v>47</v>
      </c>
    </row>
    <row r="117" spans="5:176" ht="19" customHeight="1" x14ac:dyDescent="0.25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299" t="s">
        <v>47</v>
      </c>
      <c r="BS117" s="299" t="s">
        <v>62</v>
      </c>
      <c r="BT117" s="299" t="s">
        <v>91</v>
      </c>
      <c r="BU117" s="299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7" t="s">
        <v>84</v>
      </c>
      <c r="CO117" s="137" t="s">
        <v>80</v>
      </c>
      <c r="CP117" s="1" t="s">
        <v>89</v>
      </c>
      <c r="CQ117" s="137" t="s">
        <v>89</v>
      </c>
      <c r="CR117" s="137" t="s">
        <v>24</v>
      </c>
      <c r="CS117" s="137" t="s">
        <v>91</v>
      </c>
      <c r="CT117" s="137" t="s">
        <v>89</v>
      </c>
      <c r="CU117" s="137" t="s">
        <v>89</v>
      </c>
      <c r="CV117" s="137" t="s">
        <v>88</v>
      </c>
      <c r="CW117" s="137" t="s">
        <v>86</v>
      </c>
      <c r="CX117" s="27"/>
      <c r="CY117" s="21"/>
      <c r="CZ117" s="21"/>
      <c r="DA117" s="21"/>
      <c r="DE117" s="21"/>
      <c r="DT117" s="394"/>
      <c r="DU117" s="394"/>
      <c r="DV117" s="394"/>
      <c r="DW117" s="394"/>
      <c r="DX117" s="394"/>
      <c r="DY117" s="394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1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49">
        <v>1</v>
      </c>
      <c r="EU117" s="151">
        <f t="shared" ref="EU117" si="45">ES117*ET117</f>
        <v>318930.1042317453</v>
      </c>
    </row>
    <row r="118" spans="5:176" ht="17" customHeight="1" x14ac:dyDescent="0.25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1">
        <f>BK116</f>
        <v>34.678095164114971</v>
      </c>
      <c r="BS118" s="301">
        <v>298.14999999999998</v>
      </c>
      <c r="BT118" s="301">
        <v>0</v>
      </c>
      <c r="BU118" s="301">
        <f>BR118</f>
        <v>34.678095164114971</v>
      </c>
      <c r="BV118" s="1"/>
      <c r="BW118" s="1"/>
      <c r="BX118" s="1"/>
      <c r="CI118" s="27"/>
      <c r="CJ118" s="139" t="s">
        <v>427</v>
      </c>
      <c r="CK118" s="199" t="s">
        <v>132</v>
      </c>
      <c r="CL118" s="159">
        <f>MgO_out</f>
        <v>4.9847525450981189</v>
      </c>
      <c r="CM118" s="159">
        <v>1</v>
      </c>
      <c r="CN118" s="159">
        <f>MW_MgO</f>
        <v>4.0304400000000004E-2</v>
      </c>
      <c r="CO118" s="159">
        <f>CL118/CN118</f>
        <v>123.67762688684408</v>
      </c>
      <c r="CP118" s="159">
        <f>h_MgO</f>
        <v>-601.6</v>
      </c>
      <c r="CQ118" s="159">
        <f>b_ch_MgO</f>
        <v>62.576000000000022</v>
      </c>
      <c r="CR118" s="211">
        <f>CO118/CO119</f>
        <v>1</v>
      </c>
      <c r="CS118" s="211">
        <f>LN(CR118)</f>
        <v>0</v>
      </c>
      <c r="CT118" s="211">
        <f>RT0*CS118</f>
        <v>0</v>
      </c>
      <c r="CU118" s="159">
        <f>CT118+CQ118</f>
        <v>62.576000000000022</v>
      </c>
      <c r="CV118" s="159">
        <f>CU118*CR118</f>
        <v>62.576000000000022</v>
      </c>
      <c r="CW118" s="211">
        <f>CV118*CO119</f>
        <v>7739.2511800711582</v>
      </c>
      <c r="CX118" s="200"/>
      <c r="CY118" s="21"/>
      <c r="CZ118" s="21"/>
      <c r="DA118" s="21"/>
      <c r="DB118" s="21"/>
      <c r="DE118" s="21"/>
      <c r="DF118" s="21"/>
      <c r="DT118" s="2" t="s">
        <v>195</v>
      </c>
      <c r="DU118" s="201" t="s">
        <v>166</v>
      </c>
      <c r="DV118" s="201" t="s">
        <v>166</v>
      </c>
      <c r="DW118" s="201" t="s">
        <v>166</v>
      </c>
      <c r="DX118" s="202" t="s">
        <v>250</v>
      </c>
      <c r="DY118" s="201" t="s">
        <v>244</v>
      </c>
      <c r="DZ118" s="136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59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 x14ac:dyDescent="0.25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0"/>
      <c r="BF119" s="200"/>
      <c r="BG119" s="200"/>
      <c r="BH119" s="200"/>
      <c r="BI119" s="200"/>
      <c r="BJ119" s="200"/>
      <c r="BK119" s="200"/>
      <c r="BL119" s="200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0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0"/>
      <c r="CT119" s="200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1" t="s">
        <v>161</v>
      </c>
      <c r="DV119" s="201" t="s">
        <v>256</v>
      </c>
      <c r="DW119" s="201" t="s">
        <v>47</v>
      </c>
      <c r="DX119" s="202" t="s">
        <v>91</v>
      </c>
      <c r="DY119" s="201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 x14ac:dyDescent="0.25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0" t="s">
        <v>258</v>
      </c>
      <c r="CO120" s="200" t="s">
        <v>259</v>
      </c>
      <c r="CP120" s="1" t="s">
        <v>510</v>
      </c>
      <c r="CQ120" s="27"/>
      <c r="CR120" s="27"/>
      <c r="CS120" s="200"/>
      <c r="CT120" s="200"/>
      <c r="CU120" s="200"/>
      <c r="CV120" s="200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1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5" customHeight="1" x14ac:dyDescent="0.2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7" customHeight="1" x14ac:dyDescent="0.2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7" customHeight="1" thickBot="1" x14ac:dyDescent="0.25">
      <c r="U123" s="21"/>
      <c r="V123" s="21"/>
      <c r="W123" s="200"/>
      <c r="X123" s="27"/>
      <c r="Y123" s="200"/>
      <c r="Z123" s="200"/>
      <c r="AA123" s="200"/>
      <c r="AB123" s="200"/>
      <c r="AC123" s="200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197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335" t="s">
        <v>250</v>
      </c>
      <c r="U124" s="204" t="s">
        <v>1</v>
      </c>
      <c r="V124" s="205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335" t="s">
        <v>250</v>
      </c>
      <c r="AO124" s="204" t="s">
        <v>1</v>
      </c>
      <c r="AP124" s="205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335" t="s">
        <v>250</v>
      </c>
      <c r="BH124" s="204" t="s">
        <v>1</v>
      </c>
      <c r="BI124" s="205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Z124" s="335" t="s">
        <v>250</v>
      </c>
      <c r="CA124" s="204" t="s">
        <v>1</v>
      </c>
      <c r="CB124" s="205" t="s">
        <v>0</v>
      </c>
      <c r="CC124" s="200"/>
      <c r="CD124" s="200"/>
      <c r="CE124" s="213" t="s">
        <v>62</v>
      </c>
      <c r="CF124" s="200"/>
      <c r="CG124" s="200"/>
      <c r="CH124" s="200"/>
      <c r="CI124" s="200"/>
      <c r="CJ124" s="200"/>
      <c r="CK124" s="27"/>
      <c r="CL124" s="27"/>
      <c r="CM124" s="27"/>
      <c r="CN124" s="27"/>
      <c r="CO124" s="27"/>
      <c r="CP124" s="27"/>
      <c r="CQ124" s="27"/>
      <c r="CR124" s="27"/>
      <c r="CS124" s="200"/>
      <c r="CT124" s="200"/>
      <c r="CU124" s="335" t="s">
        <v>250</v>
      </c>
      <c r="CV124" s="204" t="s">
        <v>1</v>
      </c>
      <c r="CW124" s="205" t="s">
        <v>0</v>
      </c>
      <c r="EK124" s="335" t="s">
        <v>250</v>
      </c>
      <c r="EL124" s="176" t="s">
        <v>1</v>
      </c>
      <c r="EM124" s="175" t="s">
        <v>0</v>
      </c>
      <c r="EY124" s="1"/>
      <c r="EZ124" s="1"/>
      <c r="FA124" s="1"/>
      <c r="FB124" s="1"/>
      <c r="FC124" s="1"/>
      <c r="FK124" s="335" t="s">
        <v>250</v>
      </c>
      <c r="FL124" s="176" t="s">
        <v>1</v>
      </c>
      <c r="FM124" s="175" t="s">
        <v>0</v>
      </c>
    </row>
    <row r="125" spans="5:176" ht="19" customHeight="1" thickBot="1" x14ac:dyDescent="0.3">
      <c r="J125" s="27"/>
      <c r="K125" s="206"/>
      <c r="L125" s="27"/>
      <c r="M125" s="27"/>
      <c r="N125" s="27"/>
      <c r="O125" s="27"/>
      <c r="P125" s="27"/>
      <c r="Q125" s="27"/>
      <c r="R125" s="27"/>
      <c r="S125" s="27"/>
      <c r="T125" s="191" t="s">
        <v>510</v>
      </c>
      <c r="U125" s="195" t="s">
        <v>252</v>
      </c>
      <c r="V125" s="196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6"/>
      <c r="AF125" s="27"/>
      <c r="AG125" s="27"/>
      <c r="AH125" s="27"/>
      <c r="AI125" s="27"/>
      <c r="AJ125" s="27"/>
      <c r="AK125" s="27"/>
      <c r="AL125" s="27"/>
      <c r="AM125" s="27"/>
      <c r="AN125" s="191" t="s">
        <v>510</v>
      </c>
      <c r="AO125" s="195" t="s">
        <v>252</v>
      </c>
      <c r="AP125" s="196" t="s">
        <v>253</v>
      </c>
      <c r="AQ125" s="27"/>
      <c r="AR125" s="27"/>
      <c r="AS125" s="27"/>
      <c r="AT125" s="27"/>
      <c r="AU125" s="27"/>
      <c r="AV125" s="27"/>
      <c r="AW125" s="27"/>
      <c r="AX125" s="206"/>
      <c r="AY125" s="27"/>
      <c r="AZ125" s="27"/>
      <c r="BA125" s="27"/>
      <c r="BB125" s="27"/>
      <c r="BC125" s="27"/>
      <c r="BD125" s="27"/>
      <c r="BE125" s="27"/>
      <c r="BF125" s="27"/>
      <c r="BG125" s="191" t="s">
        <v>510</v>
      </c>
      <c r="BH125" s="195" t="s">
        <v>252</v>
      </c>
      <c r="BI125" s="196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Z125" s="191" t="s">
        <v>510</v>
      </c>
      <c r="CA125" s="195" t="s">
        <v>252</v>
      </c>
      <c r="CB125" s="196" t="s">
        <v>253</v>
      </c>
      <c r="CC125" s="200"/>
      <c r="CD125" s="200"/>
      <c r="CE125" s="214">
        <v>1173.1500000000001</v>
      </c>
      <c r="CF125" s="200"/>
      <c r="CG125" s="200"/>
      <c r="CH125" s="200"/>
      <c r="CI125" s="200"/>
      <c r="CJ125" s="200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0"/>
      <c r="CT125" s="200"/>
      <c r="CU125" s="191" t="s">
        <v>510</v>
      </c>
      <c r="CV125" s="195" t="s">
        <v>252</v>
      </c>
      <c r="CW125" s="196" t="s">
        <v>253</v>
      </c>
      <c r="EK125" s="191" t="s">
        <v>510</v>
      </c>
      <c r="EL125" s="178" t="s">
        <v>83</v>
      </c>
      <c r="EM125" s="177" t="s">
        <v>87</v>
      </c>
      <c r="EY125" s="1"/>
      <c r="EZ125" s="1"/>
      <c r="FA125" s="1"/>
      <c r="FB125" s="1"/>
      <c r="FC125" s="1"/>
      <c r="FK125" s="191" t="s">
        <v>510</v>
      </c>
      <c r="FL125" s="178" t="s">
        <v>83</v>
      </c>
      <c r="FM125" s="177" t="s">
        <v>87</v>
      </c>
    </row>
    <row r="126" spans="5:176" ht="16.25" customHeight="1" thickBot="1" x14ac:dyDescent="0.25">
      <c r="E126" s="411" t="s">
        <v>413</v>
      </c>
      <c r="F126" s="411"/>
      <c r="G126" s="411"/>
      <c r="H126" s="411"/>
      <c r="J126" s="27"/>
      <c r="K126" s="207"/>
      <c r="L126" s="27"/>
      <c r="M126" s="27"/>
      <c r="N126" s="27"/>
      <c r="O126" s="27"/>
      <c r="P126" s="27"/>
      <c r="Q126" s="27" t="s">
        <v>335</v>
      </c>
      <c r="R126" s="27"/>
      <c r="S126" s="27"/>
      <c r="T126" s="336">
        <f>V126/U126</f>
        <v>121.29643829987386</v>
      </c>
      <c r="U126" s="208">
        <f>K132</f>
        <v>208.55560337725498</v>
      </c>
      <c r="V126" s="209">
        <f>V132</f>
        <v>25297.051877142174</v>
      </c>
      <c r="W126" s="401" t="s">
        <v>326</v>
      </c>
      <c r="X126" s="401"/>
      <c r="Y126" s="401"/>
      <c r="Z126" s="401"/>
      <c r="AA126" s="401"/>
      <c r="AB126" s="27"/>
      <c r="AC126" s="27"/>
      <c r="AD126" s="27"/>
      <c r="AE126" s="207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336">
        <f>AP126/AO126</f>
        <v>121.29643829987386</v>
      </c>
      <c r="AO126" s="208">
        <f>AE132</f>
        <v>208.55560337725498</v>
      </c>
      <c r="AP126" s="209">
        <f>AP132</f>
        <v>25297.051877142174</v>
      </c>
      <c r="AQ126" s="401" t="s">
        <v>435</v>
      </c>
      <c r="AR126" s="401"/>
      <c r="AS126" s="401"/>
      <c r="AT126" s="401"/>
      <c r="AU126" s="401"/>
      <c r="AV126" s="27"/>
      <c r="AW126" s="27"/>
      <c r="AX126" s="207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336">
        <f>BI126/BH126</f>
        <v>121.29643829987386</v>
      </c>
      <c r="BH126" s="208">
        <f>AX132</f>
        <v>208.55560337725498</v>
      </c>
      <c r="BI126" s="209">
        <f>BI132</f>
        <v>25297.051877142174</v>
      </c>
      <c r="BJ126" s="401" t="s">
        <v>348</v>
      </c>
      <c r="BK126" s="401"/>
      <c r="BL126" s="401"/>
      <c r="BM126" s="401"/>
      <c r="BN126" s="401"/>
      <c r="BO126" s="27"/>
      <c r="BP126" s="27"/>
      <c r="BQ126" s="207"/>
      <c r="BR126" s="27"/>
      <c r="BS126" s="27"/>
      <c r="BT126" s="27"/>
      <c r="BU126" s="27"/>
      <c r="BV126" s="27"/>
      <c r="BW126" s="27" t="s">
        <v>382</v>
      </c>
      <c r="BX126" s="27"/>
      <c r="BZ126" s="336">
        <f>CB126/CA126</f>
        <v>121.29643829987386</v>
      </c>
      <c r="CA126" s="208">
        <f>BQ132</f>
        <v>208.55560337725498</v>
      </c>
      <c r="CB126" s="209">
        <f>CB132</f>
        <v>25297.051877142174</v>
      </c>
      <c r="CC126" s="401" t="s">
        <v>349</v>
      </c>
      <c r="CD126" s="401"/>
      <c r="CE126" s="401"/>
      <c r="CF126" s="401"/>
      <c r="CG126" s="401"/>
      <c r="CH126" s="27"/>
      <c r="CI126" s="27"/>
      <c r="CJ126" s="200"/>
      <c r="CK126" s="27"/>
      <c r="CL126" s="27"/>
      <c r="CM126" s="27"/>
      <c r="CN126" s="27"/>
      <c r="CO126" s="27"/>
      <c r="CP126" s="27"/>
      <c r="CQ126" s="27"/>
      <c r="CR126" s="27"/>
      <c r="CS126" s="200"/>
      <c r="CT126" s="200"/>
      <c r="CU126" s="336">
        <f>CW126/CV126</f>
        <v>2180.165271571077</v>
      </c>
      <c r="CV126" s="208">
        <f>CL131</f>
        <v>111.00813284002646</v>
      </c>
      <c r="CW126" s="209">
        <f>CW131</f>
        <v>242016.07607977447</v>
      </c>
      <c r="DS126" s="421" t="s">
        <v>76</v>
      </c>
      <c r="DT126" s="421"/>
      <c r="DU126" s="421"/>
      <c r="DV126" s="421"/>
      <c r="DW126" s="421"/>
      <c r="DX126" s="421"/>
      <c r="DY126" s="421"/>
      <c r="EG126" s="14" t="s">
        <v>445</v>
      </c>
      <c r="EK126" s="336">
        <f>EM126/EL126</f>
        <v>5085.687305415624</v>
      </c>
      <c r="EL126" s="107">
        <f>EB134</f>
        <v>1314.2879334772852</v>
      </c>
      <c r="EM126" s="108">
        <f>EM134</f>
        <v>6684057.4589463631</v>
      </c>
      <c r="EN126" s="386" t="s">
        <v>337</v>
      </c>
      <c r="EO126" s="386"/>
      <c r="EP126" s="386"/>
      <c r="EQ126" s="386"/>
      <c r="ER126" s="386"/>
      <c r="ES126" s="386"/>
      <c r="ET126" s="386"/>
      <c r="EY126" s="1"/>
      <c r="EZ126" s="1"/>
      <c r="FA126" s="1"/>
      <c r="FB126" s="1"/>
      <c r="FC126" s="1"/>
      <c r="FD126" s="1"/>
      <c r="FE126" s="14" t="s">
        <v>446</v>
      </c>
      <c r="FK126" s="336">
        <f>FM126/FL126</f>
        <v>6747.2468439430568</v>
      </c>
      <c r="FL126" s="174">
        <f>FB131</f>
        <v>616.23583583508366</v>
      </c>
      <c r="FM126" s="173">
        <f>FM131</f>
        <v>4157895.2984628798</v>
      </c>
      <c r="FN126" s="386" t="s">
        <v>331</v>
      </c>
      <c r="FO126" s="386"/>
      <c r="FP126" s="386"/>
      <c r="FQ126" s="386"/>
      <c r="FR126" s="386"/>
      <c r="FS126" s="386"/>
      <c r="FT126" s="386"/>
    </row>
    <row r="127" spans="5:176" ht="16.25" customHeight="1" thickBot="1" x14ac:dyDescent="0.25">
      <c r="E127" s="411"/>
      <c r="F127" s="411"/>
      <c r="G127" s="411"/>
      <c r="H127" s="411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404"/>
      <c r="X127" s="404"/>
      <c r="Y127" s="404"/>
      <c r="Z127" s="404"/>
      <c r="AA127" s="404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401"/>
      <c r="AR127" s="401"/>
      <c r="AS127" s="401"/>
      <c r="AT127" s="401"/>
      <c r="AU127" s="401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401"/>
      <c r="BK127" s="401"/>
      <c r="BL127" s="401"/>
      <c r="BM127" s="401"/>
      <c r="BN127" s="401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401"/>
      <c r="CD127" s="401"/>
      <c r="CE127" s="401"/>
      <c r="CF127" s="401"/>
      <c r="CG127" s="401"/>
      <c r="CH127" s="200"/>
      <c r="CI127" s="200"/>
      <c r="CJ127" s="200"/>
      <c r="CK127" s="27"/>
      <c r="CL127" s="27"/>
      <c r="CM127" s="27"/>
      <c r="CN127" s="27"/>
      <c r="CO127" s="27"/>
      <c r="CP127" s="27"/>
      <c r="CQ127" s="27"/>
      <c r="CR127" s="27"/>
      <c r="CS127" s="200"/>
      <c r="CT127" s="200"/>
      <c r="CU127" s="27"/>
      <c r="CV127" s="27"/>
      <c r="CW127" s="200"/>
      <c r="DS127" s="421"/>
      <c r="DT127" s="421"/>
      <c r="DU127" s="421"/>
      <c r="DV127" s="421"/>
      <c r="DW127" s="421"/>
      <c r="DX127" s="421"/>
      <c r="DY127" s="421"/>
      <c r="EN127" s="386"/>
      <c r="EO127" s="386"/>
      <c r="EP127" s="386"/>
      <c r="EQ127" s="386"/>
      <c r="ER127" s="386"/>
      <c r="ES127" s="386"/>
      <c r="ET127" s="386"/>
      <c r="EY127" s="1"/>
      <c r="EZ127" s="1"/>
      <c r="FA127" s="1"/>
      <c r="FB127" s="1"/>
      <c r="FC127" s="1"/>
      <c r="FD127" s="1"/>
      <c r="FE127" s="1"/>
      <c r="FF127" s="1"/>
      <c r="FG127" s="1"/>
      <c r="FN127" s="386"/>
      <c r="FO127" s="386"/>
      <c r="FP127" s="386"/>
      <c r="FQ127" s="386"/>
      <c r="FR127" s="386"/>
      <c r="FS127" s="386"/>
      <c r="FT127" s="386"/>
    </row>
    <row r="128" spans="5:176" ht="19.75" customHeight="1" x14ac:dyDescent="0.25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1" t="s">
        <v>339</v>
      </c>
      <c r="X128" s="188" t="s">
        <v>379</v>
      </c>
      <c r="Y128" s="95" t="s">
        <v>273</v>
      </c>
      <c r="Z128" s="395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1" t="s">
        <v>339</v>
      </c>
      <c r="AR128" s="188" t="s">
        <v>379</v>
      </c>
      <c r="AS128" s="95" t="s">
        <v>273</v>
      </c>
      <c r="AT128" s="395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1" t="s">
        <v>339</v>
      </c>
      <c r="BK128" s="188" t="s">
        <v>379</v>
      </c>
      <c r="BL128" s="95" t="s">
        <v>273</v>
      </c>
      <c r="BM128" s="395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1" t="s">
        <v>339</v>
      </c>
      <c r="CD128" s="188" t="s">
        <v>379</v>
      </c>
      <c r="CE128" s="95" t="s">
        <v>273</v>
      </c>
      <c r="CF128" s="395" t="s">
        <v>269</v>
      </c>
      <c r="CG128" s="98" t="s">
        <v>245</v>
      </c>
      <c r="CH128" s="200"/>
      <c r="CI128" s="200"/>
      <c r="CJ128" s="200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421"/>
      <c r="DT128" s="421"/>
      <c r="DU128" s="421"/>
      <c r="DV128" s="421"/>
      <c r="DW128" s="421"/>
      <c r="DX128" s="421"/>
      <c r="DY128" s="421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86"/>
      <c r="EO128" s="386"/>
      <c r="EP128" s="386"/>
      <c r="EQ128" s="386"/>
      <c r="ER128" s="386"/>
      <c r="ES128" s="386"/>
      <c r="ET128" s="386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86"/>
      <c r="FO128" s="386"/>
      <c r="FP128" s="386"/>
      <c r="FQ128" s="386"/>
      <c r="FR128" s="386"/>
      <c r="FS128" s="386"/>
      <c r="FT128" s="386"/>
    </row>
    <row r="129" spans="2:171" ht="19.25" customHeight="1" x14ac:dyDescent="0.25">
      <c r="J129" s="21" t="s">
        <v>40</v>
      </c>
      <c r="K129" s="1" t="s">
        <v>82</v>
      </c>
      <c r="L129" s="21" t="s">
        <v>213</v>
      </c>
      <c r="M129" s="137" t="s">
        <v>84</v>
      </c>
      <c r="N129" s="137" t="s">
        <v>80</v>
      </c>
      <c r="O129" s="1" t="s">
        <v>89</v>
      </c>
      <c r="P129" s="137" t="s">
        <v>89</v>
      </c>
      <c r="Q129" s="137" t="s">
        <v>24</v>
      </c>
      <c r="R129" s="137" t="s">
        <v>91</v>
      </c>
      <c r="S129" s="137" t="s">
        <v>89</v>
      </c>
      <c r="T129" s="137" t="s">
        <v>89</v>
      </c>
      <c r="U129" s="137" t="s">
        <v>88</v>
      </c>
      <c r="V129" s="137" t="s">
        <v>86</v>
      </c>
      <c r="W129" s="135" t="s">
        <v>47</v>
      </c>
      <c r="X129" s="198" t="s">
        <v>47</v>
      </c>
      <c r="Y129" s="198" t="s">
        <v>252</v>
      </c>
      <c r="Z129" s="398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7" t="s">
        <v>84</v>
      </c>
      <c r="AH129" s="137" t="s">
        <v>80</v>
      </c>
      <c r="AI129" s="1" t="s">
        <v>89</v>
      </c>
      <c r="AJ129" s="137" t="s">
        <v>89</v>
      </c>
      <c r="AK129" s="137" t="s">
        <v>24</v>
      </c>
      <c r="AL129" s="137" t="s">
        <v>91</v>
      </c>
      <c r="AM129" s="137" t="s">
        <v>89</v>
      </c>
      <c r="AN129" s="137" t="s">
        <v>89</v>
      </c>
      <c r="AO129" s="137" t="s">
        <v>88</v>
      </c>
      <c r="AP129" s="137" t="s">
        <v>86</v>
      </c>
      <c r="AQ129" s="135" t="s">
        <v>47</v>
      </c>
      <c r="AR129" s="198" t="s">
        <v>47</v>
      </c>
      <c r="AS129" s="198" t="s">
        <v>252</v>
      </c>
      <c r="AT129" s="398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7" t="s">
        <v>84</v>
      </c>
      <c r="BA129" s="137" t="s">
        <v>80</v>
      </c>
      <c r="BB129" s="1" t="s">
        <v>89</v>
      </c>
      <c r="BC129" s="137" t="s">
        <v>89</v>
      </c>
      <c r="BD129" s="137" t="s">
        <v>24</v>
      </c>
      <c r="BE129" s="137" t="s">
        <v>91</v>
      </c>
      <c r="BF129" s="137" t="s">
        <v>89</v>
      </c>
      <c r="BG129" s="137" t="s">
        <v>89</v>
      </c>
      <c r="BH129" s="137" t="s">
        <v>88</v>
      </c>
      <c r="BI129" s="137" t="s">
        <v>86</v>
      </c>
      <c r="BJ129" s="135" t="s">
        <v>47</v>
      </c>
      <c r="BK129" s="198" t="s">
        <v>47</v>
      </c>
      <c r="BL129" s="198" t="s">
        <v>252</v>
      </c>
      <c r="BM129" s="398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7" t="s">
        <v>84</v>
      </c>
      <c r="BT129" s="137" t="s">
        <v>80</v>
      </c>
      <c r="BU129" s="1" t="s">
        <v>89</v>
      </c>
      <c r="BV129" s="137" t="s">
        <v>89</v>
      </c>
      <c r="BW129" s="137" t="s">
        <v>24</v>
      </c>
      <c r="BX129" s="137" t="s">
        <v>91</v>
      </c>
      <c r="BY129" s="137" t="s">
        <v>89</v>
      </c>
      <c r="BZ129" s="137" t="s">
        <v>89</v>
      </c>
      <c r="CA129" s="137" t="s">
        <v>88</v>
      </c>
      <c r="CB129" s="137" t="s">
        <v>86</v>
      </c>
      <c r="CC129" s="135" t="s">
        <v>47</v>
      </c>
      <c r="CD129" s="198" t="s">
        <v>47</v>
      </c>
      <c r="CE129" s="198" t="s">
        <v>252</v>
      </c>
      <c r="CF129" s="398"/>
      <c r="CG129" s="96" t="s">
        <v>77</v>
      </c>
      <c r="CH129" s="200"/>
      <c r="CI129" s="200"/>
      <c r="CK129" s="21" t="s">
        <v>40</v>
      </c>
      <c r="CL129" s="1" t="s">
        <v>82</v>
      </c>
      <c r="CM129" s="21" t="s">
        <v>213</v>
      </c>
      <c r="CN129" s="137" t="s">
        <v>84</v>
      </c>
      <c r="CO129" s="137" t="s">
        <v>80</v>
      </c>
      <c r="CP129" s="1" t="s">
        <v>89</v>
      </c>
      <c r="CQ129" s="137" t="s">
        <v>89</v>
      </c>
      <c r="CR129" s="137" t="s">
        <v>24</v>
      </c>
      <c r="CS129" s="137" t="s">
        <v>91</v>
      </c>
      <c r="CT129" s="137" t="s">
        <v>89</v>
      </c>
      <c r="CU129" s="137" t="s">
        <v>89</v>
      </c>
      <c r="CV129" s="137" t="s">
        <v>88</v>
      </c>
      <c r="CW129" s="137" t="s">
        <v>86</v>
      </c>
      <c r="DT129" s="131" t="s">
        <v>339</v>
      </c>
      <c r="DU129" s="131" t="s">
        <v>379</v>
      </c>
      <c r="DV129" s="17" t="s">
        <v>264</v>
      </c>
      <c r="DW129" s="388" t="s">
        <v>269</v>
      </c>
      <c r="DX129" s="190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1" t="s">
        <v>339</v>
      </c>
      <c r="EP129" s="131" t="s">
        <v>379</v>
      </c>
      <c r="EQ129" s="125" t="s">
        <v>264</v>
      </c>
      <c r="ER129" s="416" t="s">
        <v>269</v>
      </c>
      <c r="ES129" s="190" t="s">
        <v>245</v>
      </c>
      <c r="FA129" s="137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92" t="s">
        <v>335</v>
      </c>
      <c r="J130" s="142" t="s">
        <v>254</v>
      </c>
      <c r="K130" s="142">
        <f>Limestone_for_BF</f>
        <v>198.12782320839224</v>
      </c>
      <c r="L130" s="142">
        <v>0.95</v>
      </c>
      <c r="M130" s="142">
        <f>MW_CaCO3</f>
        <v>0.1000872</v>
      </c>
      <c r="N130" s="142">
        <f>K130/M130</f>
        <v>1979.5520626852608</v>
      </c>
      <c r="O130" s="142">
        <f>h_CaCO3</f>
        <v>-1207.5999999999999</v>
      </c>
      <c r="P130" s="142">
        <f>b_ch_CaCO3</f>
        <v>11.256799999999885</v>
      </c>
      <c r="Q130" s="142">
        <f>N130/N132</f>
        <v>0.94119632891260407</v>
      </c>
      <c r="R130" s="142">
        <f>LN(Q130)</f>
        <v>-6.0603522569383693E-2</v>
      </c>
      <c r="S130" s="142">
        <f>RT0*R130</f>
        <v>-0.15014959061927308</v>
      </c>
      <c r="T130" s="142">
        <f>S130+P130</f>
        <v>11.106650409380611</v>
      </c>
      <c r="U130" s="142">
        <f>T130*Q130</f>
        <v>10.453538591824703</v>
      </c>
      <c r="V130" s="142">
        <f>U130*N132</f>
        <v>21986.192727413487</v>
      </c>
      <c r="W130" s="193">
        <f>AP142</f>
        <v>6.7177820097776806</v>
      </c>
      <c r="X130" s="210">
        <f>SUM(V126,V140,V163,V151)-$AP$126-AP142</f>
        <v>275.72728743553762</v>
      </c>
      <c r="Y130" s="127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92" t="s">
        <v>412</v>
      </c>
      <c r="AD130" s="142" t="s">
        <v>254</v>
      </c>
      <c r="AE130" s="142">
        <f>Limestone_for_BF</f>
        <v>198.12782320839224</v>
      </c>
      <c r="AF130" s="142">
        <v>0.95</v>
      </c>
      <c r="AG130" s="142">
        <f>MW_CaCO3</f>
        <v>0.1000872</v>
      </c>
      <c r="AH130" s="142">
        <f>AE130/AG130</f>
        <v>1979.5520626852608</v>
      </c>
      <c r="AI130" s="142">
        <f>h_CaCO3</f>
        <v>-1207.5999999999999</v>
      </c>
      <c r="AJ130" s="142">
        <f>b_ch_CaCO3</f>
        <v>11.256799999999885</v>
      </c>
      <c r="AK130" s="142">
        <f>AH130/AH132</f>
        <v>0.94119632891260407</v>
      </c>
      <c r="AL130" s="142">
        <f>LN(AK130)</f>
        <v>-6.0603522569383693E-2</v>
      </c>
      <c r="AM130" s="142">
        <f>RT0*AL130</f>
        <v>-0.15014959061927308</v>
      </c>
      <c r="AN130" s="142">
        <f>AM130+AJ130</f>
        <v>11.106650409380611</v>
      </c>
      <c r="AO130" s="142">
        <f>AN130*AK130</f>
        <v>10.453538591824703</v>
      </c>
      <c r="AP130" s="142">
        <f>AO130*AH132</f>
        <v>21986.192727413487</v>
      </c>
      <c r="AQ130" s="193">
        <f>0</f>
        <v>0</v>
      </c>
      <c r="AR130" s="210">
        <f>AP126+AU113-BI126</f>
        <v>2824.885647744919</v>
      </c>
      <c r="AS130" s="127">
        <f>BH126-AO126</f>
        <v>0</v>
      </c>
      <c r="AT130" s="99" t="s">
        <v>489</v>
      </c>
      <c r="AU130" s="96">
        <f>BI126/(AU113+AP126)</f>
        <v>0.89954868347015648</v>
      </c>
      <c r="AV130" s="392" t="s">
        <v>436</v>
      </c>
      <c r="AW130" s="142" t="s">
        <v>254</v>
      </c>
      <c r="AX130" s="142">
        <f>Limestone_for_BF</f>
        <v>198.12782320839224</v>
      </c>
      <c r="AY130" s="142">
        <v>0.95</v>
      </c>
      <c r="AZ130" s="142">
        <f>MW_CaCO3</f>
        <v>0.1000872</v>
      </c>
      <c r="BA130" s="142">
        <f>AX130/AZ130</f>
        <v>1979.5520626852608</v>
      </c>
      <c r="BB130" s="142">
        <f>h_CaCO3</f>
        <v>-1207.5999999999999</v>
      </c>
      <c r="BC130" s="142">
        <f>b_ch_CaCO3</f>
        <v>11.256799999999885</v>
      </c>
      <c r="BD130" s="142">
        <f>BA130/BA132</f>
        <v>0.94119632891260407</v>
      </c>
      <c r="BE130" s="142">
        <f>LN(BD130)</f>
        <v>-6.0603522569383693E-2</v>
      </c>
      <c r="BF130" s="142">
        <f>RT0*BE130</f>
        <v>-0.15014959061927308</v>
      </c>
      <c r="BG130" s="142">
        <f>BF130+BC130</f>
        <v>11.106650409380611</v>
      </c>
      <c r="BH130" s="142">
        <f>BG130*BD130</f>
        <v>10.453538591824703</v>
      </c>
      <c r="BI130" s="142">
        <f>BH130*BA132</f>
        <v>21986.192727413487</v>
      </c>
      <c r="BJ130" s="193">
        <v>0</v>
      </c>
      <c r="BK130" s="210">
        <f>BI126+BM116-CB126</f>
        <v>34.678095164115803</v>
      </c>
      <c r="BL130" s="127">
        <f>CA126-BH126</f>
        <v>0</v>
      </c>
      <c r="BM130" s="99" t="s">
        <v>489</v>
      </c>
      <c r="BN130" s="96">
        <f>CB126/(BM113+BI126)</f>
        <v>0.99884664645418608</v>
      </c>
      <c r="BO130" s="392" t="s">
        <v>424</v>
      </c>
      <c r="BP130" s="142" t="s">
        <v>254</v>
      </c>
      <c r="BQ130" s="142">
        <f>Limestone_for_BF</f>
        <v>198.12782320839224</v>
      </c>
      <c r="BR130" s="142">
        <v>0.95</v>
      </c>
      <c r="BS130" s="142">
        <f>MW_CaCO3</f>
        <v>0.1000872</v>
      </c>
      <c r="BT130" s="142">
        <f>BQ130/BS130</f>
        <v>1979.5520626852608</v>
      </c>
      <c r="BU130" s="142">
        <f>h_CaCO3</f>
        <v>-1207.5999999999999</v>
      </c>
      <c r="BV130" s="142">
        <f>b_ch_CaCO3</f>
        <v>11.256799999999885</v>
      </c>
      <c r="BW130" s="142">
        <f>BT130/BT132</f>
        <v>0.94119632891260407</v>
      </c>
      <c r="BX130" s="142">
        <f>LN(BW130)</f>
        <v>-6.0603522569383693E-2</v>
      </c>
      <c r="BY130" s="142">
        <f>RT0*BX130</f>
        <v>-0.15014959061927308</v>
      </c>
      <c r="BZ130" s="142">
        <f>BY130+BV130</f>
        <v>11.106650409380611</v>
      </c>
      <c r="CA130" s="142">
        <f>BZ130*BW130</f>
        <v>10.453538591824703</v>
      </c>
      <c r="CB130" s="142">
        <f>CA130*BT132</f>
        <v>21986.192727413487</v>
      </c>
      <c r="CC130" s="193">
        <f>CW114+CW138</f>
        <v>94961.386511485034</v>
      </c>
      <c r="CD130" s="210">
        <f>CB126+CB140+CB152-CW114-CW126-CW138</f>
        <v>1642067.5780806448</v>
      </c>
      <c r="CE130" s="127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0"/>
      <c r="CI130" s="200"/>
      <c r="CJ130" s="136" t="s">
        <v>425</v>
      </c>
      <c r="CK130" s="199" t="s">
        <v>113</v>
      </c>
      <c r="CL130" s="159">
        <f>Quicklime_for_BF</f>
        <v>111.00813284002646</v>
      </c>
      <c r="CM130" s="159">
        <v>1</v>
      </c>
      <c r="CN130" s="159">
        <f>MW_CaO</f>
        <v>5.6077400000000006E-2</v>
      </c>
      <c r="CO130" s="159">
        <f>CL130/CN130</f>
        <v>1979.5520626852608</v>
      </c>
      <c r="CP130" s="159">
        <f>h_CaO</f>
        <v>-634.9</v>
      </c>
      <c r="CQ130" s="159">
        <f>b_ch_CaO</f>
        <v>122.25799999999992</v>
      </c>
      <c r="CR130" s="211">
        <f>CO130/CO131</f>
        <v>1</v>
      </c>
      <c r="CS130" s="211">
        <f>LN(CR130)</f>
        <v>0</v>
      </c>
      <c r="CT130" s="211">
        <f>RT0*CS130</f>
        <v>0</v>
      </c>
      <c r="CU130" s="159">
        <f>CT130+CQ130</f>
        <v>122.25799999999992</v>
      </c>
      <c r="CV130" s="159">
        <f>CU130*CR130</f>
        <v>122.25799999999992</v>
      </c>
      <c r="CW130" s="211">
        <f>CV130*CO131</f>
        <v>242016.07607977447</v>
      </c>
      <c r="DT130" s="135" t="s">
        <v>47</v>
      </c>
      <c r="DU130" s="191" t="s">
        <v>47</v>
      </c>
      <c r="DV130" s="1" t="s">
        <v>83</v>
      </c>
      <c r="DW130" s="389"/>
      <c r="DX130" s="96" t="s">
        <v>77</v>
      </c>
      <c r="DY130" s="21"/>
      <c r="DZ130" s="392" t="s">
        <v>445</v>
      </c>
      <c r="EA130" s="40" t="s">
        <v>14</v>
      </c>
      <c r="EB130" s="109">
        <f>Fe2O3_BF_in</f>
        <v>881.06000000000006</v>
      </c>
      <c r="EC130" s="109">
        <f>EB130/$EB$134</f>
        <v>0.67037060719939068</v>
      </c>
      <c r="ED130" s="110">
        <f>MW_Fe2O3</f>
        <v>0.1596882</v>
      </c>
      <c r="EE130" s="110">
        <f>EB130/ED130</f>
        <v>5517.3769884061567</v>
      </c>
      <c r="EF130" s="110">
        <f>h_Fe2O3</f>
        <v>-824.2</v>
      </c>
      <c r="EG130" s="110">
        <f>b_ch_Fe2O3</f>
        <v>17.358400000000074</v>
      </c>
      <c r="EH130" s="110">
        <f>EE130/$EE$134</f>
        <v>0.21197353787675174</v>
      </c>
      <c r="EI130" s="111">
        <f>LN(EH130)</f>
        <v>-1.5512938334370325</v>
      </c>
      <c r="EJ130" s="111">
        <f>RT0*EI130</f>
        <v>-3.8434421654962554</v>
      </c>
      <c r="EK130" s="111">
        <f>EG130+EJ130</f>
        <v>13.514957834503818</v>
      </c>
      <c r="EL130" s="111">
        <f>EK130*EH130</f>
        <v>2.8648134264348979</v>
      </c>
      <c r="EM130" s="111">
        <f>$EE$134*EL130</f>
        <v>74567.11735537088</v>
      </c>
      <c r="EO130" s="135" t="s">
        <v>47</v>
      </c>
      <c r="EP130" s="191" t="s">
        <v>47</v>
      </c>
      <c r="EQ130" s="191" t="s">
        <v>83</v>
      </c>
      <c r="ER130" s="417"/>
      <c r="ES130" s="96" t="s">
        <v>77</v>
      </c>
      <c r="EZ130" s="136" t="s">
        <v>446</v>
      </c>
      <c r="FA130" s="1" t="s">
        <v>15</v>
      </c>
      <c r="FB130" s="170">
        <f>Fe_BF_out</f>
        <v>616.23583583508366</v>
      </c>
      <c r="FC130" s="170">
        <f>FB130/FB131</f>
        <v>1</v>
      </c>
      <c r="FD130" s="159">
        <f>MW_Fe</f>
        <v>5.5844999999999999E-2</v>
      </c>
      <c r="FE130" s="159">
        <f>FB130/FD130</f>
        <v>11034.753976812313</v>
      </c>
      <c r="FF130" s="159">
        <f>h_Fe</f>
        <v>0</v>
      </c>
      <c r="FG130" s="153">
        <f>b_ch_Fe</f>
        <v>376.8</v>
      </c>
      <c r="FH130" s="159">
        <f>FE130/FE131</f>
        <v>1</v>
      </c>
      <c r="FI130" s="170">
        <f>LN(FH130)</f>
        <v>0</v>
      </c>
      <c r="FJ130" s="170">
        <f>RT0*FI130</f>
        <v>0</v>
      </c>
      <c r="FK130" s="170">
        <f>FG130+FJ130</f>
        <v>376.8</v>
      </c>
      <c r="FL130" s="170">
        <f>FK130*FH130</f>
        <v>376.8</v>
      </c>
      <c r="FM130" s="170">
        <f>FE131*FL130</f>
        <v>4157895.2984628798</v>
      </c>
    </row>
    <row r="131" spans="2:171" ht="19" customHeight="1" x14ac:dyDescent="0.25">
      <c r="I131" s="392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92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92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92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0"/>
      <c r="CD131" s="27"/>
      <c r="CF131" s="100" t="s">
        <v>318</v>
      </c>
      <c r="CG131" s="97">
        <f>CW130/(CB126+CB152+CB140)</f>
        <v>0.1222893219234706</v>
      </c>
      <c r="CH131" s="200"/>
      <c r="CI131" s="200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0"/>
      <c r="CT131" s="200"/>
      <c r="CU131" s="27"/>
      <c r="CV131" s="27">
        <f>SUM(CV130)</f>
        <v>122.25799999999992</v>
      </c>
      <c r="CW131" s="27">
        <f>SUM(CW130)</f>
        <v>242016.07607977447</v>
      </c>
      <c r="DT131" s="193">
        <f>0</f>
        <v>0</v>
      </c>
      <c r="DU131" s="187">
        <f>(CW126+CA42+CW206)-(EM126)</f>
        <v>54318.944516735151</v>
      </c>
      <c r="DV131" s="17">
        <f>EL126-CV126-CV206-BZ42</f>
        <v>0</v>
      </c>
      <c r="DW131" s="99" t="s">
        <v>489</v>
      </c>
      <c r="DX131" s="192">
        <f>EM126/(CW126+CW206+CA42)</f>
        <v>0.9919388675751597</v>
      </c>
      <c r="DY131" s="21"/>
      <c r="DZ131" s="392"/>
      <c r="EA131" s="1" t="s">
        <v>16</v>
      </c>
      <c r="EB131" s="112">
        <f>SiO2_BF_in</f>
        <v>118.94000000000001</v>
      </c>
      <c r="EC131" s="112">
        <f t="shared" ref="EC131:EC133" si="46">EB131/$EB$134</f>
        <v>9.0497673280248256E-2</v>
      </c>
      <c r="ED131" s="105">
        <f>MW_SIO2</f>
        <v>6.00843E-2</v>
      </c>
      <c r="EE131" s="105">
        <f>EB131/ED131</f>
        <v>1979.5520626852608</v>
      </c>
      <c r="EF131" s="105">
        <f>h_SiO2</f>
        <v>-910.7</v>
      </c>
      <c r="EG131" s="105">
        <f>b_ch_SiO2</f>
        <v>1.5260000000000673</v>
      </c>
      <c r="EH131" s="105">
        <f>EE131/$EE$134</f>
        <v>7.6052924246496442E-2</v>
      </c>
      <c r="EI131" s="113">
        <f t="shared" ref="EI131:EI133" si="47">LN(EH131)</f>
        <v>-2.5763258093856205</v>
      </c>
      <c r="EJ131" s="113">
        <f>RT0*EI131</f>
        <v>-6.3830326882111503</v>
      </c>
      <c r="EK131" s="113">
        <f t="shared" ref="EK131:EK134" si="48">EG131+EJ131</f>
        <v>-4.857032688211083</v>
      </c>
      <c r="EL131" s="113">
        <f t="shared" ref="EL131:EL133" si="49">EK131*EH131</f>
        <v>-0.36939153909927447</v>
      </c>
      <c r="EM131" s="113">
        <f>$EE$134*EL131</f>
        <v>-9614.749076477985</v>
      </c>
      <c r="EO131" s="193">
        <f>FM141+FM104</f>
        <v>472084.51440660493</v>
      </c>
      <c r="EP131" s="155">
        <f>SUM(EM101,EM114,EM126,EM140,EM152)-(FM126+FM141+FM104)</f>
        <v>7254819.0880451994</v>
      </c>
      <c r="EQ131" s="154">
        <f>(SUM(BF_SolidWaste,FL126,FL141))-SUM(EL101,EL114,EL126,EL140,EL152)</f>
        <v>0</v>
      </c>
      <c r="ER131" s="99" t="s">
        <v>489</v>
      </c>
      <c r="ES131" s="192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2" t="s">
        <v>18</v>
      </c>
      <c r="K132" s="142">
        <f>SUM(K130:K131)</f>
        <v>208.55560337725498</v>
      </c>
      <c r="L132" s="142">
        <f>SUM(L130:L131)</f>
        <v>1</v>
      </c>
      <c r="M132" s="142" cm="1">
        <f t="array" ref="M132">SUM(M130:M131*Q130:Q131)</f>
        <v>9.915968969593851E-2</v>
      </c>
      <c r="N132" s="142">
        <f>SUM(N130:N131)</f>
        <v>2103.2296895721047</v>
      </c>
      <c r="O132" s="18" cm="1">
        <f t="array" ref="O132">SUM(N130:N131*O130:O131) / N132</f>
        <v>-1201.0257495724293</v>
      </c>
      <c r="P132" s="142"/>
      <c r="Q132" s="142">
        <f>SUM(Q130:Q131)</f>
        <v>1</v>
      </c>
      <c r="R132" s="212"/>
      <c r="S132" s="142">
        <f>SUM(S130:S131)</f>
        <v>-7.1704761903762897</v>
      </c>
      <c r="T132" s="212"/>
      <c r="U132" s="142">
        <f>SUM(U130:U131)</f>
        <v>12.027717183038042</v>
      </c>
      <c r="V132" s="142">
        <f>SUM(V130:V131)</f>
        <v>25297.051877142174</v>
      </c>
      <c r="W132" s="27"/>
      <c r="X132" s="27"/>
      <c r="Y132" s="27"/>
      <c r="AB132" s="21"/>
      <c r="AC132" s="27"/>
      <c r="AD132" s="142" t="s">
        <v>18</v>
      </c>
      <c r="AE132" s="142">
        <f>SUM(AE130:AE131)</f>
        <v>208.55560337725498</v>
      </c>
      <c r="AF132" s="142">
        <f>SUM(AF130:AF131)</f>
        <v>1</v>
      </c>
      <c r="AG132" s="142" cm="1">
        <f t="array" ref="AG132">SUM(AG130:AG131*AK130:AK131)</f>
        <v>9.915968969593851E-2</v>
      </c>
      <c r="AH132" s="142">
        <f>SUM(AH130:AH131)</f>
        <v>2103.2296895721047</v>
      </c>
      <c r="AI132" s="18" cm="1">
        <f t="array" ref="AI132">SUM(AH130:AH131*AI130:AI131) / AH132</f>
        <v>-1201.0257495724293</v>
      </c>
      <c r="AJ132" s="142"/>
      <c r="AK132" s="142">
        <f>SUM(AK130:AK131)</f>
        <v>1</v>
      </c>
      <c r="AL132" s="212"/>
      <c r="AM132" s="212"/>
      <c r="AN132" s="212"/>
      <c r="AO132" s="142">
        <f>SUM(AO130:AO131)</f>
        <v>12.027717183038042</v>
      </c>
      <c r="AP132" s="142">
        <f>SUM(AP130:AP131)</f>
        <v>25297.051877142174</v>
      </c>
      <c r="AQ132" s="27"/>
      <c r="AR132" s="27"/>
      <c r="AS132" s="21"/>
      <c r="AV132" s="21"/>
      <c r="AW132" s="142" t="s">
        <v>18</v>
      </c>
      <c r="AX132" s="142">
        <f>SUM(AX130:AX131)</f>
        <v>208.55560337725498</v>
      </c>
      <c r="AY132" s="142">
        <f>SUM(AY130:AY131)</f>
        <v>1</v>
      </c>
      <c r="AZ132" s="142" cm="1">
        <f t="array" ref="AZ132">SUM(AZ130:AZ131*BD130:BD131)</f>
        <v>9.915968969593851E-2</v>
      </c>
      <c r="BA132" s="142">
        <f>SUM(BA130:BA131)</f>
        <v>2103.2296895721047</v>
      </c>
      <c r="BB132" s="18" cm="1">
        <f t="array" ref="BB132">SUM(BA130:BA131*BB130:BB131) / BA132</f>
        <v>-1201.0257495724293</v>
      </c>
      <c r="BC132" s="142"/>
      <c r="BD132" s="142">
        <f>SUM(BD130:BD131)</f>
        <v>1</v>
      </c>
      <c r="BE132" s="212"/>
      <c r="BF132" s="212"/>
      <c r="BG132" s="212"/>
      <c r="BH132" s="142">
        <f>SUM(BH130:BH131)</f>
        <v>12.027717183038042</v>
      </c>
      <c r="BI132" s="142">
        <f>SUM(BI130:BI131)</f>
        <v>25297.051877142174</v>
      </c>
      <c r="BJ132" s="27"/>
      <c r="BK132" s="27"/>
      <c r="BL132" s="21"/>
      <c r="BO132" s="21"/>
      <c r="BP132" s="142" t="s">
        <v>18</v>
      </c>
      <c r="BQ132" s="142">
        <f>SUM(BQ130:BQ131)</f>
        <v>208.55560337725498</v>
      </c>
      <c r="BR132" s="142">
        <f>SUM(BR130:BR131)</f>
        <v>1</v>
      </c>
      <c r="BS132" s="142" cm="1">
        <f t="array" ref="BS132">SUM(BS130:BS131*BW130:BW131)</f>
        <v>9.915968969593851E-2</v>
      </c>
      <c r="BT132" s="142">
        <f>SUM(BT130:BT131)</f>
        <v>2103.2296895721047</v>
      </c>
      <c r="BU132" s="18" cm="1">
        <f t="array" ref="BU132">SUM(BT130:BT131*BU130:BU131) / BT132</f>
        <v>-1201.0257495724293</v>
      </c>
      <c r="BV132" s="142"/>
      <c r="BW132" s="142">
        <f>SUM(BW130:BW131)</f>
        <v>1</v>
      </c>
      <c r="BX132" s="212"/>
      <c r="BY132" s="212"/>
      <c r="BZ132" s="212"/>
      <c r="CA132" s="142">
        <f>SUM(CA130:CA131)</f>
        <v>12.027717183038042</v>
      </c>
      <c r="CB132" s="142">
        <f>SUM(CB130:CB131)</f>
        <v>25297.051877142174</v>
      </c>
      <c r="CC132" s="200"/>
      <c r="CD132" s="200"/>
      <c r="CH132" s="200"/>
      <c r="CI132" s="200"/>
      <c r="CK132" s="27"/>
      <c r="CL132" s="27" t="s">
        <v>252</v>
      </c>
      <c r="CM132" s="27"/>
      <c r="CN132" s="200" t="s">
        <v>258</v>
      </c>
      <c r="CO132" s="200" t="s">
        <v>259</v>
      </c>
      <c r="CP132" s="1" t="s">
        <v>640</v>
      </c>
      <c r="CQ132" s="27"/>
      <c r="CR132" s="27"/>
      <c r="CS132" s="200"/>
      <c r="CT132" s="200"/>
      <c r="CU132" s="200"/>
      <c r="CV132" s="200" t="s">
        <v>260</v>
      </c>
      <c r="CW132" s="27" t="s">
        <v>253</v>
      </c>
      <c r="DU132" s="21"/>
      <c r="DV132" s="21"/>
      <c r="DW132" s="100" t="s">
        <v>318</v>
      </c>
      <c r="DX132" s="187">
        <f>BF_B_in/(CW126+CW206+CA42)</f>
        <v>0.9919388675751597</v>
      </c>
      <c r="DY132" s="21"/>
      <c r="DZ132" s="392"/>
      <c r="EA132" s="1" t="s">
        <v>113</v>
      </c>
      <c r="EB132" s="112">
        <f>CV126</f>
        <v>111.00813284002646</v>
      </c>
      <c r="EC132" s="112">
        <f t="shared" si="46"/>
        <v>8.4462567153246265E-2</v>
      </c>
      <c r="ED132" s="105">
        <f>MW_CaO</f>
        <v>5.6077400000000006E-2</v>
      </c>
      <c r="EE132" s="105">
        <f>EB132/ED132</f>
        <v>1979.5520626852608</v>
      </c>
      <c r="EF132" s="105">
        <f>h_CaO</f>
        <v>-634.9</v>
      </c>
      <c r="EG132" s="105">
        <f>b_ch_CaO</f>
        <v>122.25799999999992</v>
      </c>
      <c r="EH132" s="105">
        <f>EE132/$EE$134</f>
        <v>7.6052924246496442E-2</v>
      </c>
      <c r="EI132" s="113">
        <f t="shared" si="47"/>
        <v>-2.5763258093856205</v>
      </c>
      <c r="EJ132" s="113">
        <f>RT0*EI132</f>
        <v>-6.3830326882111503</v>
      </c>
      <c r="EK132" s="113">
        <f t="shared" si="48"/>
        <v>115.87496731178878</v>
      </c>
      <c r="EL132" s="113">
        <f t="shared" si="49"/>
        <v>8.8126301110287244</v>
      </c>
      <c r="EM132" s="113">
        <f>$EE$134*EL132</f>
        <v>229380.53055563866</v>
      </c>
      <c r="EP132" s="21"/>
      <c r="EQ132" s="21"/>
      <c r="ER132" s="100" t="s">
        <v>318</v>
      </c>
      <c r="ES132" s="187">
        <f>FM130/SUM(EU117,EM152,EM140,EM126,EM114,EM101)</f>
        <v>0.3407069508598114</v>
      </c>
      <c r="FA132" s="1"/>
      <c r="FB132" s="114" t="s">
        <v>83</v>
      </c>
      <c r="FC132" s="114"/>
      <c r="FD132" s="105" t="s">
        <v>85</v>
      </c>
      <c r="FE132" s="105" t="s">
        <v>81</v>
      </c>
      <c r="FF132" s="1" t="s">
        <v>640</v>
      </c>
      <c r="FG132" s="115" t="s">
        <v>636</v>
      </c>
      <c r="FH132" s="115"/>
      <c r="FI132" s="105"/>
      <c r="FJ132" s="105" t="s">
        <v>637</v>
      </c>
      <c r="FK132" s="105" t="s">
        <v>638</v>
      </c>
      <c r="FL132" s="105" t="s">
        <v>90</v>
      </c>
      <c r="FM132" s="113" t="s">
        <v>87</v>
      </c>
    </row>
    <row r="133" spans="2:171" ht="18" customHeight="1" x14ac:dyDescent="0.25">
      <c r="J133" s="27"/>
      <c r="K133" s="27" t="s">
        <v>252</v>
      </c>
      <c r="L133" s="27"/>
      <c r="M133" s="200" t="s">
        <v>258</v>
      </c>
      <c r="N133" s="200" t="s">
        <v>259</v>
      </c>
      <c r="O133" s="1" t="s">
        <v>640</v>
      </c>
      <c r="P133" s="27"/>
      <c r="Q133" s="27"/>
      <c r="R133" s="200"/>
      <c r="S133" s="137" t="s">
        <v>802</v>
      </c>
      <c r="T133" s="200"/>
      <c r="U133" s="200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0" t="s">
        <v>258</v>
      </c>
      <c r="AH133" s="200" t="s">
        <v>259</v>
      </c>
      <c r="AI133" s="1" t="s">
        <v>640</v>
      </c>
      <c r="AJ133" s="27"/>
      <c r="AK133" s="27"/>
      <c r="AL133" s="200"/>
      <c r="AM133" s="200"/>
      <c r="AN133" s="200"/>
      <c r="AO133" s="200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0" t="s">
        <v>258</v>
      </c>
      <c r="BA133" s="200" t="s">
        <v>259</v>
      </c>
      <c r="BB133" s="1" t="s">
        <v>640</v>
      </c>
      <c r="BC133" s="27"/>
      <c r="BD133" s="27"/>
      <c r="BE133" s="200"/>
      <c r="BF133" s="200"/>
      <c r="BG133" s="200"/>
      <c r="BH133" s="200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0" t="s">
        <v>258</v>
      </c>
      <c r="BT133" s="200" t="s">
        <v>259</v>
      </c>
      <c r="BU133" s="1" t="s">
        <v>640</v>
      </c>
      <c r="BV133" s="27"/>
      <c r="BW133" s="27"/>
      <c r="BX133" s="200"/>
      <c r="BY133" s="200"/>
      <c r="BZ133" s="200"/>
      <c r="CA133" s="200" t="s">
        <v>260</v>
      </c>
      <c r="CB133" s="27" t="s">
        <v>253</v>
      </c>
      <c r="CC133" s="200"/>
      <c r="CD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R133" s="200"/>
      <c r="CS133" s="200"/>
      <c r="CT133" s="200"/>
      <c r="CU133" s="200"/>
      <c r="CV133" s="200"/>
      <c r="CW133" s="200"/>
      <c r="DY133" s="21"/>
      <c r="DZ133" s="392"/>
      <c r="EA133" s="16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2">
        <f>CV206</f>
        <v>203.27980063725872</v>
      </c>
      <c r="EC133" s="112">
        <f t="shared" si="46"/>
        <v>0.15466915236711484</v>
      </c>
      <c r="ED133" s="105">
        <f>MW_Coke</f>
        <v>1.2281186094069529E-2</v>
      </c>
      <c r="EE133" s="105">
        <f>mol_C_to_BF</f>
        <v>16552.130965218472</v>
      </c>
      <c r="EF133" s="105">
        <f>(NCV_dry_anthrocite*MW_Coke)</f>
        <v>369.41807770961145</v>
      </c>
      <c r="EG133" s="105">
        <f>(b_ch_coke*EB133)/EE133</f>
        <v>387.15792151500693</v>
      </c>
      <c r="EH133" s="105">
        <f>EE133/$EE$134</f>
        <v>0.63592061363025532</v>
      </c>
      <c r="EI133" s="113">
        <f t="shared" si="47"/>
        <v>-0.45268154476892275</v>
      </c>
      <c r="EJ133" s="113">
        <f>RT0*EI133</f>
        <v>-1.1215511202362294</v>
      </c>
      <c r="EK133" s="113">
        <f t="shared" si="48"/>
        <v>386.0363703947707</v>
      </c>
      <c r="EL133" s="113">
        <f t="shared" si="49"/>
        <v>245.48848554503911</v>
      </c>
      <c r="EM133" s="113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" customHeight="1" x14ac:dyDescent="0.2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0"/>
      <c r="DT134" s="21"/>
      <c r="DU134" s="21"/>
      <c r="DV134" s="21"/>
      <c r="DW134" s="21"/>
      <c r="DX134" s="21"/>
      <c r="DY134" s="21"/>
      <c r="EA134" s="1" t="s">
        <v>639</v>
      </c>
      <c r="EB134" s="109">
        <f>SUM(EB130:EB133)</f>
        <v>1314.2879334772852</v>
      </c>
      <c r="EC134" s="109">
        <f>SUM(EC130:EC133)</f>
        <v>1</v>
      </c>
      <c r="ED134" s="110" cm="1">
        <f t="array" ref="ED134">SUM(ED130:ED133*EH130:EH133)</f>
        <v>5.0493969078662611E-2</v>
      </c>
      <c r="EE134" s="110">
        <f>SUM(EE130:EE133)</f>
        <v>26028.612078995153</v>
      </c>
      <c r="EF134" s="18" cm="1">
        <f t="array" ref="EF134">SUM(EE130:EE133*EF130:EF133) / EE134</f>
        <v>-57.335418970198283</v>
      </c>
      <c r="EG134" s="110">
        <f t="array" ref="EG134">SUM(EG130:EG133*EH130:EH133)</f>
        <v>259.29535965644556</v>
      </c>
      <c r="EH134" s="110">
        <f>SUM(EH130:EH133)</f>
        <v>1</v>
      </c>
      <c r="EI134" s="110"/>
      <c r="EJ134" s="110">
        <f t="array" ref="EJ134">SUM(EJ130:EJ133*EH130:EH133)</f>
        <v>-2.4988221130421149</v>
      </c>
      <c r="EK134" s="110">
        <f t="shared" si="48"/>
        <v>256.79653754340342</v>
      </c>
      <c r="EL134" s="110">
        <f>SUM(EL130:EL133)</f>
        <v>256.79653754340347</v>
      </c>
      <c r="EM134" s="110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" customHeight="1" thickBot="1" x14ac:dyDescent="0.3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4" t="s">
        <v>83</v>
      </c>
      <c r="EC135" s="114"/>
      <c r="ED135" s="105" t="s">
        <v>85</v>
      </c>
      <c r="EE135" s="105" t="s">
        <v>81</v>
      </c>
      <c r="EF135" s="1" t="s">
        <v>640</v>
      </c>
      <c r="EG135" s="115" t="s">
        <v>636</v>
      </c>
      <c r="EH135" s="115"/>
      <c r="EI135" s="105"/>
      <c r="EJ135" s="105" t="s">
        <v>637</v>
      </c>
      <c r="EK135" s="105" t="s">
        <v>638</v>
      </c>
      <c r="EL135" s="105" t="s">
        <v>90</v>
      </c>
      <c r="EM135" s="113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 x14ac:dyDescent="0.25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U136" s="335" t="s">
        <v>250</v>
      </c>
      <c r="CV136" s="176" t="s">
        <v>1</v>
      </c>
      <c r="CW136" s="175" t="s">
        <v>0</v>
      </c>
      <c r="EG136" s="112"/>
      <c r="EH136" s="105"/>
      <c r="EI136" s="105"/>
      <c r="EJ136" s="105"/>
      <c r="EK136" s="105"/>
      <c r="EL136" s="105"/>
      <c r="EM136" s="105"/>
      <c r="EN136" s="105"/>
      <c r="EO136" s="105"/>
      <c r="EP136" s="105"/>
      <c r="FC136" s="21"/>
      <c r="FD136" s="1"/>
      <c r="FE136" s="1"/>
      <c r="FF136" s="1"/>
      <c r="FI136" s="21"/>
      <c r="FJ136" s="21"/>
    </row>
    <row r="137" spans="2:171" ht="19" customHeight="1" thickBot="1" x14ac:dyDescent="0.3">
      <c r="B137" s="390" t="s">
        <v>386</v>
      </c>
      <c r="C137" s="390"/>
      <c r="D137" s="390"/>
      <c r="E137" s="390"/>
      <c r="F137" s="390"/>
      <c r="G137" s="390"/>
      <c r="H137" s="390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669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U137" s="191" t="s">
        <v>510</v>
      </c>
      <c r="CV137" s="178" t="s">
        <v>83</v>
      </c>
      <c r="CW137" s="177" t="s">
        <v>87</v>
      </c>
      <c r="EB137" s="112"/>
      <c r="EC137" s="112"/>
      <c r="ED137" s="105"/>
      <c r="EE137" s="105"/>
      <c r="EF137" s="105"/>
      <c r="EG137" s="105"/>
      <c r="EH137" s="105"/>
      <c r="EI137" s="105"/>
      <c r="EJ137" s="105"/>
      <c r="EK137" s="105"/>
      <c r="EL137" s="105"/>
      <c r="EM137" s="105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" customHeight="1" thickBot="1" x14ac:dyDescent="0.3">
      <c r="B138" s="394"/>
      <c r="C138" s="394"/>
      <c r="D138" s="394"/>
      <c r="E138" s="394"/>
      <c r="F138" s="394"/>
      <c r="G138" s="394"/>
      <c r="H138" s="394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335" t="s">
        <v>250</v>
      </c>
      <c r="U138" s="176" t="s">
        <v>1</v>
      </c>
      <c r="V138" s="175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335" t="s">
        <v>250</v>
      </c>
      <c r="CA138" s="103" t="s">
        <v>1</v>
      </c>
      <c r="CB138" s="175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U138" s="336">
        <f>CW138/CV138</f>
        <v>112.62680948523239</v>
      </c>
      <c r="CV138" s="174">
        <f>CL145</f>
        <v>774.43493010294708</v>
      </c>
      <c r="CW138" s="173">
        <f>CW145</f>
        <v>87222.135331413883</v>
      </c>
      <c r="EB138" s="112"/>
      <c r="EC138" s="112"/>
      <c r="ED138" s="105"/>
      <c r="EE138" s="105"/>
      <c r="EF138" s="105"/>
      <c r="EG138" s="105"/>
      <c r="EH138" s="105"/>
      <c r="EI138" s="105"/>
      <c r="EJ138" s="105"/>
      <c r="EK138" s="335" t="s">
        <v>250</v>
      </c>
      <c r="EL138" s="116" t="s">
        <v>1</v>
      </c>
      <c r="EM138" s="117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" customHeight="1" thickBot="1" x14ac:dyDescent="0.3">
      <c r="B139" s="2" t="s">
        <v>195</v>
      </c>
      <c r="C139" s="201" t="s">
        <v>194</v>
      </c>
      <c r="D139" s="201" t="s">
        <v>166</v>
      </c>
      <c r="E139" s="201" t="s">
        <v>166</v>
      </c>
      <c r="F139" s="201" t="s">
        <v>166</v>
      </c>
      <c r="G139" s="202" t="s">
        <v>250</v>
      </c>
      <c r="H139" s="201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191" t="s">
        <v>510</v>
      </c>
      <c r="U139" s="178" t="s">
        <v>83</v>
      </c>
      <c r="V139" s="177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299" t="s">
        <v>656</v>
      </c>
      <c r="AX139" s="299" t="s">
        <v>265</v>
      </c>
      <c r="AY139" s="300" t="s">
        <v>250</v>
      </c>
      <c r="AZ139" s="300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91" t="s">
        <v>510</v>
      </c>
      <c r="CA139" s="134" t="s">
        <v>83</v>
      </c>
      <c r="CB139" s="177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2"/>
      <c r="EC139" s="112"/>
      <c r="ED139" s="105"/>
      <c r="EE139" s="105"/>
      <c r="EF139" s="105"/>
      <c r="EG139" s="105"/>
      <c r="EH139" s="105"/>
      <c r="EI139" s="105"/>
      <c r="EJ139" s="105"/>
      <c r="EK139" s="191" t="s">
        <v>510</v>
      </c>
      <c r="EL139" s="118" t="s">
        <v>83</v>
      </c>
      <c r="EM139" s="119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K139" s="335" t="s">
        <v>250</v>
      </c>
      <c r="FL139" s="176" t="s">
        <v>1</v>
      </c>
      <c r="FM139" s="175" t="s">
        <v>0</v>
      </c>
    </row>
    <row r="140" spans="2:171" ht="19" customHeight="1" thickBot="1" x14ac:dyDescent="0.3">
      <c r="B140" s="2" t="s">
        <v>91</v>
      </c>
      <c r="C140" s="2" t="s">
        <v>91</v>
      </c>
      <c r="D140" s="201" t="s">
        <v>255</v>
      </c>
      <c r="E140" s="201" t="s">
        <v>256</v>
      </c>
      <c r="F140" s="201" t="s">
        <v>47</v>
      </c>
      <c r="G140" s="202" t="s">
        <v>91</v>
      </c>
      <c r="H140" s="201" t="s">
        <v>47</v>
      </c>
      <c r="J140" s="21"/>
      <c r="K140" s="21"/>
      <c r="L140" s="21"/>
      <c r="M140" s="21"/>
      <c r="N140" s="21"/>
      <c r="O140" s="21"/>
      <c r="P140" s="21"/>
      <c r="Q140" s="132" t="s">
        <v>466</v>
      </c>
      <c r="R140" s="21"/>
      <c r="S140" s="21"/>
      <c r="T140" s="336">
        <f>V140/U140</f>
        <v>45492.270191724252</v>
      </c>
      <c r="U140" s="174">
        <f>L145</f>
        <v>5.671161105764883E-3</v>
      </c>
      <c r="V140" s="173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N140" s="335" t="s">
        <v>250</v>
      </c>
      <c r="AO140" s="176" t="s">
        <v>1</v>
      </c>
      <c r="AP140" s="175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299" t="s">
        <v>47</v>
      </c>
      <c r="AX140" s="299" t="s">
        <v>62</v>
      </c>
      <c r="AY140" s="299" t="s">
        <v>91</v>
      </c>
      <c r="AZ140" s="299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336">
        <f>CB140/CA140</f>
        <v>4.1467529598807173</v>
      </c>
      <c r="CA140" s="104">
        <f>BQ146</f>
        <v>644.2421909044931</v>
      </c>
      <c r="CB140" s="173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2"/>
      <c r="EC140" s="112"/>
      <c r="ED140" s="105"/>
      <c r="EE140" s="105"/>
      <c r="EF140" s="105"/>
      <c r="EG140" s="105"/>
      <c r="EH140" s="105" t="s">
        <v>420</v>
      </c>
      <c r="EI140" s="105"/>
      <c r="EJ140" s="105"/>
      <c r="EK140" s="336">
        <f>EM140/EL140</f>
        <v>4.1467529598807324</v>
      </c>
      <c r="EL140" s="107">
        <f>EB146</f>
        <v>2852.0490535886452</v>
      </c>
      <c r="EM140" s="108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K140" s="191" t="s">
        <v>510</v>
      </c>
      <c r="FL140" s="178" t="s">
        <v>83</v>
      </c>
      <c r="FM140" s="177" t="s">
        <v>87</v>
      </c>
    </row>
    <row r="141" spans="2:171" ht="19.25" customHeight="1" thickBot="1" x14ac:dyDescent="0.3">
      <c r="B141" s="2" t="s">
        <v>209</v>
      </c>
      <c r="C141" s="201" t="s">
        <v>201</v>
      </c>
      <c r="D141" s="2">
        <v>5570</v>
      </c>
      <c r="E141" s="201">
        <f t="shared" ref="E141:E148" si="55">D141*Btu_to_kJ</f>
        <v>5876.6842000000006</v>
      </c>
      <c r="F141" s="201">
        <f t="shared" ref="F141:F148" si="56">E141*($AE$131/1000)</f>
        <v>61.28077095942907</v>
      </c>
      <c r="G141" s="201">
        <v>1.06</v>
      </c>
      <c r="H141" s="201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N141" s="191" t="s">
        <v>510</v>
      </c>
      <c r="AO141" s="178" t="s">
        <v>83</v>
      </c>
      <c r="AP141" s="177" t="s">
        <v>87</v>
      </c>
      <c r="AQ141" s="21"/>
      <c r="AR141" s="21"/>
      <c r="AS141" s="21"/>
      <c r="AT141" s="21"/>
      <c r="AU141" s="21"/>
      <c r="AW141" s="301">
        <f>AS113</f>
        <v>2824.8856477449194</v>
      </c>
      <c r="AX141" s="301">
        <f>T_0</f>
        <v>298</v>
      </c>
      <c r="AY141" s="301">
        <f>1-(T_0/AX141)</f>
        <v>0</v>
      </c>
      <c r="AZ141" s="301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7" t="s">
        <v>84</v>
      </c>
      <c r="CO141" s="137" t="s">
        <v>80</v>
      </c>
      <c r="CP141" s="1" t="s">
        <v>89</v>
      </c>
      <c r="CQ141" s="137" t="s">
        <v>89</v>
      </c>
      <c r="CR141" s="137" t="s">
        <v>24</v>
      </c>
      <c r="CS141" s="137" t="s">
        <v>91</v>
      </c>
      <c r="CT141" s="137" t="s">
        <v>89</v>
      </c>
      <c r="CU141" s="137" t="s">
        <v>89</v>
      </c>
      <c r="CV141" s="137" t="s">
        <v>88</v>
      </c>
      <c r="CW141" s="137" t="s">
        <v>86</v>
      </c>
      <c r="EB141" s="112"/>
      <c r="EC141" s="112"/>
      <c r="ED141" s="105"/>
      <c r="EE141" s="105"/>
      <c r="EF141" s="105"/>
      <c r="EG141" s="105"/>
      <c r="EH141" s="105"/>
      <c r="EI141" s="105"/>
      <c r="EJ141" s="105"/>
      <c r="EK141" s="105"/>
      <c r="EL141" s="105"/>
      <c r="EM141" s="105"/>
      <c r="EP141" s="14" t="s">
        <v>29</v>
      </c>
      <c r="EQ141" s="158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K141" s="336">
        <f>FM141/FL141</f>
        <v>118.8058957677511</v>
      </c>
      <c r="FL141" s="174">
        <f>FB149</f>
        <v>3402.2651449800928</v>
      </c>
      <c r="FM141" s="173">
        <f>FM149</f>
        <v>404209.15818875749</v>
      </c>
    </row>
    <row r="142" spans="2:171" ht="19" customHeight="1" thickBot="1" x14ac:dyDescent="0.3">
      <c r="B142" s="2" t="s">
        <v>209</v>
      </c>
      <c r="C142" s="2" t="s">
        <v>202</v>
      </c>
      <c r="D142" s="2">
        <v>5140</v>
      </c>
      <c r="E142" s="201">
        <f t="shared" si="55"/>
        <v>5423.0084000000006</v>
      </c>
      <c r="F142" s="201">
        <f t="shared" si="56"/>
        <v>56.549939449096122</v>
      </c>
      <c r="G142" s="201">
        <v>1.06</v>
      </c>
      <c r="H142" s="201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N142" s="336">
        <f>AP142/AO142</f>
        <v>69.554805547582731</v>
      </c>
      <c r="AO142" s="174">
        <f>AE149</f>
        <v>9.658257192857822E-2</v>
      </c>
      <c r="AP142" s="173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90" t="s">
        <v>414</v>
      </c>
      <c r="BL142" s="390"/>
      <c r="BM142" s="390"/>
      <c r="BN142" s="390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97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90" t="s">
        <v>414</v>
      </c>
      <c r="DW142" s="390"/>
      <c r="DX142" s="390"/>
      <c r="DY142" s="390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58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 x14ac:dyDescent="0.25">
      <c r="B143" s="2" t="s">
        <v>209</v>
      </c>
      <c r="C143" s="2" t="s">
        <v>183</v>
      </c>
      <c r="D143" s="2">
        <f>3660+2040+1020+133</f>
        <v>6853</v>
      </c>
      <c r="E143" s="201">
        <f t="shared" si="55"/>
        <v>7230.3261800000009</v>
      </c>
      <c r="F143" s="201">
        <f t="shared" si="56"/>
        <v>75.396251954213184</v>
      </c>
      <c r="G143" s="201">
        <v>1.06</v>
      </c>
      <c r="H143" s="201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90"/>
      <c r="BL143" s="390"/>
      <c r="BM143" s="390"/>
      <c r="BN143" s="390"/>
      <c r="BO143" s="21"/>
      <c r="BP143" s="21" t="s">
        <v>40</v>
      </c>
      <c r="BQ143" s="1" t="s">
        <v>82</v>
      </c>
      <c r="BR143" s="21" t="s">
        <v>213</v>
      </c>
      <c r="BS143" s="137" t="s">
        <v>84</v>
      </c>
      <c r="BT143" s="137" t="s">
        <v>80</v>
      </c>
      <c r="BU143" s="1" t="s">
        <v>89</v>
      </c>
      <c r="BV143" s="137" t="s">
        <v>89</v>
      </c>
      <c r="BW143" s="137" t="s">
        <v>24</v>
      </c>
      <c r="BX143" s="137" t="s">
        <v>91</v>
      </c>
      <c r="BY143" s="137" t="s">
        <v>89</v>
      </c>
      <c r="BZ143" s="137" t="s">
        <v>89</v>
      </c>
      <c r="CA143" s="137" t="s">
        <v>88</v>
      </c>
      <c r="CB143" s="137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97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90"/>
      <c r="DW143" s="390"/>
      <c r="DX143" s="390"/>
      <c r="DY143" s="390"/>
      <c r="EA143" s="184" t="s">
        <v>40</v>
      </c>
      <c r="EB143" s="120" t="s">
        <v>82</v>
      </c>
      <c r="EC143" s="1" t="s">
        <v>452</v>
      </c>
      <c r="ED143" s="121" t="s">
        <v>84</v>
      </c>
      <c r="EE143" s="121" t="s">
        <v>80</v>
      </c>
      <c r="EF143" s="1" t="s">
        <v>89</v>
      </c>
      <c r="EG143" s="121" t="s">
        <v>89</v>
      </c>
      <c r="EH143" s="121" t="s">
        <v>24</v>
      </c>
      <c r="EI143" s="121" t="s">
        <v>91</v>
      </c>
      <c r="EJ143" s="121" t="s">
        <v>89</v>
      </c>
      <c r="EK143" s="121" t="s">
        <v>89</v>
      </c>
      <c r="EL143" s="121" t="s">
        <v>88</v>
      </c>
      <c r="EM143" s="121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2" t="s">
        <v>209</v>
      </c>
      <c r="C144" s="2" t="s">
        <v>203</v>
      </c>
      <c r="D144" s="2">
        <f>3100</f>
        <v>3100</v>
      </c>
      <c r="E144" s="201">
        <f t="shared" si="55"/>
        <v>3270.6860000000001</v>
      </c>
      <c r="F144" s="201">
        <f t="shared" si="56"/>
        <v>34.105994609377035</v>
      </c>
      <c r="G144" s="201">
        <v>1.06</v>
      </c>
      <c r="H144" s="201">
        <f t="shared" si="57"/>
        <v>36.152354285939658</v>
      </c>
      <c r="I144" s="156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97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2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97"/>
      <c r="CK144" s="24" t="s">
        <v>66</v>
      </c>
      <c r="CL144" s="157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97" t="s">
        <v>420</v>
      </c>
      <c r="EA144" s="1" t="s">
        <v>233</v>
      </c>
      <c r="EB144" s="112">
        <f>(EE105*O2_Oil_molcoeff*MW_O2)+(EE118*O2_Naturalgas_molcoeff*MW_O2) + O2_in_BF_for_COG+O2_in_BF_for_coke+O2_in_BF</f>
        <v>664.54882131744762</v>
      </c>
      <c r="EC144" s="109">
        <f>EB144/EB146</f>
        <v>0.23300750051310176</v>
      </c>
      <c r="ED144" s="143">
        <f>MW_O2</f>
        <v>3.1998800000000001E-2</v>
      </c>
      <c r="EE144" s="105">
        <f>EB144/ED144</f>
        <v>20767.929463525121</v>
      </c>
      <c r="EF144" s="142">
        <f>h_O2</f>
        <v>0</v>
      </c>
      <c r="EG144" s="105">
        <f>b_ch_O2</f>
        <v>4</v>
      </c>
      <c r="EH144" s="105">
        <f>EE144/$EE$146</f>
        <v>0.21008403361344541</v>
      </c>
      <c r="EI144" s="113">
        <f>LN(EH144)</f>
        <v>-1.5602476682433284</v>
      </c>
      <c r="EJ144" s="113">
        <f>RT0*EI144</f>
        <v>-3.8656259359049594</v>
      </c>
      <c r="EK144" s="113">
        <f>EG144+EJ144</f>
        <v>0.1343740640950406</v>
      </c>
      <c r="EL144" s="113">
        <f>EK144*EH144</f>
        <v>2.8229845398117778E-2</v>
      </c>
      <c r="EM144" s="113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7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2" t="s">
        <v>209</v>
      </c>
      <c r="C145" s="2" t="s">
        <v>204</v>
      </c>
      <c r="D145" s="2">
        <v>1060</v>
      </c>
      <c r="E145" s="201">
        <f t="shared" si="55"/>
        <v>1118.3636000000001</v>
      </c>
      <c r="F145" s="201">
        <f t="shared" si="56"/>
        <v>11.662049769657957</v>
      </c>
      <c r="G145" s="201">
        <v>1.06</v>
      </c>
      <c r="H145" s="201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7" t="s">
        <v>84</v>
      </c>
      <c r="AH145" s="137" t="s">
        <v>80</v>
      </c>
      <c r="AI145" s="1" t="s">
        <v>89</v>
      </c>
      <c r="AJ145" s="137" t="s">
        <v>89</v>
      </c>
      <c r="AK145" s="137" t="s">
        <v>24</v>
      </c>
      <c r="AL145" s="137" t="s">
        <v>91</v>
      </c>
      <c r="AM145" s="137" t="s">
        <v>89</v>
      </c>
      <c r="AN145" s="137" t="s">
        <v>89</v>
      </c>
      <c r="AO145" s="137" t="s">
        <v>88</v>
      </c>
      <c r="AP145" s="137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97"/>
      <c r="BP145" s="157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7">
        <f>LN(BW145)</f>
        <v>-0.23582871084152554</v>
      </c>
      <c r="BY145" s="137">
        <f>RT0*BX145</f>
        <v>-0.58428261077706012</v>
      </c>
      <c r="BZ145" s="137">
        <f>BV145+BY145</f>
        <v>0.11571738922293984</v>
      </c>
      <c r="CA145" s="137">
        <f>BZ145*BW145</f>
        <v>9.1407013335767603E-2</v>
      </c>
      <c r="CB145" s="137">
        <f>BT146*CA145</f>
        <v>2041.1355361674134</v>
      </c>
      <c r="CJ145" s="397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97"/>
      <c r="EA145" s="157" t="s">
        <v>66</v>
      </c>
      <c r="EB145" s="122">
        <f>ED145*EE145</f>
        <v>2187.5002322711975</v>
      </c>
      <c r="EC145" s="122">
        <f>EB145/EB146</f>
        <v>0.76699249948689829</v>
      </c>
      <c r="ED145" s="148">
        <f>MW_N2</f>
        <v>2.801348E-2</v>
      </c>
      <c r="EE145" s="123">
        <f>N2_molcoeff*EE144</f>
        <v>78087.414782854452</v>
      </c>
      <c r="EF145" s="27">
        <f>h_N2</f>
        <v>0</v>
      </c>
      <c r="EG145" s="123">
        <f>b_ch_N2</f>
        <v>0.7</v>
      </c>
      <c r="EH145" s="123">
        <f>EE145/$EE$146</f>
        <v>0.7899159663865547</v>
      </c>
      <c r="EI145" s="121">
        <f>LN(EH145)</f>
        <v>-0.23582871084152537</v>
      </c>
      <c r="EJ145" s="121">
        <f>RT0*EI145</f>
        <v>-0.58428261077705967</v>
      </c>
      <c r="EK145" s="121">
        <f>EG145+EJ145</f>
        <v>0.11571738922294028</v>
      </c>
      <c r="EL145" s="121">
        <f>EK145*EH145</f>
        <v>9.1407013335767964E-2</v>
      </c>
      <c r="EM145" s="121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97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2" t="s">
        <v>209</v>
      </c>
      <c r="C146" s="203" t="s">
        <v>205</v>
      </c>
      <c r="D146" s="2">
        <v>60</v>
      </c>
      <c r="E146" s="201">
        <f t="shared" si="55"/>
        <v>63.303600000000003</v>
      </c>
      <c r="F146" s="201">
        <f t="shared" si="56"/>
        <v>0.6601160246976201</v>
      </c>
      <c r="G146" s="201">
        <v>1.06</v>
      </c>
      <c r="H146" s="201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97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2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2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97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2" t="s">
        <v>209</v>
      </c>
      <c r="C147" s="2" t="s">
        <v>206</v>
      </c>
      <c r="D147" s="201">
        <v>170</v>
      </c>
      <c r="E147" s="201">
        <f t="shared" si="55"/>
        <v>179.36020000000002</v>
      </c>
      <c r="F147" s="201">
        <f t="shared" si="56"/>
        <v>1.8703287366432571</v>
      </c>
      <c r="G147" s="201">
        <v>1.06</v>
      </c>
      <c r="H147" s="201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97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97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thickBot="1" x14ac:dyDescent="0.3">
      <c r="B148" s="2" t="s">
        <v>209</v>
      </c>
      <c r="C148" s="201" t="s">
        <v>208</v>
      </c>
      <c r="D148" s="201">
        <v>6</v>
      </c>
      <c r="E148" s="201">
        <f t="shared" si="55"/>
        <v>6.3303600000000007</v>
      </c>
      <c r="F148" s="201">
        <f t="shared" si="56"/>
        <v>6.601160246976201E-2</v>
      </c>
      <c r="G148" s="201">
        <v>1.06</v>
      </c>
      <c r="H148" s="201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97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7" t="s">
        <v>66</v>
      </c>
      <c r="FB148" s="114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thickBot="1" x14ac:dyDescent="0.25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335" t="s">
        <v>250</v>
      </c>
      <c r="U149" s="176" t="s">
        <v>1</v>
      </c>
      <c r="V149" s="175" t="s">
        <v>0</v>
      </c>
      <c r="W149" s="21"/>
      <c r="X149" s="21"/>
      <c r="Y149" s="21"/>
      <c r="Z149" s="21"/>
      <c r="AA149" s="21"/>
      <c r="AB149" s="21"/>
      <c r="AC149" s="397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2">
        <f>SUM(FB145:FB148)</f>
        <v>3402.2651449800928</v>
      </c>
      <c r="FC149" s="142">
        <f>SUM(FC145:FC148)</f>
        <v>1</v>
      </c>
      <c r="FD149" s="142" cm="1">
        <f t="array" ref="FD149">SUM(FD145:FD148*FH145:FH148)</f>
        <v>2.934040124525995E-2</v>
      </c>
      <c r="FE149" s="142">
        <f>SUM(FE145:FE148)</f>
        <v>115958.37141217491</v>
      </c>
      <c r="FF149" s="18" cm="1">
        <f t="array" ref="FF149">SUM(FE145:FE148*FF145:FF148) / FE149</f>
        <v>-105.59301148993288</v>
      </c>
      <c r="FG149" s="142"/>
      <c r="FH149" s="142">
        <f>SUM(FH145:FH148)</f>
        <v>1</v>
      </c>
      <c r="FI149" s="142"/>
      <c r="FJ149" s="142"/>
      <c r="FK149" s="142"/>
      <c r="FL149" s="142">
        <f>SUM(FL145:FL148)</f>
        <v>3.4858126521283488</v>
      </c>
      <c r="FM149" s="142">
        <f>SUM(FM145:FM148)</f>
        <v>404209.15818875749</v>
      </c>
    </row>
    <row r="150" spans="2:169" ht="18" customHeight="1" x14ac:dyDescent="0.25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191" t="s">
        <v>510</v>
      </c>
      <c r="U150" s="178" t="s">
        <v>83</v>
      </c>
      <c r="V150" s="177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1"/>
      <c r="BY150" s="27"/>
      <c r="BZ150" s="335" t="s">
        <v>250</v>
      </c>
      <c r="CA150" s="103" t="s">
        <v>1</v>
      </c>
      <c r="CB150" s="175" t="s">
        <v>0</v>
      </c>
      <c r="EK150" s="335" t="s">
        <v>250</v>
      </c>
      <c r="EL150" s="116" t="s">
        <v>1</v>
      </c>
      <c r="EM150" s="117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" customHeight="1" thickBot="1" x14ac:dyDescent="0.3">
      <c r="J151" s="21"/>
      <c r="K151" s="21"/>
      <c r="L151" s="21"/>
      <c r="M151" s="21"/>
      <c r="N151" s="21"/>
      <c r="O151" s="21"/>
      <c r="P151" s="21"/>
      <c r="Q151" s="132" t="s">
        <v>467</v>
      </c>
      <c r="R151" s="21"/>
      <c r="S151" s="21"/>
      <c r="T151" s="336">
        <f>V151/U151</f>
        <v>46556.366885754731</v>
      </c>
      <c r="U151" s="174">
        <f>L156</f>
        <v>5.1714158616864253E-4</v>
      </c>
      <c r="V151" s="173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29"/>
      <c r="BJ151" s="129"/>
      <c r="BK151" s="129"/>
      <c r="BL151" s="129"/>
      <c r="BM151" s="21"/>
      <c r="BN151" s="21"/>
      <c r="BO151" s="21"/>
      <c r="BP151" s="171"/>
      <c r="BY151" s="27"/>
      <c r="BZ151" s="191" t="s">
        <v>510</v>
      </c>
      <c r="CA151" s="169" t="s">
        <v>10</v>
      </c>
      <c r="CB151" s="172" t="s">
        <v>47</v>
      </c>
      <c r="CK151" t="s">
        <v>658</v>
      </c>
      <c r="EK151" s="191" t="s">
        <v>510</v>
      </c>
      <c r="EL151" s="118" t="s">
        <v>83</v>
      </c>
      <c r="EM151" s="119" t="s">
        <v>87</v>
      </c>
    </row>
    <row r="152" spans="2:169" ht="17" customHeight="1" thickBot="1" x14ac:dyDescent="0.25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1"/>
      <c r="BW152" s="14" t="s">
        <v>377</v>
      </c>
      <c r="BY152" s="27"/>
      <c r="BZ152" s="336">
        <f>CB152/CA152</f>
        <v>51848.933724620947</v>
      </c>
      <c r="CA152" s="179">
        <f>BR156</f>
        <v>37.630021206323519</v>
      </c>
      <c r="CB152" s="173">
        <f>CB156</f>
        <v>1951076.4755827489</v>
      </c>
      <c r="EH152" s="14" t="s">
        <v>517</v>
      </c>
      <c r="EK152" s="336">
        <f>EM152/EL152</f>
        <v>87708.99027787245</v>
      </c>
      <c r="EL152" s="107">
        <f>EB160</f>
        <v>32.269863299428096</v>
      </c>
      <c r="EM152" s="108">
        <f>EM160</f>
        <v>2830357.1263978118</v>
      </c>
    </row>
    <row r="153" spans="2:169" ht="19.25" customHeight="1" x14ac:dyDescent="0.25">
      <c r="B153" s="390" t="s">
        <v>387</v>
      </c>
      <c r="C153" s="390"/>
      <c r="D153" s="390"/>
      <c r="E153" s="390"/>
      <c r="F153" s="390"/>
      <c r="G153" s="390"/>
      <c r="H153" s="390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299" t="s">
        <v>656</v>
      </c>
      <c r="CK153" s="299" t="s">
        <v>265</v>
      </c>
      <c r="CL153" s="300" t="s">
        <v>250</v>
      </c>
      <c r="CM153" s="300" t="s">
        <v>657</v>
      </c>
    </row>
    <row r="154" spans="2:169" ht="18" customHeight="1" x14ac:dyDescent="0.25">
      <c r="B154" s="394"/>
      <c r="C154" s="394"/>
      <c r="D154" s="394"/>
      <c r="E154" s="394"/>
      <c r="F154" s="394"/>
      <c r="G154" s="394"/>
      <c r="H154" s="394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90" t="s">
        <v>376</v>
      </c>
      <c r="BL154" s="390"/>
      <c r="BM154" s="390"/>
      <c r="BN154" s="390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299" t="s">
        <v>47</v>
      </c>
      <c r="CK154" s="299" t="s">
        <v>62</v>
      </c>
      <c r="CL154" s="299" t="s">
        <v>91</v>
      </c>
      <c r="CM154" s="299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2" t="s">
        <v>195</v>
      </c>
      <c r="C155" s="201" t="s">
        <v>194</v>
      </c>
      <c r="D155" s="201" t="s">
        <v>166</v>
      </c>
      <c r="E155" s="201" t="s">
        <v>166</v>
      </c>
      <c r="F155" s="201" t="s">
        <v>166</v>
      </c>
      <c r="G155" s="202" t="s">
        <v>250</v>
      </c>
      <c r="H155" s="201" t="s">
        <v>244</v>
      </c>
      <c r="I155" s="156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667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90"/>
      <c r="BL155" s="390"/>
      <c r="BM155" s="390"/>
      <c r="BN155" s="390"/>
      <c r="BP155" s="21"/>
      <c r="BQ155" s="14" t="s">
        <v>453</v>
      </c>
      <c r="BR155" s="1" t="s">
        <v>82</v>
      </c>
      <c r="BS155" s="1" t="s">
        <v>84</v>
      </c>
      <c r="BT155" s="137" t="s">
        <v>80</v>
      </c>
      <c r="BU155" s="1" t="s">
        <v>89</v>
      </c>
      <c r="BV155" s="137" t="s">
        <v>89</v>
      </c>
      <c r="BW155" s="137" t="s">
        <v>24</v>
      </c>
      <c r="BX155" s="1" t="s">
        <v>91</v>
      </c>
      <c r="BY155" s="137" t="s">
        <v>89</v>
      </c>
      <c r="BZ155" s="137" t="s">
        <v>89</v>
      </c>
      <c r="CA155" s="137" t="s">
        <v>88</v>
      </c>
      <c r="CB155" s="1" t="s">
        <v>86</v>
      </c>
      <c r="CJ155" s="301">
        <f>'MCC_Q_RUVY_matrices_mat_level '!L168</f>
        <v>1515160.1036388339</v>
      </c>
      <c r="CK155" s="301">
        <f>CE125</f>
        <v>1173.1500000000001</v>
      </c>
      <c r="CL155" s="301">
        <f>1-(T_0/CK155)</f>
        <v>0.74598303712227765</v>
      </c>
      <c r="CM155" s="301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2" t="s">
        <v>91</v>
      </c>
      <c r="C156" s="2" t="s">
        <v>91</v>
      </c>
      <c r="D156" s="201" t="s">
        <v>255</v>
      </c>
      <c r="E156" s="201" t="s">
        <v>256</v>
      </c>
      <c r="F156" s="201" t="s">
        <v>47</v>
      </c>
      <c r="G156" s="202" t="s">
        <v>91</v>
      </c>
      <c r="H156" s="201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0" t="s">
        <v>377</v>
      </c>
      <c r="BP156" s="19" t="s">
        <v>64</v>
      </c>
      <c r="BQ156" s="19">
        <f>BR156*LHV_CH4</f>
        <v>1881501.0603161759</v>
      </c>
      <c r="BR156" s="170">
        <f>CH4_into_Kiln</f>
        <v>37.630021206323519</v>
      </c>
      <c r="BS156" s="159">
        <f t="array" ref="BS156">MW_CH4</f>
        <v>1.604276E-2</v>
      </c>
      <c r="BT156" s="159">
        <f>BR156/BS156</f>
        <v>2345.6076888467769</v>
      </c>
      <c r="BU156" s="159">
        <f>h_CH4</f>
        <v>-74.599999999999994</v>
      </c>
      <c r="BV156" s="170">
        <f>b_ch_CH4</f>
        <v>831.8</v>
      </c>
      <c r="BW156" s="159">
        <f>BT156/BT156</f>
        <v>1</v>
      </c>
      <c r="BX156" s="170">
        <f>LN(BW156)</f>
        <v>0</v>
      </c>
      <c r="BY156" s="170">
        <f>RT0*BX156</f>
        <v>0</v>
      </c>
      <c r="BZ156" s="170">
        <f>BV156+BY156</f>
        <v>831.8</v>
      </c>
      <c r="CA156" s="170">
        <f>BZ156*BW156</f>
        <v>831.8</v>
      </c>
      <c r="CB156" s="4">
        <f>BT156*CA156</f>
        <v>1951076.4755827489</v>
      </c>
      <c r="DZ156" s="418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 x14ac:dyDescent="0.25">
      <c r="B157" s="2" t="s">
        <v>385</v>
      </c>
      <c r="C157" s="201" t="s">
        <v>207</v>
      </c>
      <c r="D157" s="201">
        <v>2040</v>
      </c>
      <c r="E157" s="201">
        <f>D157*Btu_to_kJ</f>
        <v>2152.3224</v>
      </c>
      <c r="F157" s="201">
        <f>E157*($AE$131/1000)</f>
        <v>22.443944839719084</v>
      </c>
      <c r="G157" s="201">
        <v>1.04</v>
      </c>
      <c r="H157" s="201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299" t="s">
        <v>656</v>
      </c>
      <c r="AD157" s="299" t="s">
        <v>265</v>
      </c>
      <c r="AE157" s="300" t="s">
        <v>250</v>
      </c>
      <c r="AF157" s="300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18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 x14ac:dyDescent="0.25">
      <c r="L158" s="1"/>
      <c r="P158" s="21"/>
      <c r="Q158" s="21"/>
      <c r="V158" s="1"/>
      <c r="W158" s="21"/>
      <c r="X158" s="21"/>
      <c r="Y158" s="21"/>
      <c r="Z158" s="21"/>
      <c r="AA158" s="21"/>
      <c r="AC158" s="299" t="s">
        <v>47</v>
      </c>
      <c r="AD158" s="299" t="s">
        <v>62</v>
      </c>
      <c r="AE158" s="299" t="s">
        <v>91</v>
      </c>
      <c r="AF158" s="299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418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7" customHeight="1" x14ac:dyDescent="0.25">
      <c r="D159" s="3" t="s">
        <v>210</v>
      </c>
      <c r="E159" s="186" t="s">
        <v>211</v>
      </c>
      <c r="F159" s="21" t="s">
        <v>212</v>
      </c>
      <c r="I159" s="136"/>
      <c r="L159" s="1"/>
      <c r="P159" s="21"/>
      <c r="Q159" s="21"/>
      <c r="V159" s="1"/>
      <c r="W159" s="21"/>
      <c r="X159" s="21"/>
      <c r="Y159" s="21"/>
      <c r="Z159" s="21"/>
      <c r="AA159" s="21"/>
      <c r="AC159" s="301">
        <f>'MCC_Q_RUVY_matrices_mat_level '!L160</f>
        <v>518.86817691568285</v>
      </c>
      <c r="AD159" s="301">
        <v>323.14999999999998</v>
      </c>
      <c r="AE159" s="301">
        <f>1-(T_0/AD159)</f>
        <v>7.7827634225591802E-2</v>
      </c>
      <c r="AF159" s="301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418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299" t="s">
        <v>656</v>
      </c>
      <c r="FB159" s="299" t="s">
        <v>265</v>
      </c>
      <c r="FC159" s="300" t="s">
        <v>250</v>
      </c>
      <c r="FD159" s="300" t="s">
        <v>657</v>
      </c>
    </row>
    <row r="160" spans="2:169" ht="17" customHeight="1" thickBot="1" x14ac:dyDescent="0.25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434" t="s">
        <v>804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7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299" t="s">
        <v>47</v>
      </c>
      <c r="FB160" s="299" t="s">
        <v>62</v>
      </c>
      <c r="FC160" s="299" t="s">
        <v>91</v>
      </c>
      <c r="FD160" s="299" t="s">
        <v>47</v>
      </c>
    </row>
    <row r="161" spans="1:160" ht="18" customHeight="1" x14ac:dyDescent="0.25">
      <c r="T161" s="335" t="s">
        <v>250</v>
      </c>
      <c r="U161" s="176" t="s">
        <v>1</v>
      </c>
      <c r="V161" s="175" t="s">
        <v>0</v>
      </c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7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1">
        <f>'MCC_Q_RUVY_matrices_mat_level '!L173</f>
        <v>11186112.196651561</v>
      </c>
      <c r="FB161" s="301">
        <v>1144.261</v>
      </c>
      <c r="FC161" s="301">
        <f>1-(T_0/FB161)</f>
        <v>0.73956990581694204</v>
      </c>
      <c r="FD161" s="301">
        <f>FA161*FC161</f>
        <v>8272911.9437353415</v>
      </c>
    </row>
    <row r="162" spans="1:160" ht="18" customHeight="1" x14ac:dyDescent="0.25">
      <c r="T162" s="191" t="s">
        <v>510</v>
      </c>
      <c r="U162" s="178" t="s">
        <v>83</v>
      </c>
      <c r="V162" s="177" t="s">
        <v>87</v>
      </c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7"/>
      <c r="FA162" t="s">
        <v>116</v>
      </c>
    </row>
    <row r="163" spans="1:160" ht="17" customHeight="1" thickBot="1" x14ac:dyDescent="0.25">
      <c r="Q163" s="14" t="s">
        <v>420</v>
      </c>
      <c r="T163" s="336">
        <f>V163/U163</f>
        <v>4.1467529598807173</v>
      </c>
      <c r="U163" s="174">
        <f>K169</f>
        <v>9.0394269236644703E-2</v>
      </c>
      <c r="V163" s="173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7"/>
    </row>
    <row r="164" spans="1:160" ht="16" customHeight="1" x14ac:dyDescent="0.2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7"/>
      <c r="EK164" s="105"/>
    </row>
    <row r="165" spans="1:160" ht="18" customHeight="1" x14ac:dyDescent="0.25">
      <c r="E165" s="390" t="s">
        <v>414</v>
      </c>
      <c r="F165" s="390"/>
      <c r="G165" s="390"/>
      <c r="H165" s="390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7"/>
      <c r="EB165" s="112"/>
    </row>
    <row r="166" spans="1:160" ht="18" customHeight="1" x14ac:dyDescent="0.25">
      <c r="E166" s="390"/>
      <c r="F166" s="390"/>
      <c r="G166" s="390"/>
      <c r="H166" s="390"/>
      <c r="J166" s="21" t="s">
        <v>40</v>
      </c>
      <c r="K166" s="1" t="s">
        <v>82</v>
      </c>
      <c r="L166" s="21" t="s">
        <v>213</v>
      </c>
      <c r="M166" s="137" t="s">
        <v>84</v>
      </c>
      <c r="N166" s="137" t="s">
        <v>80</v>
      </c>
      <c r="O166" s="1" t="s">
        <v>89</v>
      </c>
      <c r="P166" s="137" t="s">
        <v>89</v>
      </c>
      <c r="Q166" s="137" t="s">
        <v>24</v>
      </c>
      <c r="R166" s="137" t="s">
        <v>91</v>
      </c>
      <c r="S166" s="137" t="s">
        <v>89</v>
      </c>
      <c r="T166" s="137" t="s">
        <v>89</v>
      </c>
      <c r="U166" s="137" t="s">
        <v>88</v>
      </c>
      <c r="V166" s="137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7"/>
    </row>
    <row r="167" spans="1:160" ht="18" customHeight="1" x14ac:dyDescent="0.25">
      <c r="I167" s="397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7"/>
    </row>
    <row r="168" spans="1:160" ht="18" customHeight="1" x14ac:dyDescent="0.25">
      <c r="I168" s="397"/>
      <c r="J168" s="157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7">
        <f>LN(Q168)</f>
        <v>-0.23582871084152554</v>
      </c>
      <c r="S168" s="137">
        <f>RT0*R168</f>
        <v>-0.58428261077706012</v>
      </c>
      <c r="T168" s="137">
        <f>P168+S168</f>
        <v>0.11571738922293984</v>
      </c>
      <c r="U168" s="137">
        <f>T168*Q168</f>
        <v>9.1407013335767603E-2</v>
      </c>
      <c r="V168" s="137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7"/>
    </row>
    <row r="169" spans="1:160" ht="16" customHeight="1" x14ac:dyDescent="0.2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7"/>
    </row>
    <row r="170" spans="1:160" ht="18" customHeight="1" x14ac:dyDescent="0.25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7"/>
    </row>
    <row r="171" spans="1:160" ht="16" customHeight="1" x14ac:dyDescent="0.2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7"/>
    </row>
    <row r="172" spans="1:160" ht="16" customHeight="1" x14ac:dyDescent="0.2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7"/>
    </row>
    <row r="173" spans="1:160" ht="16" customHeight="1" x14ac:dyDescent="0.2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7"/>
    </row>
    <row r="174" spans="1:160" ht="16" customHeight="1" x14ac:dyDescent="0.2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7"/>
    </row>
    <row r="175" spans="1:160" ht="16" customHeight="1" x14ac:dyDescent="0.2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7"/>
    </row>
    <row r="176" spans="1:160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01"/>
      <c r="BQ176" s="102"/>
      <c r="BR176" s="102"/>
      <c r="BS176" s="42"/>
      <c r="BT176" s="42"/>
      <c r="BU176" s="42"/>
      <c r="BV176" s="183"/>
      <c r="BW176" s="183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7"/>
    </row>
    <row r="177" spans="16:130" ht="16" customHeight="1" x14ac:dyDescent="0.2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1"/>
      <c r="BN177" s="1"/>
      <c r="BO177" s="1"/>
      <c r="BR177" s="21"/>
      <c r="BS177" s="21"/>
      <c r="BY177" s="1"/>
      <c r="DZ177" s="147"/>
    </row>
    <row r="178" spans="16:130" ht="16" customHeight="1" x14ac:dyDescent="0.2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1"/>
      <c r="BN178" s="1"/>
      <c r="BO178" s="1"/>
      <c r="BR178" s="21"/>
      <c r="BS178" s="21"/>
      <c r="BY178" s="1"/>
    </row>
    <row r="179" spans="16:130" x14ac:dyDescent="0.2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 x14ac:dyDescent="0.2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" customHeight="1" x14ac:dyDescent="0.2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21"/>
      <c r="U182" s="21"/>
      <c r="V182" s="21"/>
      <c r="W182" s="405" t="s">
        <v>345</v>
      </c>
      <c r="X182" s="405"/>
      <c r="Y182" s="405"/>
      <c r="Z182" s="405"/>
      <c r="AA182" s="405"/>
      <c r="AB182" s="405"/>
      <c r="AC182" s="405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2"/>
      <c r="CS183" s="21"/>
      <c r="CT183" s="21"/>
    </row>
    <row r="184" spans="16:130" ht="17" customHeight="1" x14ac:dyDescent="0.25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 x14ac:dyDescent="0.2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 x14ac:dyDescent="0.2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 x14ac:dyDescent="0.2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405" t="s">
        <v>346</v>
      </c>
      <c r="AP187" s="405"/>
      <c r="AQ187" s="405"/>
      <c r="AR187" s="405"/>
      <c r="AS187" s="405"/>
      <c r="AT187" s="405"/>
      <c r="AU187" s="405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405" t="s">
        <v>347</v>
      </c>
      <c r="BH187" s="405"/>
      <c r="BI187" s="405"/>
      <c r="BJ187" s="405"/>
      <c r="BK187" s="405"/>
      <c r="BL187" s="405"/>
      <c r="BM187" s="405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 x14ac:dyDescent="0.2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 x14ac:dyDescent="0.25">
      <c r="P189" s="414" t="s">
        <v>285</v>
      </c>
      <c r="Q189" s="414"/>
      <c r="T189" s="21"/>
      <c r="U189" s="21"/>
      <c r="V189" s="21"/>
      <c r="W189" s="22" t="s">
        <v>196</v>
      </c>
      <c r="X189" s="182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0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" customHeight="1" x14ac:dyDescent="0.2">
      <c r="P190" s="415"/>
      <c r="Q190" s="415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" customHeight="1" x14ac:dyDescent="0.2">
      <c r="P191" s="395" t="s">
        <v>269</v>
      </c>
      <c r="Q191" s="190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 x14ac:dyDescent="0.2">
      <c r="P192" s="398"/>
      <c r="Q192" s="192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0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 x14ac:dyDescent="0.2">
      <c r="P193" s="99" t="s">
        <v>266</v>
      </c>
      <c r="Q193" s="192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" customHeight="1" x14ac:dyDescent="0.2">
      <c r="N194" s="21"/>
      <c r="O194" s="21"/>
      <c r="P194" s="99" t="s">
        <v>489</v>
      </c>
      <c r="Q194" s="192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" customHeight="1" x14ac:dyDescent="0.2">
      <c r="N195" s="21"/>
      <c r="O195" s="21"/>
      <c r="P195" s="100" t="s">
        <v>268</v>
      </c>
      <c r="Q195" s="187">
        <f>V210/AC195</f>
        <v>109.7914834438229</v>
      </c>
      <c r="T195" s="21"/>
      <c r="U195" s="21"/>
      <c r="V195" s="21"/>
      <c r="W195" s="412" t="s">
        <v>398</v>
      </c>
      <c r="X195" s="413"/>
      <c r="Y195" s="145"/>
      <c r="Z195" s="145"/>
      <c r="AA195" s="145">
        <f>SUM(AA185:AA186,AA187:AA188,AA189:AA190,AA191:AA192,AA193:AA194)</f>
        <v>80616.370239891301</v>
      </c>
      <c r="AB195" s="144">
        <v>1</v>
      </c>
      <c r="AC195" s="146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 x14ac:dyDescent="0.2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 x14ac:dyDescent="0.2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 x14ac:dyDescent="0.2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 x14ac:dyDescent="0.2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 x14ac:dyDescent="0.2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 x14ac:dyDescent="0.2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 x14ac:dyDescent="0.2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" customHeight="1" thickBot="1" x14ac:dyDescent="0.25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 x14ac:dyDescent="0.2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335" t="s">
        <v>250</v>
      </c>
      <c r="U204" s="176" t="s">
        <v>1</v>
      </c>
      <c r="V204" s="175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335" t="s">
        <v>250</v>
      </c>
      <c r="AO204" s="176" t="s">
        <v>1</v>
      </c>
      <c r="AP204" s="175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335" t="s">
        <v>250</v>
      </c>
      <c r="BH204" s="176" t="s">
        <v>1</v>
      </c>
      <c r="BI204" s="175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335" t="s">
        <v>250</v>
      </c>
      <c r="CA204" s="176" t="s">
        <v>1</v>
      </c>
      <c r="CB204" s="175" t="s">
        <v>0</v>
      </c>
      <c r="CC204" s="21"/>
      <c r="CD204" s="21"/>
      <c r="CU204" s="335" t="s">
        <v>250</v>
      </c>
      <c r="CV204" s="176" t="s">
        <v>1</v>
      </c>
      <c r="CW204" s="175" t="s">
        <v>0</v>
      </c>
    </row>
    <row r="205" spans="5:101" ht="18" customHeight="1" x14ac:dyDescent="0.25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191" t="s">
        <v>510</v>
      </c>
      <c r="U205" s="178" t="s">
        <v>83</v>
      </c>
      <c r="V205" s="177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191" t="s">
        <v>510</v>
      </c>
      <c r="AO205" s="178" t="s">
        <v>83</v>
      </c>
      <c r="AP205" s="177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191" t="s">
        <v>510</v>
      </c>
      <c r="BH205" s="178" t="s">
        <v>83</v>
      </c>
      <c r="BI205" s="177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191" t="s">
        <v>510</v>
      </c>
      <c r="CA205" s="178" t="s">
        <v>83</v>
      </c>
      <c r="CB205" s="177" t="s">
        <v>87</v>
      </c>
      <c r="CC205" s="21"/>
      <c r="CD205" s="21"/>
      <c r="CU205" s="191" t="s">
        <v>510</v>
      </c>
      <c r="CV205" s="178" t="s">
        <v>83</v>
      </c>
      <c r="CW205" s="177" t="s">
        <v>87</v>
      </c>
    </row>
    <row r="206" spans="5:101" ht="15" customHeight="1" thickBot="1" x14ac:dyDescent="0.25">
      <c r="J206" s="21"/>
      <c r="K206" s="21"/>
      <c r="L206" s="21"/>
      <c r="M206" s="21"/>
      <c r="N206" s="21"/>
      <c r="O206" s="21"/>
      <c r="P206" s="364" t="s">
        <v>336</v>
      </c>
      <c r="Q206" s="364"/>
      <c r="R206" s="364"/>
      <c r="S206" s="21"/>
      <c r="T206" s="336">
        <f>V206/U206</f>
        <v>29640.155629634577</v>
      </c>
      <c r="U206" s="174">
        <f>K218</f>
        <v>298.6148747230165</v>
      </c>
      <c r="V206" s="173">
        <f>V218</f>
        <v>8850991.3601140417</v>
      </c>
      <c r="W206" s="387" t="s">
        <v>327</v>
      </c>
      <c r="X206" s="387"/>
      <c r="Y206" s="387"/>
      <c r="Z206" s="387"/>
      <c r="AA206" s="387"/>
      <c r="AB206" s="38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336">
        <f>AP206/AO206</f>
        <v>29656.273246774046</v>
      </c>
      <c r="AO206" s="174">
        <f>AE218</f>
        <v>298.6148747230165</v>
      </c>
      <c r="AP206" s="173">
        <f>AP218</f>
        <v>8855804.320336977</v>
      </c>
      <c r="AQ206" s="387" t="s">
        <v>434</v>
      </c>
      <c r="AR206" s="387"/>
      <c r="AS206" s="387"/>
      <c r="AT206" s="387"/>
      <c r="AU206" s="387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336">
        <f>BI206/BH206</f>
        <v>29656.273246774046</v>
      </c>
      <c r="BH206" s="174">
        <f>AX218</f>
        <v>298.6148747230165</v>
      </c>
      <c r="BI206" s="173">
        <f>BI218</f>
        <v>8855804.320336977</v>
      </c>
      <c r="BJ206" s="387" t="s">
        <v>362</v>
      </c>
      <c r="BK206" s="387"/>
      <c r="BL206" s="387"/>
      <c r="BM206" s="387"/>
      <c r="BN206" s="387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336">
        <f>CB206/CA206</f>
        <v>29656.273246774046</v>
      </c>
      <c r="CA206" s="174">
        <f>BQ218</f>
        <v>298.6148747230165</v>
      </c>
      <c r="CB206" s="173">
        <f>CB218</f>
        <v>8855804.320336977</v>
      </c>
      <c r="CD206" s="387" t="s">
        <v>344</v>
      </c>
      <c r="CE206" s="387"/>
      <c r="CF206" s="387"/>
      <c r="CG206" s="387"/>
      <c r="CH206" s="387"/>
      <c r="CI206" s="160"/>
      <c r="CR206" s="14" t="s">
        <v>484</v>
      </c>
      <c r="CU206" s="336">
        <f>CW206/CV206</f>
        <v>31524.473169734149</v>
      </c>
      <c r="CV206" s="163">
        <f>CL211</f>
        <v>203.27980063725872</v>
      </c>
      <c r="CW206" s="173">
        <f>CW211</f>
        <v>6408288.6211381694</v>
      </c>
    </row>
    <row r="207" spans="5:101" ht="15" customHeight="1" thickBot="1" x14ac:dyDescent="0.25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87"/>
      <c r="X207" s="387"/>
      <c r="Y207" s="387"/>
      <c r="Z207" s="387"/>
      <c r="AA207" s="387"/>
      <c r="AB207" s="387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87"/>
      <c r="AR207" s="387"/>
      <c r="AS207" s="387"/>
      <c r="AT207" s="387"/>
      <c r="AU207" s="387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87"/>
      <c r="BK207" s="387"/>
      <c r="BL207" s="387"/>
      <c r="BM207" s="387"/>
      <c r="BN207" s="387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422"/>
      <c r="CE207" s="422"/>
      <c r="CF207" s="422"/>
      <c r="CG207" s="422"/>
      <c r="CH207" s="422"/>
      <c r="CI207" s="160"/>
      <c r="CU207" s="21"/>
      <c r="CV207" s="21"/>
    </row>
    <row r="208" spans="5:101" ht="19.25" customHeight="1" x14ac:dyDescent="0.25">
      <c r="E208" s="390" t="s">
        <v>356</v>
      </c>
      <c r="F208" s="390"/>
      <c r="G208" s="390"/>
      <c r="H208" s="390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1" t="s">
        <v>339</v>
      </c>
      <c r="Y208" s="131" t="s">
        <v>379</v>
      </c>
      <c r="Z208" s="141" t="s">
        <v>264</v>
      </c>
      <c r="AA208" s="395" t="s">
        <v>269</v>
      </c>
      <c r="AB208" s="190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1" t="s">
        <v>339</v>
      </c>
      <c r="AR208" s="131" t="s">
        <v>379</v>
      </c>
      <c r="AS208" s="17" t="s">
        <v>264</v>
      </c>
      <c r="AT208" s="395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1" t="s">
        <v>339</v>
      </c>
      <c r="BK208" s="131" t="s">
        <v>379</v>
      </c>
      <c r="BL208" s="17" t="s">
        <v>264</v>
      </c>
      <c r="BM208" s="395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1" t="s">
        <v>339</v>
      </c>
      <c r="CE208" s="131" t="s">
        <v>379</v>
      </c>
      <c r="CF208" s="125" t="s">
        <v>264</v>
      </c>
      <c r="CG208" s="395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90"/>
      <c r="F209" s="390"/>
      <c r="G209" s="390"/>
      <c r="H209" s="390"/>
      <c r="J209" s="21" t="s">
        <v>40</v>
      </c>
      <c r="K209" s="1" t="s">
        <v>82</v>
      </c>
      <c r="L209" s="21" t="s">
        <v>213</v>
      </c>
      <c r="M209" s="137" t="s">
        <v>84</v>
      </c>
      <c r="N209" s="137" t="s">
        <v>80</v>
      </c>
      <c r="O209" s="1" t="s">
        <v>89</v>
      </c>
      <c r="P209" s="137" t="s">
        <v>89</v>
      </c>
      <c r="Q209" s="137" t="s">
        <v>24</v>
      </c>
      <c r="R209" s="137" t="s">
        <v>91</v>
      </c>
      <c r="S209" s="137" t="s">
        <v>89</v>
      </c>
      <c r="T209" s="137" t="s">
        <v>89</v>
      </c>
      <c r="U209" s="137" t="s">
        <v>88</v>
      </c>
      <c r="V209" s="137" t="s">
        <v>86</v>
      </c>
      <c r="W209" s="21"/>
      <c r="X209" s="135" t="s">
        <v>47</v>
      </c>
      <c r="Y209" s="191" t="s">
        <v>47</v>
      </c>
      <c r="Z209" s="177" t="s">
        <v>83</v>
      </c>
      <c r="AA209" s="398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7" t="s">
        <v>84</v>
      </c>
      <c r="AH209" s="137" t="s">
        <v>80</v>
      </c>
      <c r="AI209" s="1" t="s">
        <v>89</v>
      </c>
      <c r="AJ209" s="137" t="s">
        <v>89</v>
      </c>
      <c r="AK209" s="137" t="s">
        <v>24</v>
      </c>
      <c r="AL209" s="137" t="s">
        <v>91</v>
      </c>
      <c r="AM209" s="137" t="s">
        <v>89</v>
      </c>
      <c r="AN209" s="137" t="s">
        <v>89</v>
      </c>
      <c r="AO209" s="137" t="s">
        <v>88</v>
      </c>
      <c r="AP209" s="137" t="s">
        <v>86</v>
      </c>
      <c r="AQ209" s="135" t="s">
        <v>47</v>
      </c>
      <c r="AR209" s="191" t="s">
        <v>47</v>
      </c>
      <c r="AS209" s="1" t="s">
        <v>83</v>
      </c>
      <c r="AT209" s="398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7" t="s">
        <v>84</v>
      </c>
      <c r="BA209" s="137" t="s">
        <v>80</v>
      </c>
      <c r="BB209" s="1" t="s">
        <v>89</v>
      </c>
      <c r="BC209" s="137" t="s">
        <v>89</v>
      </c>
      <c r="BD209" s="137" t="s">
        <v>24</v>
      </c>
      <c r="BE209" s="137" t="s">
        <v>91</v>
      </c>
      <c r="BF209" s="137" t="s">
        <v>89</v>
      </c>
      <c r="BG209" s="137" t="s">
        <v>89</v>
      </c>
      <c r="BH209" s="137" t="s">
        <v>88</v>
      </c>
      <c r="BI209" s="137" t="s">
        <v>86</v>
      </c>
      <c r="BJ209" s="135" t="s">
        <v>47</v>
      </c>
      <c r="BK209" s="191" t="s">
        <v>47</v>
      </c>
      <c r="BL209" s="1" t="s">
        <v>83</v>
      </c>
      <c r="BM209" s="398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7" t="s">
        <v>84</v>
      </c>
      <c r="BT209" s="137" t="s">
        <v>80</v>
      </c>
      <c r="BU209" s="1" t="s">
        <v>89</v>
      </c>
      <c r="BV209" s="137" t="s">
        <v>89</v>
      </c>
      <c r="BW209" s="137" t="s">
        <v>24</v>
      </c>
      <c r="BX209" s="137" t="s">
        <v>91</v>
      </c>
      <c r="BY209" s="137" t="s">
        <v>89</v>
      </c>
      <c r="BZ209" s="137" t="s">
        <v>89</v>
      </c>
      <c r="CA209" s="137" t="s">
        <v>88</v>
      </c>
      <c r="CB209" s="137" t="s">
        <v>86</v>
      </c>
      <c r="CD209" s="135" t="s">
        <v>47</v>
      </c>
      <c r="CE209" s="191" t="s">
        <v>47</v>
      </c>
      <c r="CF209" s="191" t="s">
        <v>83</v>
      </c>
      <c r="CG209" s="396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7" t="s">
        <v>84</v>
      </c>
      <c r="CO209" s="137" t="s">
        <v>80</v>
      </c>
      <c r="CP209" s="1" t="s">
        <v>89</v>
      </c>
      <c r="CQ209" s="137" t="s">
        <v>89</v>
      </c>
      <c r="CR209" s="137" t="s">
        <v>24</v>
      </c>
      <c r="CS209" s="137" t="s">
        <v>91</v>
      </c>
      <c r="CT209" s="137" t="s">
        <v>89</v>
      </c>
      <c r="CU209" s="137" t="s">
        <v>89</v>
      </c>
      <c r="CV209" s="137" t="s">
        <v>88</v>
      </c>
      <c r="CW209" s="137" t="s">
        <v>86</v>
      </c>
    </row>
    <row r="210" spans="2:101" ht="16" customHeight="1" x14ac:dyDescent="0.2">
      <c r="I210" s="133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3">
        <f>AP227</f>
        <v>555.77441893806406</v>
      </c>
      <c r="Y210" s="187">
        <f>SUM(AC195,V206,V222,V236) - SUM(AP206,AP227)</f>
        <v>98587.635320095345</v>
      </c>
      <c r="Z210" s="141">
        <f>AO206-U206</f>
        <v>0</v>
      </c>
      <c r="AA210" s="99" t="s">
        <v>489</v>
      </c>
      <c r="AB210" s="192">
        <f>(AP206+AP227)/($AC$195+V206+V222+V236)</f>
        <v>0.98899070789782728</v>
      </c>
      <c r="AC210" s="133" t="s">
        <v>433</v>
      </c>
      <c r="AD210" s="130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3">
        <f>AP206+AU190-BI206</f>
        <v>282.12877103127539</v>
      </c>
      <c r="AR210" s="187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3" t="s">
        <v>433</v>
      </c>
      <c r="AW210" s="130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3">
        <f>BM195+BI206-CB206</f>
        <v>50.35808415338397</v>
      </c>
      <c r="BK210" s="187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3" t="s">
        <v>383</v>
      </c>
      <c r="BP210" s="130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7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3">
        <f>SUM(CB206,CB225,CB232,CB244) - SUM(CW251,CW234,CW218,CW206)</f>
        <v>8706828.4095456321</v>
      </c>
      <c r="CE210" s="187">
        <f>SUM(CB244,CB206,CB225,CB232) - SUM(CW206,CW218,CW234,CW251)</f>
        <v>8706828.4095456358</v>
      </c>
      <c r="CF210" s="164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0" t="s">
        <v>485</v>
      </c>
      <c r="CK210" s="130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6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68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5">
        <f>CT210+CQ210</f>
        <v>387.15792151500693</v>
      </c>
      <c r="CV210" s="185">
        <f>CU210*CR210</f>
        <v>387.15792151500693</v>
      </c>
      <c r="CW210" s="19">
        <f>CV210*CO211</f>
        <v>6408288.6211381694</v>
      </c>
    </row>
    <row r="211" spans="2:101" ht="17" customHeight="1" x14ac:dyDescent="0.25">
      <c r="I211" s="391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87">
        <f>$AP$210/($AC$195+V206+V222+V236)</f>
        <v>0.98839112692609699</v>
      </c>
      <c r="AC211" s="391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91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91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09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 x14ac:dyDescent="0.25">
      <c r="I212" s="391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91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91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91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 x14ac:dyDescent="0.2">
      <c r="I213" s="391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91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91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91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7" customHeight="1" x14ac:dyDescent="0.25">
      <c r="I214" s="391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91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91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91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" customHeight="1" thickBot="1" x14ac:dyDescent="0.3">
      <c r="I215" s="391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91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91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91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5" customHeight="1" x14ac:dyDescent="0.25">
      <c r="I216" s="391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91" t="s">
        <v>297</v>
      </c>
      <c r="X216" s="21"/>
      <c r="Y216" s="1" t="s">
        <v>477</v>
      </c>
      <c r="Z216" s="1" t="s">
        <v>477</v>
      </c>
      <c r="AA216" s="1" t="s">
        <v>477</v>
      </c>
      <c r="AC216" s="391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91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91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335" t="s">
        <v>250</v>
      </c>
      <c r="CV216" s="176" t="s">
        <v>1</v>
      </c>
      <c r="CW216" s="175" t="s">
        <v>0</v>
      </c>
    </row>
    <row r="217" spans="2:101" ht="18" customHeight="1" x14ac:dyDescent="0.25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91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2"/>
      <c r="CU217" s="191" t="s">
        <v>510</v>
      </c>
      <c r="CV217" s="178" t="s">
        <v>83</v>
      </c>
      <c r="CW217" s="177" t="s">
        <v>87</v>
      </c>
    </row>
    <row r="218" spans="2:101" ht="18" customHeight="1" thickBot="1" x14ac:dyDescent="0.25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91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2"/>
      <c r="CR218" s="14" t="s">
        <v>421</v>
      </c>
      <c r="CU218" s="336">
        <f>CW218/CV218</f>
        <v>356.05862487012041</v>
      </c>
      <c r="CV218" s="174">
        <f>CL229</f>
        <v>25.253201846716312</v>
      </c>
      <c r="CW218" s="173">
        <f>CW229</f>
        <v>8991.620323109395</v>
      </c>
    </row>
    <row r="219" spans="2:101" ht="21" customHeight="1" thickBot="1" x14ac:dyDescent="0.3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91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2"/>
      <c r="CU219" s="21"/>
      <c r="CV219" s="21"/>
    </row>
    <row r="220" spans="2:101" ht="18" customHeight="1" x14ac:dyDescent="0.25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335" t="s">
        <v>250</v>
      </c>
      <c r="U220" s="176" t="s">
        <v>1</v>
      </c>
      <c r="V220" s="175" t="s">
        <v>0</v>
      </c>
      <c r="W220" s="391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2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191" t="s">
        <v>510</v>
      </c>
      <c r="U221" s="178" t="s">
        <v>83</v>
      </c>
      <c r="V221" s="177" t="s">
        <v>87</v>
      </c>
      <c r="W221" s="391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2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thickBot="1" x14ac:dyDescent="0.3">
      <c r="B222" s="390" t="s">
        <v>386</v>
      </c>
      <c r="C222" s="390"/>
      <c r="D222" s="390"/>
      <c r="E222" s="390"/>
      <c r="F222" s="390"/>
      <c r="G222" s="390"/>
      <c r="H222" s="390"/>
      <c r="J222" s="21"/>
      <c r="K222" s="21"/>
      <c r="L222" s="21"/>
      <c r="M222" s="21"/>
      <c r="N222" s="21"/>
      <c r="O222" s="21"/>
      <c r="P222" s="21"/>
      <c r="Q222" s="132" t="s">
        <v>466</v>
      </c>
      <c r="R222" s="21"/>
      <c r="S222" s="21"/>
      <c r="T222" s="336">
        <f>V222/U222</f>
        <v>45492.270191724252</v>
      </c>
      <c r="U222" s="174">
        <f>L227</f>
        <v>0.51237375403207552</v>
      </c>
      <c r="V222" s="173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91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 x14ac:dyDescent="0.2">
      <c r="B223" s="394"/>
      <c r="C223" s="394"/>
      <c r="D223" s="394"/>
      <c r="E223" s="394"/>
      <c r="F223" s="394"/>
      <c r="G223" s="394"/>
      <c r="H223" s="394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665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666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91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" customHeight="1" thickBot="1" x14ac:dyDescent="0.3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91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 x14ac:dyDescent="0.25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N225" s="335" t="s">
        <v>250</v>
      </c>
      <c r="AO225" s="176" t="s">
        <v>1</v>
      </c>
      <c r="AP225" s="175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299" t="s">
        <v>656</v>
      </c>
      <c r="AX225" s="299" t="s">
        <v>265</v>
      </c>
      <c r="AY225" s="300" t="s">
        <v>250</v>
      </c>
      <c r="AZ225" s="300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299" t="s">
        <v>656</v>
      </c>
      <c r="BQ225" s="299" t="s">
        <v>265</v>
      </c>
      <c r="BR225" s="300" t="s">
        <v>250</v>
      </c>
      <c r="BS225" s="300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91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 x14ac:dyDescent="0.25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6" t="s">
        <v>466</v>
      </c>
      <c r="J226" s="185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N226" s="191" t="s">
        <v>510</v>
      </c>
      <c r="AO226" s="178" t="s">
        <v>83</v>
      </c>
      <c r="AP226" s="177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299" t="s">
        <v>47</v>
      </c>
      <c r="AX226" s="299" t="s">
        <v>62</v>
      </c>
      <c r="AY226" s="299" t="s">
        <v>91</v>
      </c>
      <c r="AZ226" s="299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299" t="s">
        <v>47</v>
      </c>
      <c r="BQ226" s="299" t="s">
        <v>62</v>
      </c>
      <c r="BR226" s="299" t="s">
        <v>91</v>
      </c>
      <c r="BS226" s="299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91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405" t="s">
        <v>347</v>
      </c>
      <c r="CZ226" s="405"/>
      <c r="DA226" s="405"/>
      <c r="DB226" s="405"/>
      <c r="DC226" s="405"/>
      <c r="DD226" s="405"/>
    </row>
    <row r="227" spans="2:169" ht="19" customHeight="1" thickBot="1" x14ac:dyDescent="0.3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N227" s="336">
        <f>AP227/AO227</f>
        <v>69.671049151828498</v>
      </c>
      <c r="AO227" s="174">
        <f>AE234</f>
        <v>7.9771214256715108</v>
      </c>
      <c r="AP227" s="173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1">
        <f>AS190</f>
        <v>282.1287710315147</v>
      </c>
      <c r="AX227" s="301">
        <f>T_0</f>
        <v>298</v>
      </c>
      <c r="AY227" s="301">
        <f>1-(T_0/AX227)</f>
        <v>0</v>
      </c>
      <c r="AZ227" s="301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1">
        <f>BK195</f>
        <v>50.358084153937838</v>
      </c>
      <c r="BQ227" s="301">
        <f>T_0</f>
        <v>298</v>
      </c>
      <c r="BR227" s="301">
        <f>1-(T_0/BQ227)</f>
        <v>0</v>
      </c>
      <c r="BS227" s="301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91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3" customHeight="1" x14ac:dyDescent="0.25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91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" customHeight="1" thickBot="1" x14ac:dyDescent="0.3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" customHeight="1" thickBot="1" x14ac:dyDescent="0.3">
      <c r="AD230" s="21" t="s">
        <v>40</v>
      </c>
      <c r="AE230" s="1" t="s">
        <v>82</v>
      </c>
      <c r="AF230" s="21" t="s">
        <v>213</v>
      </c>
      <c r="AG230" s="137" t="s">
        <v>84</v>
      </c>
      <c r="AH230" s="137" t="s">
        <v>80</v>
      </c>
      <c r="AI230" s="1" t="s">
        <v>89</v>
      </c>
      <c r="AJ230" s="137" t="s">
        <v>89</v>
      </c>
      <c r="AK230" s="137" t="s">
        <v>24</v>
      </c>
      <c r="AL230" s="137" t="s">
        <v>91</v>
      </c>
      <c r="AM230" s="137" t="s">
        <v>89</v>
      </c>
      <c r="AN230" s="137" t="s">
        <v>89</v>
      </c>
      <c r="AO230" s="137" t="s">
        <v>88</v>
      </c>
      <c r="AP230" s="137" t="s">
        <v>86</v>
      </c>
      <c r="BZ230" s="335" t="s">
        <v>250</v>
      </c>
      <c r="CA230" s="176" t="s">
        <v>1</v>
      </c>
      <c r="CB230" s="175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 thickBot="1" x14ac:dyDescent="0.3">
      <c r="AC231" s="397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BZ231" s="191" t="s">
        <v>510</v>
      </c>
      <c r="CA231" s="178" t="s">
        <v>83</v>
      </c>
      <c r="CB231" s="177" t="s">
        <v>87</v>
      </c>
      <c r="DO231" s="335" t="s">
        <v>250</v>
      </c>
      <c r="DP231" s="176" t="s">
        <v>1</v>
      </c>
      <c r="DQ231" s="175" t="s">
        <v>0</v>
      </c>
      <c r="EJ231" s="335" t="s">
        <v>250</v>
      </c>
      <c r="EK231" s="176" t="s">
        <v>1</v>
      </c>
      <c r="EL231" s="175" t="s">
        <v>0</v>
      </c>
      <c r="FE231" s="335" t="s">
        <v>250</v>
      </c>
      <c r="FF231" s="176" t="s">
        <v>1</v>
      </c>
      <c r="FG231" s="175" t="s">
        <v>0</v>
      </c>
    </row>
    <row r="232" spans="2:169" ht="18" customHeight="1" thickBot="1" x14ac:dyDescent="0.3">
      <c r="AC232" s="397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BZ232" s="336">
        <f>CB232/CA232</f>
        <v>4.1467529598807173</v>
      </c>
      <c r="CA232" s="174">
        <f>BQ238</f>
        <v>3494.7460959815226</v>
      </c>
      <c r="CB232" s="173">
        <f>CB238</f>
        <v>14491.84871754296</v>
      </c>
      <c r="CU232" s="335" t="s">
        <v>250</v>
      </c>
      <c r="CV232" s="176" t="s">
        <v>1</v>
      </c>
      <c r="CW232" s="175" t="s">
        <v>0</v>
      </c>
      <c r="DO232" s="191" t="s">
        <v>510</v>
      </c>
      <c r="DP232" s="178" t="s">
        <v>83</v>
      </c>
      <c r="DQ232" s="177" t="s">
        <v>87</v>
      </c>
      <c r="EJ232" s="191" t="s">
        <v>510</v>
      </c>
      <c r="EK232" s="178" t="s">
        <v>83</v>
      </c>
      <c r="EL232" s="177" t="s">
        <v>87</v>
      </c>
      <c r="FE232" s="191" t="s">
        <v>510</v>
      </c>
      <c r="FF232" s="178" t="s">
        <v>83</v>
      </c>
      <c r="FG232" s="177" t="s">
        <v>87</v>
      </c>
    </row>
    <row r="233" spans="2:169" ht="16" customHeight="1" thickBot="1" x14ac:dyDescent="0.3">
      <c r="AC233" s="397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1"/>
      <c r="CU233" s="191" t="s">
        <v>510</v>
      </c>
      <c r="CV233" s="178" t="s">
        <v>83</v>
      </c>
      <c r="CW233" s="177" t="s">
        <v>87</v>
      </c>
      <c r="CY233" s="387" t="s">
        <v>514</v>
      </c>
      <c r="CZ233" s="387"/>
      <c r="DA233" s="387"/>
      <c r="DB233" s="387"/>
      <c r="DC233" s="387"/>
      <c r="DL233" s="14" t="s">
        <v>515</v>
      </c>
      <c r="DO233" s="336">
        <f>DQ233/DP233</f>
        <v>87708.990277872479</v>
      </c>
      <c r="DP233" s="174">
        <f>DF241</f>
        <v>46.099804713468714</v>
      </c>
      <c r="DQ233" s="173">
        <f>DQ241</f>
        <v>4043367.3234254471</v>
      </c>
      <c r="DS233" s="387" t="s">
        <v>516</v>
      </c>
      <c r="DT233" s="387"/>
      <c r="DU233" s="387"/>
      <c r="DV233" s="387"/>
      <c r="DW233" s="387"/>
      <c r="EG233" s="14" t="s">
        <v>517</v>
      </c>
      <c r="EJ233" s="336">
        <f>EL233/EK233</f>
        <v>87708.990277872479</v>
      </c>
      <c r="EK233" s="174">
        <f>EA241</f>
        <v>46.099804713468714</v>
      </c>
      <c r="EL233" s="173">
        <f>EL241</f>
        <v>4043367.3234254471</v>
      </c>
      <c r="FA233" s="14" t="s">
        <v>517</v>
      </c>
      <c r="FE233" s="336">
        <f>FG233/FF233</f>
        <v>87708.990277872479</v>
      </c>
      <c r="FF233" s="174">
        <f>EV241</f>
        <v>13.829941414040613</v>
      </c>
      <c r="FG233" s="173">
        <f>FG241</f>
        <v>1213010.1970276341</v>
      </c>
      <c r="FI233" s="419" t="s">
        <v>331</v>
      </c>
      <c r="FJ233" s="420"/>
      <c r="FK233" s="420"/>
      <c r="FL233" s="420"/>
      <c r="FM233" s="420"/>
    </row>
    <row r="234" spans="2:169" ht="18" customHeight="1" thickBot="1" x14ac:dyDescent="0.3">
      <c r="T234" s="335" t="s">
        <v>250</v>
      </c>
      <c r="U234" s="176" t="s">
        <v>1</v>
      </c>
      <c r="V234" s="175" t="s">
        <v>0</v>
      </c>
      <c r="AC234" s="397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90" t="s">
        <v>414</v>
      </c>
      <c r="BL234" s="390"/>
      <c r="BM234" s="390"/>
      <c r="BN234" s="390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1"/>
      <c r="CR234" s="14" t="s">
        <v>422</v>
      </c>
      <c r="CU234" s="336">
        <f>CW234/CV234</f>
        <v>87336.121293783799</v>
      </c>
      <c r="CV234" s="174">
        <f>CL243</f>
        <v>46.0998047134687</v>
      </c>
      <c r="CW234" s="173">
        <f>CW243</f>
        <v>4026178.1360752485</v>
      </c>
      <c r="CY234" s="387"/>
      <c r="CZ234" s="387"/>
      <c r="DA234" s="387"/>
      <c r="DB234" s="387"/>
      <c r="DC234" s="387"/>
      <c r="DS234" s="387"/>
      <c r="DT234" s="387"/>
      <c r="DU234" s="387"/>
      <c r="DV234" s="387"/>
      <c r="DW234" s="387"/>
      <c r="FI234" s="420"/>
      <c r="FJ234" s="420"/>
      <c r="FK234" s="420"/>
      <c r="FL234" s="420"/>
      <c r="FM234" s="420"/>
    </row>
    <row r="235" spans="2:169" ht="18" customHeight="1" x14ac:dyDescent="0.25">
      <c r="T235" s="191" t="s">
        <v>510</v>
      </c>
      <c r="U235" s="178" t="s">
        <v>83</v>
      </c>
      <c r="V235" s="177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90"/>
      <c r="BL235" s="390"/>
      <c r="BM235" s="390"/>
      <c r="BN235" s="390"/>
      <c r="BP235" s="21" t="s">
        <v>40</v>
      </c>
      <c r="BQ235" s="1" t="s">
        <v>82</v>
      </c>
      <c r="BR235" s="21" t="s">
        <v>213</v>
      </c>
      <c r="BS235" s="137" t="s">
        <v>84</v>
      </c>
      <c r="BT235" s="137" t="s">
        <v>80</v>
      </c>
      <c r="BU235" s="1" t="s">
        <v>89</v>
      </c>
      <c r="BV235" s="137" t="s">
        <v>89</v>
      </c>
      <c r="BW235" s="137" t="s">
        <v>24</v>
      </c>
      <c r="BX235" s="137" t="s">
        <v>91</v>
      </c>
      <c r="BY235" s="137" t="s">
        <v>89</v>
      </c>
      <c r="BZ235" s="137" t="s">
        <v>89</v>
      </c>
      <c r="CA235" s="137" t="s">
        <v>88</v>
      </c>
      <c r="CB235" s="137" t="s">
        <v>86</v>
      </c>
      <c r="CJ235" s="161"/>
      <c r="CY235" s="131" t="s">
        <v>339</v>
      </c>
      <c r="CZ235" s="131" t="s">
        <v>379</v>
      </c>
      <c r="DA235" s="17" t="s">
        <v>264</v>
      </c>
      <c r="DB235" s="388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1" t="s">
        <v>339</v>
      </c>
      <c r="DT235" s="131" t="s">
        <v>379</v>
      </c>
      <c r="DU235" s="17" t="s">
        <v>264</v>
      </c>
      <c r="DV235" s="388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420"/>
      <c r="FJ235" s="420"/>
      <c r="FK235" s="420"/>
      <c r="FL235" s="420"/>
      <c r="FM235" s="420"/>
    </row>
    <row r="236" spans="2:169" ht="22" customHeight="1" thickBot="1" x14ac:dyDescent="0.3">
      <c r="Q236" s="14" t="s">
        <v>432</v>
      </c>
      <c r="T236" s="336">
        <f>V236/U236</f>
        <v>4.1467529598807173</v>
      </c>
      <c r="U236" s="174">
        <f>K242</f>
        <v>7.4647476716394348</v>
      </c>
      <c r="V236" s="173">
        <f>V242</f>
        <v>30.954464502133519</v>
      </c>
      <c r="BO236" s="391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2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1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5" t="s">
        <v>47</v>
      </c>
      <c r="CZ236" s="191" t="s">
        <v>47</v>
      </c>
      <c r="DA236" s="1" t="s">
        <v>83</v>
      </c>
      <c r="DB236" s="389"/>
      <c r="DC236" s="96" t="s">
        <v>77</v>
      </c>
      <c r="DE236" s="21" t="s">
        <v>40</v>
      </c>
      <c r="DF236" s="1" t="s">
        <v>82</v>
      </c>
      <c r="DG236" s="21" t="s">
        <v>213</v>
      </c>
      <c r="DH236" s="137" t="s">
        <v>84</v>
      </c>
      <c r="DI236" s="137" t="s">
        <v>80</v>
      </c>
      <c r="DJ236" s="1" t="s">
        <v>89</v>
      </c>
      <c r="DK236" s="137" t="s">
        <v>89</v>
      </c>
      <c r="DL236" s="137" t="s">
        <v>24</v>
      </c>
      <c r="DM236" s="137" t="s">
        <v>91</v>
      </c>
      <c r="DN236" s="137" t="s">
        <v>89</v>
      </c>
      <c r="DO236" s="137" t="s">
        <v>89</v>
      </c>
      <c r="DP236" s="137" t="s">
        <v>88</v>
      </c>
      <c r="DQ236" s="137" t="s">
        <v>86</v>
      </c>
      <c r="DS236" s="135" t="s">
        <v>47</v>
      </c>
      <c r="DT236" s="191" t="s">
        <v>47</v>
      </c>
      <c r="DU236" s="1" t="s">
        <v>83</v>
      </c>
      <c r="DV236" s="389"/>
      <c r="DW236" s="96" t="s">
        <v>77</v>
      </c>
      <c r="DZ236" s="21" t="s">
        <v>40</v>
      </c>
      <c r="EA236" s="1" t="s">
        <v>82</v>
      </c>
      <c r="EB236" s="21" t="s">
        <v>213</v>
      </c>
      <c r="EC236" s="137" t="s">
        <v>84</v>
      </c>
      <c r="ED236" s="137" t="s">
        <v>80</v>
      </c>
      <c r="EE236" s="1" t="s">
        <v>89</v>
      </c>
      <c r="EF236" s="137" t="s">
        <v>89</v>
      </c>
      <c r="EG236" s="137" t="s">
        <v>24</v>
      </c>
      <c r="EH236" s="137" t="s">
        <v>91</v>
      </c>
      <c r="EI236" s="137" t="s">
        <v>89</v>
      </c>
      <c r="EJ236" s="137" t="s">
        <v>89</v>
      </c>
      <c r="EK236" s="137" t="s">
        <v>88</v>
      </c>
      <c r="EL236" s="137" t="s">
        <v>86</v>
      </c>
      <c r="EU236" s="21" t="s">
        <v>40</v>
      </c>
      <c r="EV236" s="1" t="s">
        <v>82</v>
      </c>
      <c r="EW236" s="21" t="s">
        <v>213</v>
      </c>
      <c r="EX236" s="137" t="s">
        <v>84</v>
      </c>
      <c r="EY236" s="137" t="s">
        <v>80</v>
      </c>
      <c r="EZ236" s="1" t="s">
        <v>89</v>
      </c>
      <c r="FA236" s="137" t="s">
        <v>89</v>
      </c>
      <c r="FB236" s="137" t="s">
        <v>24</v>
      </c>
      <c r="FC236" s="137" t="s">
        <v>91</v>
      </c>
      <c r="FD236" s="137" t="s">
        <v>89</v>
      </c>
      <c r="FE236" s="137" t="s">
        <v>89</v>
      </c>
      <c r="FF236" s="137" t="s">
        <v>88</v>
      </c>
      <c r="FG236" s="137" t="s">
        <v>86</v>
      </c>
    </row>
    <row r="237" spans="2:169" ht="18" customHeight="1" thickBot="1" x14ac:dyDescent="0.3">
      <c r="BO237" s="391"/>
      <c r="BP237" s="157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7">
        <f>LN(BW237)</f>
        <v>-0.23582871084152554</v>
      </c>
      <c r="BY237" s="137">
        <f>RT0*BX237</f>
        <v>-0.58428261077706012</v>
      </c>
      <c r="BZ237" s="137">
        <f>BV237+BY237</f>
        <v>0.11571738922293984</v>
      </c>
      <c r="CA237" s="137">
        <f>BZ237*BW237</f>
        <v>9.1407013335767603E-2</v>
      </c>
      <c r="CB237" s="137">
        <f>BT238*CA237</f>
        <v>11072.31185274499</v>
      </c>
      <c r="CJ237" s="161"/>
      <c r="CK237" s="21" t="s">
        <v>40</v>
      </c>
      <c r="CL237" s="1" t="s">
        <v>82</v>
      </c>
      <c r="CM237" s="21" t="s">
        <v>213</v>
      </c>
      <c r="CN237" s="137" t="s">
        <v>84</v>
      </c>
      <c r="CO237" s="137" t="s">
        <v>80</v>
      </c>
      <c r="CP237" s="1" t="s">
        <v>89</v>
      </c>
      <c r="CQ237" s="137" t="s">
        <v>89</v>
      </c>
      <c r="CR237" s="137" t="s">
        <v>24</v>
      </c>
      <c r="CS237" s="137" t="s">
        <v>91</v>
      </c>
      <c r="CT237" s="137" t="s">
        <v>89</v>
      </c>
      <c r="CU237" s="137" t="s">
        <v>89</v>
      </c>
      <c r="CV237" s="137" t="s">
        <v>88</v>
      </c>
      <c r="CW237" s="137" t="s">
        <v>86</v>
      </c>
      <c r="CY237" s="193">
        <f>0</f>
        <v>0</v>
      </c>
      <c r="CZ237" s="187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92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3">
        <f>0</f>
        <v>0</v>
      </c>
      <c r="DT237" s="187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92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418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3" customHeight="1" x14ac:dyDescent="0.25">
      <c r="E238" s="390" t="s">
        <v>414</v>
      </c>
      <c r="F238" s="390"/>
      <c r="G238" s="390"/>
      <c r="H238" s="390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2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97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92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92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418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 x14ac:dyDescent="0.25">
      <c r="E239" s="390"/>
      <c r="F239" s="390"/>
      <c r="G239" s="390"/>
      <c r="H239" s="390"/>
      <c r="J239" s="21" t="s">
        <v>40</v>
      </c>
      <c r="K239" s="1" t="s">
        <v>82</v>
      </c>
      <c r="L239" s="21" t="s">
        <v>213</v>
      </c>
      <c r="M239" s="137" t="s">
        <v>84</v>
      </c>
      <c r="N239" s="137" t="s">
        <v>80</v>
      </c>
      <c r="O239" s="1" t="s">
        <v>89</v>
      </c>
      <c r="P239" s="137" t="s">
        <v>89</v>
      </c>
      <c r="Q239" s="137" t="s">
        <v>24</v>
      </c>
      <c r="R239" s="137" t="s">
        <v>91</v>
      </c>
      <c r="S239" s="137" t="s">
        <v>89</v>
      </c>
      <c r="T239" s="137" t="s">
        <v>89</v>
      </c>
      <c r="U239" s="137" t="s">
        <v>88</v>
      </c>
      <c r="V239" s="137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97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92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92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18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 x14ac:dyDescent="0.25">
      <c r="I240" s="397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299" t="s">
        <v>656</v>
      </c>
      <c r="AE240" s="299" t="s">
        <v>265</v>
      </c>
      <c r="AF240" s="300" t="s">
        <v>250</v>
      </c>
      <c r="AG240" s="300" t="s">
        <v>657</v>
      </c>
      <c r="CJ240" s="397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92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92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418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" customHeight="1" thickBot="1" x14ac:dyDescent="0.3">
      <c r="I241" s="397"/>
      <c r="J241" s="157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7">
        <f>LN(Q241)</f>
        <v>-0.23582871084152554</v>
      </c>
      <c r="S241" s="137">
        <f>RT0*R241</f>
        <v>-0.58428261077706012</v>
      </c>
      <c r="T241" s="137">
        <f>P241+S241</f>
        <v>0.11571738922293984</v>
      </c>
      <c r="U241" s="137">
        <f>T241*Q241</f>
        <v>9.1407013335767603E-2</v>
      </c>
      <c r="V241" s="137">
        <f>N242*U241</f>
        <v>23.650363102911061</v>
      </c>
      <c r="AD241" s="299" t="s">
        <v>47</v>
      </c>
      <c r="AE241" s="299" t="s">
        <v>62</v>
      </c>
      <c r="AF241" s="299" t="s">
        <v>91</v>
      </c>
      <c r="AG241" s="299" t="s">
        <v>47</v>
      </c>
      <c r="CJ241" s="397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 x14ac:dyDescent="0.25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1">
        <f>'MCC_Q_RUVY_matrices_mat_level '!L161</f>
        <v>125419.28808658384</v>
      </c>
      <c r="AE242" s="301">
        <v>323.14999999999998</v>
      </c>
      <c r="AF242" s="301">
        <f>1-(T_0/AE242)</f>
        <v>7.7827634225591802E-2</v>
      </c>
      <c r="AG242" s="301">
        <f>AD242</f>
        <v>125419.28808658384</v>
      </c>
      <c r="BZ242" s="335" t="s">
        <v>250</v>
      </c>
      <c r="CA242" s="176" t="s">
        <v>1</v>
      </c>
      <c r="CB242" s="175" t="s">
        <v>0</v>
      </c>
      <c r="CJ242" s="397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AE243" s="302" t="s">
        <v>804</v>
      </c>
      <c r="BZ243" s="191" t="s">
        <v>510</v>
      </c>
      <c r="CA243" s="178" t="s">
        <v>83</v>
      </c>
      <c r="CB243" s="177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 thickBot="1" x14ac:dyDescent="0.3">
      <c r="BW244" s="14" t="s">
        <v>377</v>
      </c>
      <c r="BZ244" s="336">
        <f>CB244/CA244</f>
        <v>51848.933724620947</v>
      </c>
      <c r="CA244" s="174">
        <f>BR249</f>
        <v>204.127223518021</v>
      </c>
      <c r="CB244" s="173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DK244">
        <f>(DF241*DJ241)/DH241</f>
        <v>-67789.788088811649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 x14ac:dyDescent="0.2">
      <c r="BO245" s="21"/>
      <c r="CR245">
        <f>(CL243*CP243)/CN243</f>
        <v>-79567.804564237085</v>
      </c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 x14ac:dyDescent="0.25">
      <c r="BI246" s="165"/>
      <c r="BJ246" s="165"/>
      <c r="BK246" s="390" t="s">
        <v>376</v>
      </c>
      <c r="BL246" s="390"/>
      <c r="BM246" s="390"/>
      <c r="BN246" s="390"/>
      <c r="BO246" s="165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 x14ac:dyDescent="0.25">
      <c r="D247" s="3" t="s">
        <v>173</v>
      </c>
      <c r="E247" s="14" t="s">
        <v>140</v>
      </c>
      <c r="F247" s="14" t="s">
        <v>172</v>
      </c>
      <c r="G247" s="14" t="s">
        <v>174</v>
      </c>
      <c r="BI247" s="165"/>
      <c r="BJ247" s="165"/>
      <c r="BK247" s="390"/>
      <c r="BL247" s="390"/>
      <c r="BM247" s="390"/>
      <c r="BN247" s="390"/>
      <c r="BO247" s="165"/>
      <c r="BP247" s="1"/>
      <c r="BQ247" s="14" t="s">
        <v>453</v>
      </c>
      <c r="BR247" s="1" t="s">
        <v>82</v>
      </c>
      <c r="BS247" s="1" t="s">
        <v>84</v>
      </c>
      <c r="BT247" s="137" t="s">
        <v>80</v>
      </c>
      <c r="BU247" s="1" t="s">
        <v>89</v>
      </c>
      <c r="BV247" s="137" t="s">
        <v>89</v>
      </c>
      <c r="BW247" s="137" t="s">
        <v>24</v>
      </c>
      <c r="BX247" s="1" t="s">
        <v>91</v>
      </c>
      <c r="BY247" s="137" t="s">
        <v>89</v>
      </c>
      <c r="BZ247" s="137" t="s">
        <v>89</v>
      </c>
      <c r="CA247" s="137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 thickBot="1" x14ac:dyDescent="0.3">
      <c r="BI248" s="21"/>
      <c r="BN248" s="14"/>
      <c r="BP248" s="19" t="s">
        <v>64</v>
      </c>
      <c r="BQ248" s="19">
        <f>LHV_CH4*BR248</f>
        <v>10206361.17590105</v>
      </c>
      <c r="BR248" s="170">
        <f>Calculators!G77</f>
        <v>204.127223518021</v>
      </c>
      <c r="BS248" s="159">
        <f t="array" ref="BS248">MW_CH4</f>
        <v>1.604276E-2</v>
      </c>
      <c r="BT248" s="159">
        <f>BR248/BS248</f>
        <v>12723.946722261069</v>
      </c>
      <c r="BU248" s="159">
        <f>h_CH4</f>
        <v>-74.599999999999994</v>
      </c>
      <c r="BV248" s="170">
        <f>b_ch_CH4</f>
        <v>831.8</v>
      </c>
      <c r="BW248" s="159">
        <f>BT248/BT248</f>
        <v>1</v>
      </c>
      <c r="BX248" s="170">
        <f>LN(BW248)</f>
        <v>0</v>
      </c>
      <c r="BY248" s="170">
        <f>RT0*BX248</f>
        <v>0</v>
      </c>
      <c r="BZ248" s="170">
        <f>BV248+BY248</f>
        <v>831.8</v>
      </c>
      <c r="CA248" s="170">
        <f>BZ248*BW248</f>
        <v>831.8</v>
      </c>
      <c r="CB248" s="170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299" t="s">
        <v>656</v>
      </c>
      <c r="DF248" s="299" t="s">
        <v>265</v>
      </c>
      <c r="DG248" s="300" t="s">
        <v>250</v>
      </c>
      <c r="DH248" s="300" t="s">
        <v>244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" customHeight="1" x14ac:dyDescent="0.2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U249" s="335" t="s">
        <v>250</v>
      </c>
      <c r="CV249" s="176" t="s">
        <v>1</v>
      </c>
      <c r="CW249" s="175" t="s">
        <v>0</v>
      </c>
      <c r="DE249" s="299" t="s">
        <v>47</v>
      </c>
      <c r="DF249" s="299" t="s">
        <v>62</v>
      </c>
      <c r="DG249" s="299" t="s">
        <v>91</v>
      </c>
      <c r="DH249" s="299" t="s">
        <v>47</v>
      </c>
    </row>
    <row r="250" spans="4:163" ht="18" customHeight="1" x14ac:dyDescent="0.25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1"/>
      <c r="CU250" s="191" t="s">
        <v>510</v>
      </c>
      <c r="CV250" s="178" t="s">
        <v>83</v>
      </c>
      <c r="CW250" s="177" t="s">
        <v>87</v>
      </c>
      <c r="DE250" s="301">
        <f>DB229</f>
        <v>33191.859393697465</v>
      </c>
      <c r="DF250" s="301">
        <v>2373.15</v>
      </c>
      <c r="DG250" s="301">
        <f>1-(T_0/DF250)</f>
        <v>0.87442850220171509</v>
      </c>
      <c r="DH250" s="301">
        <f>DE250*DG250</f>
        <v>29023.907894920801</v>
      </c>
    </row>
    <row r="251" spans="4:163" ht="16" customHeight="1" thickBot="1" x14ac:dyDescent="0.25">
      <c r="CJ251" s="161"/>
      <c r="CR251" s="14" t="s">
        <v>423</v>
      </c>
      <c r="CU251" s="336">
        <f>CW251/CV251</f>
        <v>82.129945880443643</v>
      </c>
      <c r="CV251" s="174">
        <f>CL258</f>
        <v>3698.8733194995434</v>
      </c>
      <c r="CW251" s="173">
        <f>CW258</f>
        <v>303788.26554911444</v>
      </c>
      <c r="DF251" s="302" t="s">
        <v>806</v>
      </c>
    </row>
    <row r="252" spans="4:163" ht="22" customHeight="1" x14ac:dyDescent="0.2"/>
    <row r="253" spans="4:163" ht="14" customHeight="1" x14ac:dyDescent="0.25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21" t="s">
        <v>40</v>
      </c>
      <c r="CL254" s="1" t="s">
        <v>82</v>
      </c>
      <c r="CM254" s="21" t="s">
        <v>213</v>
      </c>
      <c r="CN254" s="137" t="s">
        <v>84</v>
      </c>
      <c r="CO254" s="137" t="s">
        <v>80</v>
      </c>
      <c r="CP254" s="1" t="s">
        <v>89</v>
      </c>
      <c r="CQ254" s="137" t="s">
        <v>89</v>
      </c>
      <c r="CR254" s="137" t="s">
        <v>24</v>
      </c>
      <c r="CS254" s="137" t="s">
        <v>91</v>
      </c>
      <c r="CT254" s="137" t="s">
        <v>89</v>
      </c>
      <c r="CU254" s="137" t="s">
        <v>89</v>
      </c>
      <c r="CV254" s="137" t="s">
        <v>88</v>
      </c>
      <c r="CW254" s="137" t="s">
        <v>86</v>
      </c>
    </row>
    <row r="255" spans="4:163" ht="22" customHeight="1" x14ac:dyDescent="0.25">
      <c r="CJ255" s="397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 x14ac:dyDescent="0.25">
      <c r="CJ256" s="397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 x14ac:dyDescent="0.25">
      <c r="AZ257" s="3"/>
      <c r="CJ257" s="397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 x14ac:dyDescent="0.2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" customHeight="1" x14ac:dyDescent="0.2"/>
    <row r="264" spans="52:101" ht="16" customHeight="1" thickBot="1" x14ac:dyDescent="0.25"/>
    <row r="265" spans="52:101" x14ac:dyDescent="0.2">
      <c r="CU265" s="335" t="s">
        <v>250</v>
      </c>
      <c r="CV265" s="176" t="s">
        <v>1</v>
      </c>
      <c r="CW265" s="175" t="s">
        <v>0</v>
      </c>
    </row>
    <row r="266" spans="52:101" ht="18" customHeight="1" x14ac:dyDescent="0.25">
      <c r="CU266" s="191" t="s">
        <v>510</v>
      </c>
      <c r="CV266" s="178" t="s">
        <v>83</v>
      </c>
      <c r="CW266" s="177" t="s">
        <v>87</v>
      </c>
    </row>
    <row r="267" spans="52:101" ht="16" customHeight="1" thickBot="1" x14ac:dyDescent="0.25">
      <c r="CR267" s="14" t="s">
        <v>552</v>
      </c>
      <c r="CU267" s="336">
        <f>CW267/CV267</f>
        <v>39838.590959214969</v>
      </c>
      <c r="CV267" s="174">
        <f>CL282</f>
        <v>23.982067525572877</v>
      </c>
      <c r="CW267" s="173">
        <f>CW282</f>
        <v>955411.7785075705</v>
      </c>
    </row>
    <row r="268" spans="52:101" ht="18" customHeight="1" x14ac:dyDescent="0.2"/>
    <row r="269" spans="52:101" ht="18" customHeight="1" x14ac:dyDescent="0.25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91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7" customHeight="1" x14ac:dyDescent="0.25">
      <c r="CJ272" s="391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7" customHeight="1" x14ac:dyDescent="0.25">
      <c r="CJ273" s="391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7" customHeight="1" x14ac:dyDescent="0.25">
      <c r="CJ274" s="391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7" customHeight="1" x14ac:dyDescent="0.25">
      <c r="CJ275" s="391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7" customHeight="1" x14ac:dyDescent="0.25">
      <c r="CJ276" s="391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7" customHeight="1" x14ac:dyDescent="0.25">
      <c r="CJ277" s="391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 x14ac:dyDescent="0.2">
      <c r="CJ278" s="391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7" customHeight="1" x14ac:dyDescent="0.25">
      <c r="CJ279" s="391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 x14ac:dyDescent="0.25">
      <c r="CJ280" s="391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 x14ac:dyDescent="0.25">
      <c r="CJ281" s="391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 x14ac:dyDescent="0.2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 x14ac:dyDescent="0.2">
      <c r="CM289" t="s">
        <v>659</v>
      </c>
    </row>
    <row r="291" spans="90:93" x14ac:dyDescent="0.2">
      <c r="CL291" s="299" t="s">
        <v>656</v>
      </c>
      <c r="CM291" s="299" t="s">
        <v>265</v>
      </c>
      <c r="CN291" s="300" t="s">
        <v>250</v>
      </c>
      <c r="CO291" s="300" t="s">
        <v>657</v>
      </c>
    </row>
    <row r="292" spans="90:93" x14ac:dyDescent="0.2">
      <c r="CL292" s="299" t="s">
        <v>47</v>
      </c>
      <c r="CM292" s="299" t="s">
        <v>62</v>
      </c>
      <c r="CN292" s="299" t="s">
        <v>91</v>
      </c>
      <c r="CO292" s="299" t="s">
        <v>47</v>
      </c>
    </row>
    <row r="293" spans="90:93" x14ac:dyDescent="0.2">
      <c r="CL293" s="301">
        <f>'MCC_Q_RUVY_matrices_mat_level '!L169</f>
        <v>14519667.467864737</v>
      </c>
      <c r="CM293" s="301">
        <v>1573.15</v>
      </c>
      <c r="CN293" s="301">
        <f>1-(T_0/CM293)</f>
        <v>0.81057114706162792</v>
      </c>
      <c r="CO293" s="301">
        <f>CL293*CN293</f>
        <v>11769223.514380522</v>
      </c>
    </row>
    <row r="294" spans="90:93" x14ac:dyDescent="0.2">
      <c r="CL294" s="302" t="s">
        <v>660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  <hyperlink ref="AD160" r:id="rId15" xr:uid="{199E036F-C79B-CC49-8F11-18FC6FB91184}"/>
    <hyperlink ref="AE243" r:id="rId16" xr:uid="{7923DE6A-2EF2-E644-AAAC-C4E5FDECD7DC}"/>
    <hyperlink ref="AD79" r:id="rId17" xr:uid="{AD9F17EF-F875-C34C-B570-FF1BCD2B5D9A}"/>
    <hyperlink ref="DF251" r:id="rId18" location=":~:text=The%20high%20hydrogen%20concentration%20in,gas%20flame%20at%20stoichiometric%20conditions " xr:uid="{427E00BA-D6A9-0747-92BA-5B376A5DA5E1}"/>
  </hyperlinks>
  <pageMargins left="0.7" right="0.7" top="0.75" bottom="0.75" header="0.3" footer="0.3"/>
  <pageSetup scale="10" orientation="landscape"/>
  <drawing r:id="rId19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workbookViewId="0">
      <selection activeCell="T5" sqref="T5"/>
    </sheetView>
  </sheetViews>
  <sheetFormatPr baseColWidth="10" defaultColWidth="11.5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79" t="s">
        <v>279</v>
      </c>
      <c r="F3" s="379"/>
      <c r="G3" s="379"/>
      <c r="L3" s="379" t="s">
        <v>354</v>
      </c>
      <c r="M3" s="379"/>
      <c r="N3" s="379"/>
      <c r="T3" s="52" t="s">
        <v>353</v>
      </c>
    </row>
    <row r="4" spans="3:20" ht="16" customHeight="1" x14ac:dyDescent="0.2">
      <c r="E4" s="423" t="s">
        <v>10</v>
      </c>
      <c r="F4" s="423"/>
      <c r="G4" s="423"/>
      <c r="L4" s="423" t="s">
        <v>47</v>
      </c>
      <c r="M4" s="423"/>
      <c r="N4" s="423"/>
      <c r="T4" s="14" t="s">
        <v>47</v>
      </c>
    </row>
    <row r="5" spans="3:20" ht="14.5" customHeight="1" x14ac:dyDescent="0.2">
      <c r="C5" s="425" t="s">
        <v>4</v>
      </c>
      <c r="E5" s="271" t="s">
        <v>275</v>
      </c>
      <c r="F5" s="272" t="s">
        <v>76</v>
      </c>
      <c r="G5" s="273" t="s">
        <v>277</v>
      </c>
      <c r="L5" s="276" t="s">
        <v>137</v>
      </c>
      <c r="M5" s="276" t="s">
        <v>129</v>
      </c>
      <c r="N5" s="276" t="s">
        <v>275</v>
      </c>
      <c r="T5" s="282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25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79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7" customHeight="1" x14ac:dyDescent="0.25">
      <c r="C7" s="425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 x14ac:dyDescent="0.2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7" customHeight="1" x14ac:dyDescent="0.25">
      <c r="L9" s="379" t="s">
        <v>354</v>
      </c>
      <c r="M9" s="379"/>
      <c r="N9" s="379"/>
      <c r="O9" s="379"/>
    </row>
    <row r="10" spans="3:20" x14ac:dyDescent="0.2">
      <c r="E10" s="379" t="s">
        <v>279</v>
      </c>
      <c r="F10" s="379"/>
      <c r="L10" s="423" t="s">
        <v>47</v>
      </c>
      <c r="M10" s="423"/>
      <c r="N10" s="423"/>
      <c r="O10" s="423"/>
    </row>
    <row r="11" spans="3:20" x14ac:dyDescent="0.2">
      <c r="E11" s="423" t="s">
        <v>10</v>
      </c>
      <c r="F11" s="423"/>
      <c r="L11" s="277" t="s">
        <v>137</v>
      </c>
      <c r="M11" s="277" t="s">
        <v>129</v>
      </c>
      <c r="N11" s="277" t="s">
        <v>275</v>
      </c>
      <c r="O11" s="277" t="s">
        <v>276</v>
      </c>
    </row>
    <row r="12" spans="3:20" x14ac:dyDescent="0.2">
      <c r="C12" s="426" t="s">
        <v>19</v>
      </c>
      <c r="E12" s="269" t="s">
        <v>275</v>
      </c>
      <c r="F12" s="270" t="s">
        <v>276</v>
      </c>
      <c r="K12" s="280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" customHeight="1" x14ac:dyDescent="0.2">
      <c r="C13" s="426"/>
      <c r="D13" s="50" t="s">
        <v>280</v>
      </c>
      <c r="E13" s="14" t="s">
        <v>91</v>
      </c>
      <c r="F13" s="14">
        <f>Kiln_SolidWaste</f>
        <v>4.9847525450981189</v>
      </c>
    </row>
    <row r="14" spans="3:20" ht="17" customHeight="1" x14ac:dyDescent="0.25">
      <c r="C14" s="426"/>
      <c r="D14" s="50" t="s">
        <v>22</v>
      </c>
      <c r="E14" s="14" t="s">
        <v>91</v>
      </c>
      <c r="F14" s="14">
        <f>Kiln_H2OWaste</f>
        <v>84.513558569455128</v>
      </c>
      <c r="L14" s="379" t="s">
        <v>354</v>
      </c>
      <c r="M14" s="379"/>
      <c r="N14" s="379"/>
    </row>
    <row r="15" spans="3:20" x14ac:dyDescent="0.2">
      <c r="C15" s="426"/>
      <c r="D15" s="14" t="s">
        <v>18</v>
      </c>
      <c r="E15" s="18">
        <f>SUM(E13:E14)</f>
        <v>0</v>
      </c>
      <c r="F15" s="18">
        <f>SUM(F13:F14)</f>
        <v>89.498311114553246</v>
      </c>
      <c r="L15" s="423" t="s">
        <v>47</v>
      </c>
      <c r="M15" s="423"/>
      <c r="N15" s="423"/>
    </row>
    <row r="16" spans="3:20" x14ac:dyDescent="0.2">
      <c r="L16" s="274" t="s">
        <v>137</v>
      </c>
      <c r="M16" s="274" t="s">
        <v>129</v>
      </c>
      <c r="N16" s="274" t="s">
        <v>296</v>
      </c>
    </row>
    <row r="17" spans="3:14" x14ac:dyDescent="0.2">
      <c r="K17" s="281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79" t="s">
        <v>354</v>
      </c>
      <c r="M19" s="379"/>
    </row>
    <row r="20" spans="3:14" x14ac:dyDescent="0.2">
      <c r="C20" s="424" t="s">
        <v>278</v>
      </c>
      <c r="E20" s="274" t="s">
        <v>275</v>
      </c>
      <c r="L20" s="423" t="s">
        <v>47</v>
      </c>
      <c r="M20" s="423"/>
    </row>
    <row r="21" spans="3:14" ht="14.5" customHeight="1" x14ac:dyDescent="0.2">
      <c r="C21" s="424"/>
      <c r="D21" s="50" t="s">
        <v>280</v>
      </c>
      <c r="E21" s="14">
        <f>Beneficiation_CoalWaste</f>
        <v>25.253201846716312</v>
      </c>
      <c r="L21" s="275" t="s">
        <v>76</v>
      </c>
      <c r="M21" s="275" t="s">
        <v>277</v>
      </c>
    </row>
    <row r="22" spans="3:14" ht="17" customHeight="1" x14ac:dyDescent="0.25">
      <c r="C22" s="424"/>
      <c r="D22" s="50" t="s">
        <v>22</v>
      </c>
      <c r="E22" s="14" t="s">
        <v>91</v>
      </c>
      <c r="K22" s="278" t="s">
        <v>315</v>
      </c>
      <c r="L22" s="14">
        <f>B_lost_mixer</f>
        <v>0</v>
      </c>
      <c r="M22" s="14">
        <f>B_lost_blast_furnace</f>
        <v>472084.51440660493</v>
      </c>
    </row>
    <row r="23" spans="3:14" x14ac:dyDescent="0.2">
      <c r="C23" s="424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zoomScale="111" workbookViewId="0">
      <selection activeCell="F61" sqref="F61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379" t="s">
        <v>612</v>
      </c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</row>
    <row r="3" spans="2:22" ht="18" customHeight="1" x14ac:dyDescent="0.25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21" t="s">
        <v>40</v>
      </c>
      <c r="C4" s="1" t="s">
        <v>82</v>
      </c>
      <c r="D4" s="21" t="s">
        <v>213</v>
      </c>
      <c r="E4" s="137" t="s">
        <v>84</v>
      </c>
      <c r="F4" s="137" t="s">
        <v>80</v>
      </c>
      <c r="G4" s="1" t="s">
        <v>89</v>
      </c>
      <c r="H4" s="137" t="s">
        <v>89</v>
      </c>
      <c r="I4" s="137" t="s">
        <v>24</v>
      </c>
      <c r="J4" s="137" t="s">
        <v>91</v>
      </c>
      <c r="K4" s="137" t="s">
        <v>89</v>
      </c>
      <c r="L4" s="137" t="s">
        <v>89</v>
      </c>
      <c r="M4" s="137" t="s">
        <v>88</v>
      </c>
      <c r="N4" s="137" t="s">
        <v>86</v>
      </c>
      <c r="R4" s="401" t="s">
        <v>349</v>
      </c>
      <c r="S4" s="401"/>
      <c r="T4" s="401"/>
      <c r="U4" s="401"/>
      <c r="V4" s="401"/>
    </row>
    <row r="5" spans="2:22" ht="19" customHeight="1" x14ac:dyDescent="0.25">
      <c r="B5" s="142" t="s">
        <v>254</v>
      </c>
      <c r="C5" s="142">
        <f>Limestone_for_BF</f>
        <v>198.12782320839224</v>
      </c>
      <c r="D5" s="142">
        <v>0.95</v>
      </c>
      <c r="E5" s="142">
        <f>MW_CaCO3</f>
        <v>0.1000872</v>
      </c>
      <c r="F5" s="142">
        <f>C5/E5</f>
        <v>1979.5520626852608</v>
      </c>
      <c r="G5" s="142">
        <f>h_CaCO3</f>
        <v>-1207.5999999999999</v>
      </c>
      <c r="H5" s="142">
        <f>b_ch_CaCO3</f>
        <v>11.256799999999885</v>
      </c>
      <c r="I5" s="142">
        <f>F5/F7</f>
        <v>0.94119632891260407</v>
      </c>
      <c r="J5" s="142">
        <f>LN(I5)</f>
        <v>-6.0603522569383693E-2</v>
      </c>
      <c r="K5" s="142">
        <f>RT0*J5</f>
        <v>-0.15014959061927308</v>
      </c>
      <c r="L5" s="142">
        <f>K5+H5</f>
        <v>11.106650409380611</v>
      </c>
      <c r="M5" s="142">
        <f>L5*I5</f>
        <v>10.453538591824703</v>
      </c>
      <c r="N5" s="142">
        <f>M5*F7</f>
        <v>21986.192727413487</v>
      </c>
      <c r="R5" s="401"/>
      <c r="S5" s="401"/>
      <c r="T5" s="401"/>
      <c r="U5" s="401"/>
      <c r="V5" s="401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197" t="s">
        <v>265</v>
      </c>
    </row>
    <row r="7" spans="2:22" ht="16" customHeight="1" x14ac:dyDescent="0.2">
      <c r="B7" s="142" t="s">
        <v>18</v>
      </c>
      <c r="C7" s="142">
        <f>SUM(C5:C6)</f>
        <v>208.55560337725498</v>
      </c>
      <c r="D7" s="142">
        <f>SUM(D5:D6)</f>
        <v>1</v>
      </c>
      <c r="E7" s="142">
        <f>SUM(E5:E6)</f>
        <v>0.18440139999999999</v>
      </c>
      <c r="F7" s="142">
        <f>SUM(F5:F6)</f>
        <v>2103.2296895721047</v>
      </c>
      <c r="G7" s="18">
        <f t="array" ref="G7">SUM(C5:C6*G5:G6) / C7</f>
        <v>-1202.01</v>
      </c>
      <c r="H7" s="142"/>
      <c r="I7" s="142">
        <f>SUM(I5:I6)</f>
        <v>1</v>
      </c>
      <c r="J7" s="212"/>
      <c r="K7" s="212"/>
      <c r="L7" s="212"/>
      <c r="M7" s="142">
        <f>SUM(M5:M6)</f>
        <v>12.027717183038042</v>
      </c>
      <c r="N7" s="142">
        <f>SUM(N5:N6)</f>
        <v>25297.051877142174</v>
      </c>
      <c r="T7" s="213" t="s">
        <v>62</v>
      </c>
    </row>
    <row r="8" spans="2:22" ht="19" customHeight="1" x14ac:dyDescent="0.25">
      <c r="B8" s="27"/>
      <c r="C8" s="27" t="s">
        <v>252</v>
      </c>
      <c r="D8" s="27"/>
      <c r="E8" s="200" t="s">
        <v>258</v>
      </c>
      <c r="F8" s="200" t="s">
        <v>259</v>
      </c>
      <c r="G8" s="1" t="s">
        <v>510</v>
      </c>
      <c r="H8" s="27"/>
      <c r="I8" s="27"/>
      <c r="J8" s="200"/>
      <c r="K8" s="200"/>
      <c r="L8" s="200"/>
      <c r="M8" s="200" t="s">
        <v>260</v>
      </c>
      <c r="N8" s="27" t="s">
        <v>253</v>
      </c>
      <c r="T8" s="214">
        <v>1173.1500000000001</v>
      </c>
    </row>
    <row r="15" spans="2:22" ht="21" customHeight="1" x14ac:dyDescent="0.3">
      <c r="C15" s="427" t="s">
        <v>611</v>
      </c>
      <c r="D15" s="427"/>
      <c r="E15" s="427"/>
      <c r="F15" s="427"/>
    </row>
    <row r="16" spans="2:22" ht="18" customHeight="1" x14ac:dyDescent="0.25">
      <c r="B16" s="14"/>
      <c r="C16" s="295" t="s">
        <v>581</v>
      </c>
      <c r="D16" s="295" t="s">
        <v>582</v>
      </c>
      <c r="E16" s="14" t="s">
        <v>583</v>
      </c>
      <c r="F16" s="1" t="s">
        <v>584</v>
      </c>
    </row>
    <row r="17" spans="2:9" ht="17" customHeight="1" x14ac:dyDescent="0.2">
      <c r="B17" s="14"/>
      <c r="C17" s="295" t="s">
        <v>57</v>
      </c>
      <c r="D17" s="295" t="s">
        <v>57</v>
      </c>
      <c r="E17" s="14" t="s">
        <v>62</v>
      </c>
      <c r="F17" s="295" t="s">
        <v>57</v>
      </c>
    </row>
    <row r="18" spans="2:9" ht="18" customHeight="1" x14ac:dyDescent="0.25">
      <c r="B18" s="142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 x14ac:dyDescent="0.25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 x14ac:dyDescent="0.2">
      <c r="B20" s="296"/>
      <c r="C20" s="296"/>
      <c r="D20" s="296"/>
      <c r="E20" s="296"/>
      <c r="F20" s="296"/>
    </row>
    <row r="22" spans="2:9" ht="21" customHeight="1" x14ac:dyDescent="0.3">
      <c r="C22" s="297" t="s">
        <v>610</v>
      </c>
    </row>
    <row r="23" spans="2:9" ht="18" customHeight="1" x14ac:dyDescent="0.25">
      <c r="C23" s="137" t="s">
        <v>89</v>
      </c>
    </row>
    <row r="24" spans="2:9" ht="18" customHeight="1" x14ac:dyDescent="0.25">
      <c r="B24" s="142" t="s">
        <v>254</v>
      </c>
      <c r="C24" s="142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6"/>
      <c r="C26" s="296"/>
    </row>
    <row r="28" spans="2:9" ht="21" customHeight="1" x14ac:dyDescent="0.3">
      <c r="C28" s="427" t="s">
        <v>613</v>
      </c>
      <c r="D28" s="427"/>
      <c r="E28" s="427"/>
      <c r="F28" s="427"/>
      <c r="G28" s="427"/>
      <c r="H28" s="427"/>
      <c r="I28" s="427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21" t="s">
        <v>213</v>
      </c>
      <c r="E30" s="137" t="s">
        <v>84</v>
      </c>
      <c r="F30" s="137" t="s">
        <v>80</v>
      </c>
      <c r="G30" s="137" t="s">
        <v>24</v>
      </c>
      <c r="H30" s="137" t="s">
        <v>91</v>
      </c>
      <c r="I30" s="137" t="s">
        <v>89</v>
      </c>
    </row>
    <row r="31" spans="2:9" ht="18" customHeight="1" x14ac:dyDescent="0.25">
      <c r="B31" s="142" t="s">
        <v>254</v>
      </c>
      <c r="C31" s="142">
        <f>Limestone_for_BF</f>
        <v>198.12782320839224</v>
      </c>
      <c r="D31" s="142">
        <v>0.95</v>
      </c>
      <c r="E31" s="142">
        <f>MW_CaCO3</f>
        <v>0.1000872</v>
      </c>
      <c r="F31" s="142">
        <f>C31/E31</f>
        <v>1979.5520626852608</v>
      </c>
      <c r="G31" s="142">
        <f>D31/D33</f>
        <v>0.95</v>
      </c>
      <c r="H31" s="142">
        <f>LN(G31)</f>
        <v>-5.1293294387550578E-2</v>
      </c>
      <c r="I31" s="142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6"/>
      <c r="C33" s="142">
        <f>SUM(C31:C32)</f>
        <v>208.55560337725498</v>
      </c>
      <c r="D33" s="142">
        <f>SUM(D31:D32)</f>
        <v>1</v>
      </c>
      <c r="E33" s="142">
        <f>SUM(E31:E32)</f>
        <v>0.18440139999999999</v>
      </c>
      <c r="F33" s="142">
        <f>SUM(F31:F32)</f>
        <v>2103.2296895721047</v>
      </c>
      <c r="G33" s="142">
        <f>SUM(G31:G32)</f>
        <v>1</v>
      </c>
      <c r="H33" s="212"/>
      <c r="I33" s="212"/>
    </row>
    <row r="34" spans="2:9" ht="18" customHeight="1" x14ac:dyDescent="0.25">
      <c r="C34" s="27" t="s">
        <v>252</v>
      </c>
      <c r="D34" s="27"/>
      <c r="E34" s="200" t="s">
        <v>258</v>
      </c>
      <c r="F34" s="200" t="s">
        <v>259</v>
      </c>
    </row>
    <row r="40" spans="2:9" ht="21" customHeight="1" x14ac:dyDescent="0.3">
      <c r="C40" s="427" t="s">
        <v>614</v>
      </c>
      <c r="D40" s="427"/>
      <c r="E40" s="427"/>
      <c r="F40" s="427"/>
      <c r="G40" s="427"/>
      <c r="H40" s="427"/>
      <c r="I40" s="427"/>
    </row>
    <row r="41" spans="2:9" ht="17" customHeight="1" x14ac:dyDescent="0.25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 x14ac:dyDescent="0.25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 x14ac:dyDescent="0.25">
      <c r="B43" s="142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 x14ac:dyDescent="0.25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 x14ac:dyDescent="0.2">
      <c r="B45" s="18"/>
      <c r="C45" s="18"/>
      <c r="D45" s="18"/>
      <c r="E45" s="18"/>
      <c r="F45" s="18"/>
      <c r="G45" s="18"/>
      <c r="H45" s="18"/>
      <c r="I45" s="18"/>
    </row>
    <row r="48" spans="2:9" ht="21" customHeight="1" x14ac:dyDescent="0.3">
      <c r="C48" s="427" t="s">
        <v>615</v>
      </c>
      <c r="D48" s="427"/>
      <c r="E48" s="427"/>
      <c r="F48" s="427"/>
      <c r="G48" s="427"/>
      <c r="H48" s="427"/>
      <c r="I48" s="298"/>
    </row>
    <row r="49" spans="2:8" ht="18" customHeight="1" x14ac:dyDescent="0.25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 x14ac:dyDescent="0.25">
      <c r="C50" s="137" t="s">
        <v>24</v>
      </c>
      <c r="D50" s="137" t="s">
        <v>88</v>
      </c>
      <c r="E50" s="137" t="s">
        <v>88</v>
      </c>
      <c r="F50" s="137" t="s">
        <v>88</v>
      </c>
      <c r="G50" s="137" t="s">
        <v>88</v>
      </c>
      <c r="H50" s="137" t="s">
        <v>88</v>
      </c>
    </row>
    <row r="51" spans="2:8" ht="18" customHeight="1" x14ac:dyDescent="0.25">
      <c r="B51" s="142" t="s">
        <v>254</v>
      </c>
      <c r="C51" s="142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6"/>
      <c r="C53" s="142">
        <f>SUM(C51:C52)</f>
        <v>1</v>
      </c>
      <c r="D53" s="142">
        <f t="shared" ref="D53:F53" si="0">SUM(D51:D52)</f>
        <v>35.506552109896553</v>
      </c>
      <c r="E53" s="142">
        <f t="shared" si="0"/>
        <v>12.581858402814841</v>
      </c>
      <c r="F53" s="142">
        <f t="shared" si="0"/>
        <v>-0.55605911350848669</v>
      </c>
      <c r="G53" s="296">
        <f>G51+G52</f>
        <v>3.1067739359130622E-2</v>
      </c>
      <c r="H53" s="296">
        <f>H51+H52</f>
        <v>47.563419138562033</v>
      </c>
    </row>
    <row r="55" spans="2:8" x14ac:dyDescent="0.2">
      <c r="C55" s="339"/>
      <c r="D55" s="339"/>
      <c r="E55" s="339"/>
    </row>
    <row r="56" spans="2:8" ht="18" customHeight="1" x14ac:dyDescent="0.25">
      <c r="C56" s="1" t="s">
        <v>599</v>
      </c>
      <c r="D56" s="1" t="s">
        <v>598</v>
      </c>
      <c r="E56" s="1" t="s">
        <v>620</v>
      </c>
    </row>
    <row r="57" spans="2:8" ht="18" customHeight="1" x14ac:dyDescent="0.25">
      <c r="C57" s="137" t="s">
        <v>88</v>
      </c>
      <c r="D57" s="137" t="s">
        <v>88</v>
      </c>
      <c r="E57" s="14" t="s">
        <v>91</v>
      </c>
    </row>
    <row r="58" spans="2:8" x14ac:dyDescent="0.2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 x14ac:dyDescent="0.2">
      <c r="C59" s="296"/>
      <c r="D59" s="296"/>
      <c r="E59" s="296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G49" zoomScale="111" workbookViewId="0">
      <selection activeCell="O91" sqref="O91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  <col min="13" max="13" width="12" bestFit="1" customWidth="1"/>
  </cols>
  <sheetData>
    <row r="1" spans="1:34" ht="17" customHeight="1" x14ac:dyDescent="0.25">
      <c r="K1" s="290"/>
      <c r="AC1" s="290"/>
      <c r="AE1" t="s">
        <v>31</v>
      </c>
      <c r="AF1" t="s">
        <v>38</v>
      </c>
      <c r="AG1" t="s">
        <v>617</v>
      </c>
      <c r="AH1" t="s">
        <v>618</v>
      </c>
    </row>
    <row r="2" spans="1:34" x14ac:dyDescent="0.2">
      <c r="B2" s="286"/>
      <c r="C2" s="286"/>
      <c r="D2" s="286"/>
      <c r="E2" s="286"/>
      <c r="F2" s="286"/>
      <c r="G2" s="286"/>
      <c r="H2" s="286"/>
      <c r="I2" s="286"/>
      <c r="K2" s="290"/>
      <c r="AC2" s="290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6"/>
      <c r="B3" s="286"/>
      <c r="C3" s="286"/>
      <c r="D3" s="286"/>
      <c r="E3" s="286"/>
      <c r="F3" s="286"/>
      <c r="G3" s="286"/>
      <c r="H3" s="286"/>
      <c r="I3" s="286"/>
      <c r="K3" s="290"/>
      <c r="AC3" s="290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6"/>
      <c r="B4" s="287"/>
      <c r="C4" s="287"/>
      <c r="D4" s="339" t="s">
        <v>245</v>
      </c>
      <c r="E4" s="339"/>
      <c r="F4" s="339"/>
      <c r="G4" s="339"/>
      <c r="H4" s="286"/>
      <c r="I4" s="286"/>
      <c r="K4" s="290"/>
      <c r="S4" s="379" t="s">
        <v>601</v>
      </c>
      <c r="T4" s="379"/>
      <c r="U4" s="379"/>
      <c r="AC4" s="290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286"/>
      <c r="B5" s="287"/>
      <c r="C5" s="287"/>
      <c r="D5" s="423" t="s">
        <v>77</v>
      </c>
      <c r="E5" s="423"/>
      <c r="F5" s="423"/>
      <c r="G5" s="423"/>
      <c r="H5" s="286"/>
      <c r="I5" s="286"/>
      <c r="K5" s="290"/>
      <c r="M5" s="286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C5" s="290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6"/>
      <c r="B6" s="425" t="s">
        <v>4</v>
      </c>
      <c r="C6" s="14"/>
      <c r="D6" s="276" t="s">
        <v>285</v>
      </c>
      <c r="E6" s="276" t="s">
        <v>137</v>
      </c>
      <c r="F6" s="276" t="s">
        <v>129</v>
      </c>
      <c r="G6" s="276" t="s">
        <v>275</v>
      </c>
      <c r="H6" s="286"/>
      <c r="I6" s="286"/>
      <c r="K6" s="290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C6" s="290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6"/>
      <c r="B7" s="425"/>
      <c r="C7" s="283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6"/>
      <c r="I7" s="286"/>
      <c r="K7" s="290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C7" s="290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6"/>
      <c r="B8" s="425"/>
      <c r="C8" s="285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6"/>
      <c r="I8" s="286"/>
      <c r="K8" s="290"/>
      <c r="M8" s="286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C8" s="290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6"/>
      <c r="B9" s="425"/>
      <c r="C9" s="284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6"/>
      <c r="I9" s="286"/>
      <c r="K9" s="290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C9" s="290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6"/>
      <c r="C10" s="14"/>
      <c r="D10" s="286"/>
      <c r="E10" s="288"/>
      <c r="F10" s="288"/>
      <c r="G10" s="288"/>
      <c r="H10" s="287"/>
      <c r="I10" s="286"/>
      <c r="K10" s="290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C10" s="290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6"/>
      <c r="B11" s="286"/>
      <c r="C11" s="286"/>
      <c r="D11" s="286"/>
      <c r="E11" s="287"/>
      <c r="F11" s="287"/>
      <c r="G11" s="287"/>
      <c r="H11" s="287"/>
      <c r="I11" s="286"/>
      <c r="K11" s="290"/>
      <c r="M11" s="286"/>
      <c r="N11" s="286"/>
      <c r="O11" s="286"/>
      <c r="P11" s="429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C11" s="290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6"/>
      <c r="B12" s="286"/>
      <c r="C12" s="286"/>
      <c r="D12" s="286"/>
      <c r="E12" s="286"/>
      <c r="F12" s="286"/>
      <c r="G12" s="286"/>
      <c r="H12" s="286"/>
      <c r="I12" s="286"/>
      <c r="K12" s="290"/>
      <c r="M12" s="286"/>
      <c r="N12" s="286"/>
      <c r="O12" s="286"/>
      <c r="P12" s="429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C12" s="290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6"/>
      <c r="B13" s="287"/>
      <c r="C13" s="287"/>
      <c r="D13" s="339" t="s">
        <v>245</v>
      </c>
      <c r="E13" s="339"/>
      <c r="F13" s="339"/>
      <c r="G13" s="339"/>
      <c r="H13" s="339"/>
      <c r="I13" s="286"/>
      <c r="K13" s="290"/>
      <c r="M13" s="286"/>
      <c r="N13" s="286"/>
      <c r="O13" s="286"/>
      <c r="P13" s="286"/>
      <c r="Q13" s="286"/>
      <c r="R13" s="286"/>
      <c r="S13" s="286"/>
      <c r="T13" s="429" t="s">
        <v>166</v>
      </c>
      <c r="U13" s="286"/>
      <c r="V13" s="286"/>
      <c r="W13" s="286"/>
      <c r="X13" s="286"/>
      <c r="Y13" s="286"/>
      <c r="Z13" s="286"/>
      <c r="AA13" s="286"/>
      <c r="AC13" s="290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6"/>
      <c r="B14" s="287"/>
      <c r="C14" s="287"/>
      <c r="D14" s="423" t="s">
        <v>77</v>
      </c>
      <c r="E14" s="423"/>
      <c r="F14" s="423"/>
      <c r="G14" s="423"/>
      <c r="H14" s="423"/>
      <c r="I14" s="286"/>
      <c r="K14" s="290"/>
      <c r="M14" s="286"/>
      <c r="N14" s="286"/>
      <c r="O14" s="286"/>
      <c r="P14" s="286"/>
      <c r="Q14" s="286"/>
      <c r="R14" s="286"/>
      <c r="S14" s="286"/>
      <c r="T14" s="429"/>
      <c r="U14" s="286"/>
      <c r="V14" s="286"/>
      <c r="W14" s="286"/>
      <c r="X14" s="286"/>
      <c r="Y14" s="286"/>
      <c r="Z14" s="286"/>
      <c r="AA14" s="286"/>
      <c r="AC14" s="290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6"/>
      <c r="B15" s="426" t="s">
        <v>19</v>
      </c>
      <c r="C15" s="14"/>
      <c r="D15" s="277" t="s">
        <v>285</v>
      </c>
      <c r="E15" s="277" t="s">
        <v>137</v>
      </c>
      <c r="F15" s="277" t="s">
        <v>129</v>
      </c>
      <c r="G15" s="277" t="s">
        <v>275</v>
      </c>
      <c r="H15" s="277" t="s">
        <v>276</v>
      </c>
      <c r="I15" s="286"/>
      <c r="K15" s="290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C15" s="290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6"/>
      <c r="B16" s="426"/>
      <c r="C16" s="283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6"/>
      <c r="K16" s="290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C16" s="290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6"/>
      <c r="B17" s="426"/>
      <c r="C17" s="285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6"/>
      <c r="K17" s="290"/>
      <c r="M17" s="286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C17" s="290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6"/>
      <c r="B18" s="426"/>
      <c r="C18" s="284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6"/>
      <c r="K18" s="290"/>
      <c r="M18" s="286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C18" s="290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6"/>
      <c r="C19" s="14"/>
      <c r="D19" s="286"/>
      <c r="E19" s="288"/>
      <c r="F19" s="288"/>
      <c r="G19" s="288"/>
      <c r="H19" s="288"/>
      <c r="I19" s="286"/>
      <c r="K19" s="290"/>
      <c r="L19" t="s">
        <v>357</v>
      </c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91"/>
      <c r="X19" s="286"/>
      <c r="Y19" s="286"/>
      <c r="Z19" s="286"/>
      <c r="AA19" s="286"/>
      <c r="AC19" s="290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6"/>
      <c r="B20" s="286"/>
      <c r="C20" s="286"/>
      <c r="D20" s="286"/>
      <c r="E20" s="286"/>
      <c r="F20" s="286"/>
      <c r="G20" s="286"/>
      <c r="H20" s="286"/>
      <c r="I20" s="286"/>
      <c r="K20" s="290"/>
      <c r="M20" s="286"/>
      <c r="N20" s="286"/>
      <c r="O20" s="286"/>
      <c r="Q20" s="291"/>
      <c r="R20" s="286"/>
      <c r="S20" s="286"/>
      <c r="T20" s="286"/>
      <c r="U20" s="286"/>
      <c r="V20" s="286"/>
      <c r="X20" s="286"/>
      <c r="Y20" s="286"/>
      <c r="Z20" s="286"/>
      <c r="AA20" s="286"/>
      <c r="AC20" s="290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6"/>
      <c r="B21" s="287"/>
      <c r="C21" s="287"/>
      <c r="D21" s="339" t="s">
        <v>245</v>
      </c>
      <c r="E21" s="339"/>
      <c r="F21" s="339"/>
      <c r="G21" s="339"/>
      <c r="H21" s="286"/>
      <c r="I21" s="286"/>
      <c r="K21" s="290"/>
      <c r="M21" s="286"/>
      <c r="N21" s="286"/>
      <c r="O21" s="286"/>
      <c r="P21" s="429" t="s">
        <v>56</v>
      </c>
      <c r="Q21" s="291"/>
      <c r="R21" s="286"/>
      <c r="S21" s="430" t="s">
        <v>600</v>
      </c>
      <c r="T21" s="430"/>
      <c r="U21" s="430"/>
      <c r="V21" s="286"/>
      <c r="W21" s="286"/>
      <c r="X21" s="429" t="s">
        <v>134</v>
      </c>
      <c r="Z21" s="286"/>
      <c r="AA21" s="286"/>
      <c r="AC21" s="290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6"/>
      <c r="B22" s="287"/>
      <c r="C22" s="287"/>
      <c r="D22" s="423" t="s">
        <v>77</v>
      </c>
      <c r="E22" s="423"/>
      <c r="F22" s="423"/>
      <c r="G22" s="423"/>
      <c r="H22" s="286"/>
      <c r="I22" s="286"/>
      <c r="K22" s="290"/>
      <c r="M22" s="286"/>
      <c r="N22" s="286"/>
      <c r="O22" s="286"/>
      <c r="P22" s="429"/>
      <c r="Q22" s="291"/>
      <c r="R22" s="286"/>
      <c r="S22" s="430"/>
      <c r="T22" s="430"/>
      <c r="U22" s="430"/>
      <c r="V22" s="286"/>
      <c r="X22" s="429"/>
      <c r="Y22" s="286"/>
      <c r="Z22" s="286"/>
      <c r="AA22" s="286"/>
      <c r="AC22" s="290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6"/>
      <c r="B23" s="424" t="s">
        <v>278</v>
      </c>
      <c r="C23" s="14"/>
      <c r="D23" s="274" t="s">
        <v>285</v>
      </c>
      <c r="E23" s="274" t="s">
        <v>137</v>
      </c>
      <c r="F23" s="274" t="s">
        <v>129</v>
      </c>
      <c r="G23" s="274" t="s">
        <v>296</v>
      </c>
      <c r="H23" s="286"/>
      <c r="I23" s="286"/>
      <c r="K23" s="290"/>
      <c r="M23" s="286"/>
      <c r="N23" s="286"/>
      <c r="O23" s="286"/>
      <c r="P23" s="286"/>
      <c r="Q23" s="286"/>
      <c r="R23" s="286"/>
      <c r="S23" s="430"/>
      <c r="T23" s="430"/>
      <c r="U23" s="430"/>
      <c r="V23" s="286"/>
      <c r="W23" s="286"/>
      <c r="X23" s="291"/>
      <c r="Z23" s="286"/>
      <c r="AA23" s="286"/>
      <c r="AC23" s="290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6"/>
      <c r="B24" s="424"/>
      <c r="C24" s="283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6"/>
      <c r="I24" s="286"/>
      <c r="K24" s="290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C24" s="290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6"/>
      <c r="B25" s="424"/>
      <c r="C25" s="285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6"/>
      <c r="I25" s="286"/>
      <c r="K25" s="290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C25" s="290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6"/>
      <c r="B26" s="424"/>
      <c r="C26" s="284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6"/>
      <c r="K26" s="290"/>
      <c r="M26" s="286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C26" s="290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6"/>
      <c r="B27" s="286"/>
      <c r="C27" s="287"/>
      <c r="D27" s="286"/>
      <c r="E27" s="288"/>
      <c r="F27" s="288"/>
      <c r="G27" s="288"/>
      <c r="H27" s="287"/>
      <c r="I27" s="286"/>
      <c r="K27" s="290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C27" s="290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6"/>
      <c r="B28" s="286"/>
      <c r="C28" s="286"/>
      <c r="D28" s="286"/>
      <c r="E28" s="286"/>
      <c r="F28" s="286"/>
      <c r="G28" s="286"/>
      <c r="H28" s="286"/>
      <c r="I28" s="286"/>
      <c r="K28" s="290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Y28" s="286"/>
      <c r="Z28" s="286"/>
      <c r="AA28" s="286"/>
      <c r="AC28" s="290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6"/>
      <c r="B29" s="286"/>
      <c r="C29" s="286"/>
      <c r="D29" s="286"/>
      <c r="E29" s="286"/>
      <c r="F29" s="286"/>
      <c r="G29" s="286"/>
      <c r="H29" s="286"/>
      <c r="I29" s="286"/>
      <c r="K29" s="290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AA29" s="286"/>
      <c r="AC29" s="290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6"/>
      <c r="B30" s="286"/>
      <c r="C30" s="286"/>
      <c r="D30" s="286"/>
      <c r="E30" s="286"/>
      <c r="F30" s="286"/>
      <c r="G30" s="286"/>
      <c r="H30" s="286"/>
      <c r="I30" s="286"/>
      <c r="K30" s="290"/>
      <c r="M30" s="286"/>
      <c r="N30" s="286"/>
      <c r="O30" s="286"/>
      <c r="P30" s="429"/>
      <c r="Q30" s="286"/>
      <c r="R30" s="286"/>
      <c r="S30" s="286"/>
      <c r="T30" s="429" t="s">
        <v>616</v>
      </c>
      <c r="U30" s="286"/>
      <c r="V30" s="286"/>
      <c r="W30" s="286"/>
      <c r="X30" s="286"/>
      <c r="Y30" s="286"/>
      <c r="Z30" s="286"/>
      <c r="AA30" s="286"/>
      <c r="AC30" s="290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6"/>
      <c r="B31" s="286"/>
      <c r="C31" s="286"/>
      <c r="D31" s="286"/>
      <c r="E31" s="286"/>
      <c r="F31" s="286"/>
      <c r="G31" s="286"/>
      <c r="H31" s="286"/>
      <c r="I31" s="286"/>
      <c r="K31" s="290"/>
      <c r="M31" s="286"/>
      <c r="N31" s="286"/>
      <c r="O31" s="286"/>
      <c r="P31" s="429"/>
      <c r="Q31" s="286"/>
      <c r="R31" s="286"/>
      <c r="S31" s="286"/>
      <c r="T31" s="429"/>
      <c r="U31" s="286"/>
      <c r="V31" s="286"/>
      <c r="W31" s="286"/>
      <c r="X31" s="286"/>
      <c r="Y31" s="286"/>
      <c r="Z31" s="286"/>
      <c r="AA31" s="286"/>
      <c r="AC31" s="290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6"/>
      <c r="B32" s="428" t="s">
        <v>315</v>
      </c>
      <c r="D32" s="275" t="s">
        <v>76</v>
      </c>
      <c r="E32" s="275" t="s">
        <v>277</v>
      </c>
      <c r="F32" s="286"/>
      <c r="G32" s="286"/>
      <c r="H32" s="286"/>
      <c r="I32" s="286"/>
      <c r="K32" s="290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C32" s="290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6"/>
      <c r="B33" s="428"/>
      <c r="C33" s="283" t="s">
        <v>266</v>
      </c>
      <c r="D33" s="14" t="s">
        <v>91</v>
      </c>
      <c r="E33" s="14" t="e">
        <f>Bejan_BF</f>
        <v>#NAME?</v>
      </c>
      <c r="F33" s="286"/>
      <c r="G33" s="286"/>
      <c r="H33" s="286"/>
      <c r="I33" s="286"/>
      <c r="K33" s="290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C33" s="290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6"/>
      <c r="B34" s="428"/>
      <c r="C34" s="285" t="s">
        <v>267</v>
      </c>
      <c r="D34" s="14">
        <f>Rational_mixer</f>
        <v>0.9919388675751597</v>
      </c>
      <c r="E34" s="14">
        <f>Rational_BF</f>
        <v>0.37939057897114697</v>
      </c>
      <c r="F34" s="286"/>
      <c r="G34" s="286"/>
      <c r="H34" s="286"/>
      <c r="I34" s="286"/>
      <c r="K34" s="290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C34" s="290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6"/>
      <c r="B35" s="428"/>
      <c r="C35" s="284" t="s">
        <v>318</v>
      </c>
      <c r="D35" s="14">
        <f>Resource_Mixer</f>
        <v>0.9919388675751597</v>
      </c>
      <c r="E35" s="14">
        <f>Resource_BF</f>
        <v>0.3407069508598114</v>
      </c>
      <c r="F35" s="286"/>
      <c r="G35" s="286"/>
      <c r="H35" s="286"/>
      <c r="I35" s="286"/>
      <c r="K35" s="290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C35" s="290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286"/>
      <c r="B36" s="286"/>
      <c r="C36" s="287"/>
      <c r="D36" s="287"/>
      <c r="E36" s="287"/>
      <c r="F36" s="286"/>
      <c r="G36" s="286"/>
      <c r="H36" s="286"/>
      <c r="I36" s="286"/>
      <c r="K36" s="290"/>
      <c r="M36" s="286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C36" s="290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6"/>
      <c r="B37" s="286"/>
      <c r="C37" s="286"/>
      <c r="D37" s="286"/>
      <c r="E37" s="286"/>
      <c r="F37" s="286"/>
      <c r="G37" s="286"/>
      <c r="H37" s="286"/>
      <c r="I37" s="286"/>
      <c r="K37" s="290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C37" s="290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6"/>
      <c r="B38" s="286"/>
      <c r="C38" s="286"/>
      <c r="D38" s="286"/>
      <c r="E38" s="286"/>
      <c r="F38" s="286"/>
      <c r="G38" s="286"/>
      <c r="H38" s="286"/>
      <c r="I38" s="286"/>
      <c r="K38" s="290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C38" s="290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0"/>
      <c r="M39" s="286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C39" s="290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0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C40" s="290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14" t="s">
        <v>488</v>
      </c>
      <c r="H41" t="s">
        <v>621</v>
      </c>
      <c r="K41" s="290"/>
      <c r="M41" s="286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C41" s="290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89" t="s">
        <v>487</v>
      </c>
      <c r="C42" s="14">
        <f>E_tot/(Ore_to_PI!FL126/1000)</f>
        <v>25472106.046493623</v>
      </c>
      <c r="I42" t="s">
        <v>622</v>
      </c>
      <c r="K42" s="290"/>
      <c r="M42" s="286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C42" s="290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623</v>
      </c>
      <c r="K43" s="290"/>
      <c r="AC43" s="290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624</v>
      </c>
      <c r="K44" s="290"/>
      <c r="AC44" s="290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625</v>
      </c>
      <c r="K45" s="292"/>
      <c r="L45" s="293"/>
      <c r="M45" s="293"/>
      <c r="N45" s="293"/>
      <c r="O45" s="293"/>
      <c r="P45" s="293"/>
      <c r="Q45" s="293"/>
      <c r="R45" s="293"/>
      <c r="S45" s="293"/>
      <c r="T45" s="293"/>
      <c r="U45" s="293"/>
      <c r="V45" s="293"/>
      <c r="W45" s="293"/>
      <c r="X45" s="293"/>
      <c r="Y45" s="293"/>
      <c r="Z45" s="293"/>
      <c r="AA45" s="293"/>
      <c r="AB45" s="294"/>
      <c r="AC45" s="290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626</v>
      </c>
      <c r="K46" s="290"/>
      <c r="AC46" s="290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627</v>
      </c>
      <c r="K47" s="290"/>
      <c r="AC47" s="290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628</v>
      </c>
      <c r="K48" s="290"/>
      <c r="AC48" s="290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89"/>
      <c r="E49" s="289"/>
      <c r="K49" s="290"/>
      <c r="AC49" s="290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2" t="s">
        <v>631</v>
      </c>
      <c r="D50" s="132" t="s">
        <v>632</v>
      </c>
      <c r="K50" s="290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 x14ac:dyDescent="0.2">
      <c r="B51" s="132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0"/>
      <c r="L51" s="132" t="s">
        <v>325</v>
      </c>
      <c r="M51" s="132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 t="e" vm="2">
        <f ca="1">'MCC_Q_RUVY_matrices_mat_level '!L159</f>
        <v>#VALUE!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 t="e" vm="2">
        <f t="shared" ca="1" si="4"/>
        <v>#VALUE!</v>
      </c>
      <c r="AA51" s="132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 x14ac:dyDescent="0.2">
      <c r="B52" s="132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0"/>
      <c r="L52" s="132" t="s">
        <v>326</v>
      </c>
      <c r="M52" s="132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'MCC_Q_RUVY_matrices_mat_level '!L160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2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 x14ac:dyDescent="0.2">
      <c r="B53" s="132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0"/>
      <c r="L53" s="132" t="s">
        <v>327</v>
      </c>
      <c r="M53" s="132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'MCC_Q_RUVY_matrices_mat_level '!L161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2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 x14ac:dyDescent="0.2">
      <c r="B54" s="132" t="s">
        <v>455</v>
      </c>
      <c r="C54" s="14">
        <f>Rational_IronHauling</f>
        <v>0.15068009543796188</v>
      </c>
      <c r="D54" s="14">
        <f>Resource_IronHauling</f>
        <v>0.12723325256465715</v>
      </c>
      <c r="K54" s="290"/>
      <c r="L54" s="132" t="s">
        <v>455</v>
      </c>
      <c r="M54" s="132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'MCC_Q_RUVY_matrices_mat_level '!L162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2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 x14ac:dyDescent="0.2">
      <c r="B55" s="132" t="s">
        <v>435</v>
      </c>
      <c r="C55" s="14">
        <f>Rational_LimeHauling</f>
        <v>0.89954868347015648</v>
      </c>
      <c r="D55" s="14">
        <f>Resource_LimeHauling</f>
        <v>0.78181642740498758</v>
      </c>
      <c r="K55" s="290"/>
      <c r="L55" s="132" t="s">
        <v>435</v>
      </c>
      <c r="M55" s="132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'MCC_Q_RUVY_matrices_mat_level '!L163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2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 x14ac:dyDescent="0.2">
      <c r="B56" s="132" t="s">
        <v>434</v>
      </c>
      <c r="C56" s="14">
        <f>Rational_CoalHauling</f>
        <v>0.99996814295200787</v>
      </c>
      <c r="D56" s="14">
        <f>Resource_CoalHauling</f>
        <v>0.9994246250143145</v>
      </c>
      <c r="K56" s="290"/>
      <c r="L56" s="132" t="s">
        <v>434</v>
      </c>
      <c r="M56" s="132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'MCC_Q_RUVY_matrices_mat_level '!L164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2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 x14ac:dyDescent="0.2">
      <c r="B57" s="132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0"/>
      <c r="L57" s="132" t="s">
        <v>351</v>
      </c>
      <c r="M57" s="132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'MCC_Q_RUVY_matrices_mat_level '!L165</f>
        <v>12626.098826337606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12626.098826337606</v>
      </c>
      <c r="AA57" s="132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 x14ac:dyDescent="0.2">
      <c r="B58" s="132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0"/>
      <c r="L58" s="132" t="s">
        <v>348</v>
      </c>
      <c r="M58" s="132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'MCC_Q_RUVY_matrices_mat_level '!L166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2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 x14ac:dyDescent="0.2">
      <c r="B59" s="132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0"/>
      <c r="L59" s="132" t="s">
        <v>362</v>
      </c>
      <c r="M59" s="132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'MCC_Q_RUVY_matrices_mat_level '!L167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2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 x14ac:dyDescent="0.2">
      <c r="B60" s="132" t="s">
        <v>349</v>
      </c>
      <c r="C60" s="14">
        <f>Rational_Kiln</f>
        <v>0.17027276068302746</v>
      </c>
      <c r="D60" s="14">
        <f>Resource_Kiln</f>
        <v>0.1222893219234706</v>
      </c>
      <c r="K60" s="290"/>
      <c r="L60" s="132" t="s">
        <v>349</v>
      </c>
      <c r="M60" s="132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'MCC_Q_RUVY_matrices_mat_level '!L168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2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 x14ac:dyDescent="0.2">
      <c r="B61" s="132" t="s">
        <v>344</v>
      </c>
      <c r="C61" s="14">
        <f>Rational_Cokeoven</f>
        <v>0.60155306227269634</v>
      </c>
      <c r="D61" s="14">
        <f>Resource_Cokeoven</f>
        <v>0.32940597812032246</v>
      </c>
      <c r="K61" s="290"/>
      <c r="L61" s="132" t="s">
        <v>344</v>
      </c>
      <c r="M61" s="132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'MCC_Q_RUVY_matrices_mat_level '!L169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2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 x14ac:dyDescent="0.2">
      <c r="B62" s="132" t="s">
        <v>514</v>
      </c>
      <c r="C62" s="14">
        <f>Rational_COGtreatment</f>
        <v>0.9960578434433518</v>
      </c>
      <c r="D62" s="14">
        <f>Resource_COGtreatment</f>
        <v>0.18236833377116268</v>
      </c>
      <c r="K62" s="290"/>
      <c r="L62" s="132" t="s">
        <v>514</v>
      </c>
      <c r="M62" s="132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'MCC_Q_RUVY_matrices_mat_level '!L170</f>
        <v>21413.842918272028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21413.842918272028</v>
      </c>
      <c r="AA62" s="132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 x14ac:dyDescent="0.2">
      <c r="B63" s="132" t="s">
        <v>516</v>
      </c>
      <c r="C63" s="14">
        <f>Rational_COGdistribution</f>
        <v>1</v>
      </c>
      <c r="D63" s="14">
        <f>Resource_COGdistribution</f>
        <v>1</v>
      </c>
      <c r="K63" s="290"/>
      <c r="L63" s="132" t="s">
        <v>516</v>
      </c>
      <c r="M63" s="132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'MCC_Q_RUVY_matrices_mat_level '!L171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2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 x14ac:dyDescent="0.2">
      <c r="B64" s="132" t="s">
        <v>76</v>
      </c>
      <c r="C64" s="14">
        <f>Rational_mixer</f>
        <v>0.9919388675751597</v>
      </c>
      <c r="D64" s="14">
        <f>Resource_Mixer</f>
        <v>0.9919388675751597</v>
      </c>
      <c r="K64" s="290"/>
      <c r="L64" s="132" t="s">
        <v>76</v>
      </c>
      <c r="M64" s="132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'MCC_Q_RUVY_matrices_mat_level '!L172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2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 x14ac:dyDescent="0.2">
      <c r="B65" s="132" t="s">
        <v>337</v>
      </c>
      <c r="C65" s="14">
        <f>Rational_BF</f>
        <v>0.37939057897114697</v>
      </c>
      <c r="D65" s="14">
        <f>Resource_BF</f>
        <v>0.3407069508598114</v>
      </c>
      <c r="K65" s="290"/>
      <c r="L65" s="132" t="s">
        <v>337</v>
      </c>
      <c r="M65" s="132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'MCC_Q_RUVY_matrices_mat_level '!L173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2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 x14ac:dyDescent="0.2">
      <c r="K66" s="290"/>
      <c r="AC66" s="290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0"/>
      <c r="AC67" s="290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 x14ac:dyDescent="0.2">
      <c r="K68" s="290"/>
      <c r="AC68" s="290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 x14ac:dyDescent="0.2">
      <c r="M69" t="s">
        <v>635</v>
      </c>
      <c r="AC69" s="290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 x14ac:dyDescent="0.2">
      <c r="L70" s="132" t="s">
        <v>325</v>
      </c>
      <c r="M70" t="e" vm="2">
        <f ca="1">'BXCC Q loss'!K8</f>
        <v>#VALUE!</v>
      </c>
      <c r="AC70" s="290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 x14ac:dyDescent="0.2">
      <c r="L71" s="132" t="s">
        <v>326</v>
      </c>
      <c r="M71">
        <f>'BXCC Q loss'!K9</f>
        <v>40.382282684293422</v>
      </c>
      <c r="AC71" s="290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 x14ac:dyDescent="0.2">
      <c r="L72" s="132" t="s">
        <v>327</v>
      </c>
      <c r="M72">
        <f>'BXCC Q loss'!K10</f>
        <v>9761.0864780367701</v>
      </c>
      <c r="AC72" s="290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 x14ac:dyDescent="0.2">
      <c r="L73" s="132" t="s">
        <v>455</v>
      </c>
      <c r="M73">
        <f>'BXCC Q loss'!K11</f>
        <v>306.78798512121966</v>
      </c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 x14ac:dyDescent="0.2">
      <c r="L74" s="132" t="s">
        <v>435</v>
      </c>
      <c r="M74">
        <f>'BXCC Q loss'!K12</f>
        <v>0</v>
      </c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 x14ac:dyDescent="0.2">
      <c r="L75" s="132" t="s">
        <v>434</v>
      </c>
      <c r="M75">
        <f>'BXCC Q loss'!K13</f>
        <v>0</v>
      </c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 x14ac:dyDescent="0.2">
      <c r="L76" s="132" t="s">
        <v>351</v>
      </c>
      <c r="M76">
        <f>'BXCC Q loss'!K14</f>
        <v>9911.2723263828611</v>
      </c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 x14ac:dyDescent="0.2">
      <c r="L77" s="132" t="s">
        <v>348</v>
      </c>
      <c r="M77">
        <f>'BXCC Q loss'!K15</f>
        <v>0</v>
      </c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 x14ac:dyDescent="0.2">
      <c r="L78" s="132" t="s">
        <v>362</v>
      </c>
      <c r="M78">
        <f>'BXCC Q loss'!K16</f>
        <v>0</v>
      </c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 x14ac:dyDescent="0.2">
      <c r="L79" s="132" t="s">
        <v>349</v>
      </c>
      <c r="M79">
        <f>'BXCC Q loss'!K17</f>
        <v>1130283.7358390023</v>
      </c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 x14ac:dyDescent="0.2">
      <c r="L80" s="132" t="s">
        <v>344</v>
      </c>
      <c r="M80">
        <f>'BXCC Q loss'!K18</f>
        <v>11769223.514380522</v>
      </c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12:34" x14ac:dyDescent="0.2">
      <c r="L81" s="132" t="s">
        <v>514</v>
      </c>
      <c r="M81">
        <f>'BXCC Q loss'!K19</f>
        <v>18724.874589407413</v>
      </c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12:34" x14ac:dyDescent="0.2">
      <c r="L82" s="132" t="s">
        <v>516</v>
      </c>
      <c r="M82">
        <f>'BXCC Q loss'!K20</f>
        <v>0</v>
      </c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12:34" x14ac:dyDescent="0.2">
      <c r="L83" s="132" t="s">
        <v>76</v>
      </c>
      <c r="M83">
        <f>'BXCC Q loss'!K21</f>
        <v>0</v>
      </c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12:34" x14ac:dyDescent="0.2">
      <c r="L84" s="132" t="s">
        <v>337</v>
      </c>
      <c r="M84">
        <f>'BXCC Q loss'!K22</f>
        <v>8272911.9437353415</v>
      </c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12:34" x14ac:dyDescent="0.2">
      <c r="L85" s="307" t="s">
        <v>732</v>
      </c>
      <c r="M85">
        <f>'BXCC Q loss'!U7</f>
        <v>1.6324158541495901E-11</v>
      </c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12:34" x14ac:dyDescent="0.2">
      <c r="L86" s="307" t="s">
        <v>733</v>
      </c>
      <c r="M86">
        <f>'BXCC Q loss'!U8</f>
        <v>-3.3648644901857331E-13</v>
      </c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12:34" x14ac:dyDescent="0.2">
      <c r="L87" s="307" t="s">
        <v>641</v>
      </c>
      <c r="M87">
        <f>'BXCC Q loss'!U9</f>
        <v>64083.573313384899</v>
      </c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12:34" x14ac:dyDescent="0.2">
      <c r="L88" s="307" t="s">
        <v>642</v>
      </c>
      <c r="M88">
        <f>'BXCC Q loss'!U10</f>
        <v>5820.7321553383954</v>
      </c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12:34" x14ac:dyDescent="0.2">
      <c r="L89" s="307" t="s">
        <v>734</v>
      </c>
      <c r="M89">
        <f>'BXCC Q loss'!U11</f>
        <v>1.20539567973109E-11</v>
      </c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12:34" x14ac:dyDescent="0.2">
      <c r="L90" s="307" t="s">
        <v>735</v>
      </c>
      <c r="M90">
        <f>'BXCC Q loss'!U12</f>
        <v>-6.0944432922802798E-10</v>
      </c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12:34" x14ac:dyDescent="0.2">
      <c r="L91" s="307" t="s">
        <v>643</v>
      </c>
      <c r="M91">
        <f>'BXCC Q loss'!U13</f>
        <v>4754.0865835986997</v>
      </c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12:34" x14ac:dyDescent="0.2">
      <c r="L92" s="307" t="s">
        <v>644</v>
      </c>
      <c r="M92">
        <f>'BXCC Q loss'!U14</f>
        <v>2251368.1944213752</v>
      </c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12:34" x14ac:dyDescent="0.2">
      <c r="L93" s="307" t="s">
        <v>645</v>
      </c>
      <c r="M93">
        <f>'BXCC Q loss'!U15</f>
        <v>0</v>
      </c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12:34" x14ac:dyDescent="0.2">
      <c r="L94" s="307" t="s">
        <v>646</v>
      </c>
      <c r="M94">
        <f>'BXCC Q loss'!U16</f>
        <v>0</v>
      </c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12:34" x14ac:dyDescent="0.2">
      <c r="L95" s="307" t="s">
        <v>647</v>
      </c>
      <c r="M95">
        <f>'BXCC Q loss'!U17</f>
        <v>0</v>
      </c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12:34" x14ac:dyDescent="0.2">
      <c r="L96" s="307" t="s">
        <v>648</v>
      </c>
      <c r="M96">
        <f>'BXCC Q loss'!U18</f>
        <v>0</v>
      </c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12:34" x14ac:dyDescent="0.2">
      <c r="L97" s="307" t="s">
        <v>736</v>
      </c>
      <c r="M97">
        <f>'BXCC Q loss'!U19</f>
        <v>0</v>
      </c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12:34" x14ac:dyDescent="0.2">
      <c r="L98" s="307" t="s">
        <v>649</v>
      </c>
      <c r="M98">
        <f>'BXCC Q loss'!U20</f>
        <v>0</v>
      </c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12:34" x14ac:dyDescent="0.2">
      <c r="L99" s="307" t="s">
        <v>650</v>
      </c>
      <c r="M99">
        <f>'BXCC Q loss'!U21</f>
        <v>0</v>
      </c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12:34" x14ac:dyDescent="0.2">
      <c r="L100" s="307" t="s">
        <v>651</v>
      </c>
      <c r="M100">
        <f>'BXCC Q loss'!U22</f>
        <v>123739.9739028094</v>
      </c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12:34" x14ac:dyDescent="0.2">
      <c r="L101" s="307" t="s">
        <v>652</v>
      </c>
      <c r="M101">
        <f>'BXCC Q loss'!U23</f>
        <v>0</v>
      </c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12:34" x14ac:dyDescent="0.2">
      <c r="L102" s="307" t="s">
        <v>653</v>
      </c>
      <c r="M102">
        <f>'BXCC Q loss'!U24</f>
        <v>7801.4912335556583</v>
      </c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12:34" x14ac:dyDescent="0.2">
      <c r="L103" s="307" t="s">
        <v>654</v>
      </c>
      <c r="M103">
        <f>'BXCC Q loss'!U25</f>
        <v>-1524.7511711524603</v>
      </c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12:34" x14ac:dyDescent="0.2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12:34" x14ac:dyDescent="0.2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12:34" x14ac:dyDescent="0.2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12:34" x14ac:dyDescent="0.2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12:34" x14ac:dyDescent="0.2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12:34" x14ac:dyDescent="0.2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12:34" x14ac:dyDescent="0.2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12:34" x14ac:dyDescent="0.2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5:U67"/>
  <sheetViews>
    <sheetView zoomScale="109" workbookViewId="0">
      <selection activeCell="W58" sqref="W58"/>
    </sheetView>
  </sheetViews>
  <sheetFormatPr baseColWidth="10" defaultColWidth="8.83203125" defaultRowHeight="15" x14ac:dyDescent="0.2"/>
  <cols>
    <col min="2" max="2" width="24" customWidth="1"/>
    <col min="3" max="3" width="13.1640625" bestFit="1" customWidth="1"/>
    <col min="5" max="5" width="13.1640625" bestFit="1" customWidth="1"/>
    <col min="7" max="7" width="13.1640625" bestFit="1" customWidth="1"/>
    <col min="9" max="9" width="11.1640625" bestFit="1" customWidth="1"/>
    <col min="10" max="10" width="9" bestFit="1" customWidth="1"/>
    <col min="11" max="11" width="11.1640625" bestFit="1" customWidth="1"/>
    <col min="17" max="17" width="13.1640625" bestFit="1" customWidth="1"/>
    <col min="18" max="18" width="9" bestFit="1" customWidth="1"/>
    <col min="19" max="19" width="12.6640625" bestFit="1" customWidth="1"/>
    <col min="20" max="20" width="9" bestFit="1" customWidth="1"/>
    <col min="21" max="21" width="10.1640625" bestFit="1" customWidth="1"/>
  </cols>
  <sheetData>
    <row r="5" spans="2:21" x14ac:dyDescent="0.2">
      <c r="B5" s="14"/>
      <c r="C5" s="431" t="s">
        <v>576</v>
      </c>
      <c r="D5" s="431"/>
      <c r="E5" s="431"/>
      <c r="F5" s="431"/>
      <c r="G5" s="431"/>
      <c r="H5" s="431"/>
      <c r="I5" s="431"/>
      <c r="J5" s="431"/>
      <c r="K5" s="431"/>
      <c r="L5" s="303"/>
      <c r="P5" s="132"/>
      <c r="Q5" s="431" t="s">
        <v>738</v>
      </c>
      <c r="R5" s="431"/>
      <c r="S5" s="431"/>
      <c r="T5" s="431"/>
      <c r="U5" s="431"/>
    </row>
    <row r="6" spans="2:21" x14ac:dyDescent="0.2">
      <c r="B6" s="14"/>
      <c r="C6" s="14"/>
      <c r="D6" s="14"/>
      <c r="E6" s="14"/>
      <c r="F6" s="14"/>
      <c r="G6" s="14"/>
      <c r="H6" s="14"/>
      <c r="I6" s="14"/>
      <c r="P6" s="132"/>
      <c r="Q6" s="14"/>
      <c r="R6" s="249"/>
      <c r="S6" s="14"/>
      <c r="T6" s="14"/>
    </row>
    <row r="7" spans="2:21" x14ac:dyDescent="0.2">
      <c r="B7" s="14"/>
      <c r="C7" s="14"/>
      <c r="D7" s="14"/>
      <c r="E7" s="14"/>
      <c r="F7" s="14"/>
      <c r="G7" s="14"/>
      <c r="I7" s="14"/>
      <c r="K7" s="304"/>
      <c r="L7" s="304"/>
      <c r="P7" s="307" t="s">
        <v>732</v>
      </c>
      <c r="Q7" cm="1">
        <f t="array" ref="Q7:U25">[1]!X_loss</f>
        <v>2.7035257213616101E-11</v>
      </c>
      <c r="R7" s="304">
        <v>0</v>
      </c>
      <c r="S7" s="311">
        <v>1.0711098672120199E-11</v>
      </c>
      <c r="T7" s="304">
        <v>0</v>
      </c>
      <c r="U7" s="314">
        <v>1.6324158541495901E-11</v>
      </c>
    </row>
    <row r="8" spans="2:21" x14ac:dyDescent="0.2">
      <c r="B8" s="132" t="s">
        <v>325</v>
      </c>
      <c r="C8" s="313" t="e" vm="2">
        <f ca="1">'MCC_Q_RUVY_matrices_mat_level '!F159</f>
        <v>#VALUE!</v>
      </c>
      <c r="D8" s="14"/>
      <c r="E8" s="313">
        <f>MCC_h_RUVY_matrices_mat_level!C213</f>
        <v>0</v>
      </c>
      <c r="F8" s="14"/>
      <c r="G8" s="313" t="e" vm="2">
        <f ca="1">'MCC_Q_RUVY_matrices_mat_level '!J159</f>
        <v>#VALUE!</v>
      </c>
      <c r="H8" s="14"/>
      <c r="I8" s="268" t="e" vm="2">
        <f ca="1">C8+E8-G8</f>
        <v>#VALUE!</v>
      </c>
      <c r="J8" s="311">
        <f>Ore_to_PI!AE78</f>
        <v>0.11873428951648668</v>
      </c>
      <c r="K8" s="305" t="e" vm="2">
        <f ca="1">I8*J8</f>
        <v>#VALUE!</v>
      </c>
      <c r="L8" s="315"/>
      <c r="P8" s="307" t="s">
        <v>733</v>
      </c>
      <c r="Q8" s="311">
        <v>-3.93451133810275E-13</v>
      </c>
      <c r="R8" s="304">
        <v>0</v>
      </c>
      <c r="S8" s="311">
        <v>-5.6964684791701695E-14</v>
      </c>
      <c r="T8" s="304">
        <v>0</v>
      </c>
      <c r="U8" s="314">
        <v>-3.3648644901857331E-13</v>
      </c>
    </row>
    <row r="9" spans="2:21" x14ac:dyDescent="0.2">
      <c r="B9" s="132" t="s">
        <v>326</v>
      </c>
      <c r="C9" s="313">
        <f>'MCC_Q_RUVY_matrices_mat_level '!F160</f>
        <v>-2525792.5552207916</v>
      </c>
      <c r="D9" s="14"/>
      <c r="E9" s="313">
        <f>MCC_h_RUVY_matrices_mat_level!C214</f>
        <v>0</v>
      </c>
      <c r="F9" s="14"/>
      <c r="G9" s="313">
        <f>'MCC_Q_RUVY_matrices_mat_level '!J160</f>
        <v>-2526311.4233977073</v>
      </c>
      <c r="H9" s="14"/>
      <c r="I9" s="268">
        <f t="shared" ref="I9:I22" si="0">C9+E9-G9</f>
        <v>518.86817691568285</v>
      </c>
      <c r="J9" s="311">
        <f>Ore_to_PI!AE159</f>
        <v>7.7827634225591802E-2</v>
      </c>
      <c r="K9" s="305">
        <f t="shared" ref="K9:K22" si="1">I9*J9</f>
        <v>40.382282684293422</v>
      </c>
      <c r="L9" s="315"/>
      <c r="P9" s="307" t="s">
        <v>641</v>
      </c>
      <c r="Q9" s="311">
        <v>80113.817233021196</v>
      </c>
      <c r="R9" s="304">
        <v>0</v>
      </c>
      <c r="S9" s="311">
        <v>16030.243919636299</v>
      </c>
      <c r="T9" s="304">
        <v>0</v>
      </c>
      <c r="U9" s="314">
        <v>64083.573313384899</v>
      </c>
    </row>
    <row r="10" spans="2:21" x14ac:dyDescent="0.2">
      <c r="B10" s="132" t="s">
        <v>327</v>
      </c>
      <c r="C10" s="313">
        <f>'MCC_Q_RUVY_matrices_mat_level '!F161</f>
        <v>9999138.500261236</v>
      </c>
      <c r="D10" s="14"/>
      <c r="E10" s="313">
        <f>MCC_h_RUVY_matrices_mat_level!C215</f>
        <v>80616.370239891301</v>
      </c>
      <c r="F10" s="14"/>
      <c r="G10" s="313">
        <f>'MCC_Q_RUVY_matrices_mat_level '!J161</f>
        <v>9954335.5824145433</v>
      </c>
      <c r="H10" s="14"/>
      <c r="I10" s="268">
        <f t="shared" si="0"/>
        <v>125419.28808658384</v>
      </c>
      <c r="J10" s="311">
        <f>Ore_to_PI!AF242</f>
        <v>7.7827634225591802E-2</v>
      </c>
      <c r="K10" s="305">
        <f t="shared" si="1"/>
        <v>9761.0864780367701</v>
      </c>
      <c r="L10" s="315"/>
      <c r="P10" s="307" t="s">
        <v>642</v>
      </c>
      <c r="Q10" s="311">
        <v>3207824.8619437884</v>
      </c>
      <c r="R10" s="304">
        <v>0</v>
      </c>
      <c r="S10" s="311">
        <v>3202004.12978845</v>
      </c>
      <c r="T10" s="304">
        <v>0</v>
      </c>
      <c r="U10" s="314">
        <v>5820.7321553383954</v>
      </c>
    </row>
    <row r="11" spans="2:21" x14ac:dyDescent="0.2">
      <c r="B11" s="132" t="s">
        <v>455</v>
      </c>
      <c r="C11" s="313">
        <f>'MCC_Q_RUVY_matrices_mat_level '!F162</f>
        <v>-6518321.9740549196</v>
      </c>
      <c r="D11" s="14"/>
      <c r="E11" s="313">
        <f>MCC_h_RUVY_matrices_mat_level!C216</f>
        <v>609792.2517593482</v>
      </c>
      <c r="F11" s="14"/>
      <c r="G11" s="313">
        <f>'MCC_Q_RUVY_matrices_mat_level '!J162</f>
        <v>-6518321.9740549196</v>
      </c>
      <c r="H11" s="14"/>
      <c r="I11" s="268">
        <f t="shared" si="0"/>
        <v>609792.25175934844</v>
      </c>
      <c r="J11" s="311">
        <f>Ore_to_PI!AX64</f>
        <v>5.0310246520202107E-4</v>
      </c>
      <c r="K11" s="305">
        <f t="shared" si="1"/>
        <v>306.78798512121966</v>
      </c>
      <c r="L11" s="315"/>
      <c r="P11" s="307" t="s">
        <v>734</v>
      </c>
      <c r="Q11" s="311">
        <v>3.9089210146248001E-11</v>
      </c>
      <c r="R11" s="304">
        <v>0</v>
      </c>
      <c r="S11" s="311">
        <v>2.7035253348937101E-11</v>
      </c>
      <c r="T11" s="304">
        <v>0</v>
      </c>
      <c r="U11" s="314">
        <v>1.20539567973109E-11</v>
      </c>
    </row>
    <row r="12" spans="2:21" x14ac:dyDescent="0.2">
      <c r="B12" s="132" t="s">
        <v>435</v>
      </c>
      <c r="C12" s="313">
        <f>'MCC_Q_RUVY_matrices_mat_level '!F163</f>
        <v>-2526033.0144413249</v>
      </c>
      <c r="D12" s="14"/>
      <c r="E12" s="313">
        <f>MCC_h_RUVY_matrices_mat_level!C217</f>
        <v>2824.8856477449194</v>
      </c>
      <c r="F12" s="14"/>
      <c r="G12" s="313">
        <f>'MCC_Q_RUVY_matrices_mat_level '!J163</f>
        <v>-2526033.0144413249</v>
      </c>
      <c r="H12" s="14"/>
      <c r="I12" s="268">
        <f t="shared" si="0"/>
        <v>2824.8856477448717</v>
      </c>
      <c r="J12" s="311">
        <f>Ore_to_PI!AY141</f>
        <v>0</v>
      </c>
      <c r="K12" s="305">
        <f t="shared" si="1"/>
        <v>0</v>
      </c>
      <c r="L12" s="315"/>
      <c r="P12" s="307" t="s">
        <v>735</v>
      </c>
      <c r="Q12" s="311">
        <v>-8.2794817109293496E-10</v>
      </c>
      <c r="R12" s="304">
        <v>0</v>
      </c>
      <c r="S12" s="311">
        <v>-2.1850384186490701E-10</v>
      </c>
      <c r="T12" s="304">
        <v>0</v>
      </c>
      <c r="U12" s="314">
        <v>-6.0944432922802798E-10</v>
      </c>
    </row>
    <row r="13" spans="2:21" x14ac:dyDescent="0.2">
      <c r="B13" s="132" t="s">
        <v>434</v>
      </c>
      <c r="C13" s="313">
        <f>'MCC_Q_RUVY_matrices_mat_level '!F164</f>
        <v>9977311.3783394694</v>
      </c>
      <c r="D13" s="14"/>
      <c r="E13" s="313">
        <f>MCC_h_RUVY_matrices_mat_level!C218</f>
        <v>282.1287710315147</v>
      </c>
      <c r="F13" s="14"/>
      <c r="G13" s="313">
        <f>'MCC_Q_RUVY_matrices_mat_level '!J164</f>
        <v>9977311.3783394694</v>
      </c>
      <c r="H13" s="14"/>
      <c r="I13" s="268">
        <f t="shared" si="0"/>
        <v>282.12877103127539</v>
      </c>
      <c r="J13" s="311">
        <f>Ore_to_PI!AY227</f>
        <v>0</v>
      </c>
      <c r="K13" s="305">
        <f t="shared" si="1"/>
        <v>0</v>
      </c>
      <c r="L13" s="315"/>
      <c r="P13" s="307" t="s">
        <v>643</v>
      </c>
      <c r="Q13" s="311">
        <v>10407.5335702297</v>
      </c>
      <c r="R13" s="304">
        <v>0</v>
      </c>
      <c r="S13" s="311">
        <v>5653.4469866310001</v>
      </c>
      <c r="T13" s="304">
        <v>0</v>
      </c>
      <c r="U13" s="314">
        <v>4754.0865835986997</v>
      </c>
    </row>
    <row r="14" spans="2:21" x14ac:dyDescent="0.2">
      <c r="B14" s="132" t="s">
        <v>351</v>
      </c>
      <c r="C14" s="313">
        <f>'MCC_Q_RUVY_matrices_mat_level '!F165</f>
        <v>-6518321.9740549196</v>
      </c>
      <c r="D14" s="14"/>
      <c r="E14" s="313">
        <f>MCC_h_RUVY_matrices_mat_level!C219</f>
        <v>12479.249680000003</v>
      </c>
      <c r="F14" s="14"/>
      <c r="G14" s="313">
        <f>'MCC_Q_RUVY_matrices_mat_level '!J165</f>
        <v>-6518321.9740549186</v>
      </c>
      <c r="H14" s="14"/>
      <c r="I14" s="268">
        <f t="shared" si="0"/>
        <v>12479.249679999426</v>
      </c>
      <c r="J14" s="311">
        <f>Ore_to_PI!BR74</f>
        <v>0.79422021199461379</v>
      </c>
      <c r="K14" s="305">
        <f t="shared" si="1"/>
        <v>9911.2723263828611</v>
      </c>
      <c r="L14" s="315"/>
      <c r="P14" s="307" t="s">
        <v>644</v>
      </c>
      <c r="Q14" s="311">
        <v>3284366.0335815852</v>
      </c>
      <c r="R14" s="304">
        <v>0</v>
      </c>
      <c r="S14" s="311">
        <v>1032997.83916021</v>
      </c>
      <c r="T14" s="304">
        <v>0</v>
      </c>
      <c r="U14" s="314">
        <v>2251368.1944213752</v>
      </c>
    </row>
    <row r="15" spans="2:21" x14ac:dyDescent="0.2">
      <c r="B15" s="132" t="s">
        <v>348</v>
      </c>
      <c r="C15" s="313">
        <f>'MCC_Q_RUVY_matrices_mat_level '!F166</f>
        <v>-2526033.0144413249</v>
      </c>
      <c r="D15" s="317" t="s">
        <v>371</v>
      </c>
      <c r="E15" s="313">
        <f>MCC_h_RUVY_matrices_mat_level!C220</f>
        <v>34.678095164114971</v>
      </c>
      <c r="F15" s="249" t="s">
        <v>378</v>
      </c>
      <c r="G15" s="313">
        <f>'MCC_Q_RUVY_matrices_mat_level '!J166</f>
        <v>-2526033.0144413249</v>
      </c>
      <c r="H15" s="249" t="s">
        <v>374</v>
      </c>
      <c r="I15" s="268">
        <f t="shared" si="0"/>
        <v>34.678095164243132</v>
      </c>
      <c r="J15" s="311">
        <f>Ore_to_PI!BT118</f>
        <v>0</v>
      </c>
      <c r="K15" s="305">
        <f t="shared" si="1"/>
        <v>0</v>
      </c>
      <c r="L15" s="315"/>
      <c r="P15" s="307" t="s">
        <v>645</v>
      </c>
      <c r="Q15" s="311">
        <v>4830.4442158522497</v>
      </c>
      <c r="R15" s="304" t="str">
        <v>-</v>
      </c>
      <c r="S15" s="311">
        <v>4830.4442158522497</v>
      </c>
      <c r="T15" s="304" t="str">
        <v>=</v>
      </c>
      <c r="U15" s="314">
        <v>0</v>
      </c>
    </row>
    <row r="16" spans="2:21" x14ac:dyDescent="0.2">
      <c r="B16" s="132" t="s">
        <v>362</v>
      </c>
      <c r="C16" s="313">
        <f>'MCC_Q_RUVY_matrices_mat_level '!F167</f>
        <v>9977311.3783394694</v>
      </c>
      <c r="D16" s="14"/>
      <c r="E16" s="313">
        <f>MCC_h_RUVY_matrices_mat_level!C221</f>
        <v>50.358084153937838</v>
      </c>
      <c r="F16" s="14"/>
      <c r="G16" s="313">
        <f>'MCC_Q_RUVY_matrices_mat_level '!J167</f>
        <v>9977311.3783394694</v>
      </c>
      <c r="H16" s="14"/>
      <c r="I16" s="268">
        <f t="shared" si="0"/>
        <v>50.35808415338397</v>
      </c>
      <c r="J16" s="311">
        <f>Ore_to_PI!BR227</f>
        <v>0</v>
      </c>
      <c r="K16" s="305">
        <f t="shared" si="1"/>
        <v>0</v>
      </c>
      <c r="L16" s="315"/>
      <c r="P16" s="307" t="s">
        <v>646</v>
      </c>
      <c r="Q16" s="311">
        <v>184686.52821315001</v>
      </c>
      <c r="R16" s="304">
        <v>0</v>
      </c>
      <c r="S16" s="311">
        <v>184686.52821315001</v>
      </c>
      <c r="T16" s="304">
        <v>0</v>
      </c>
      <c r="U16" s="314">
        <v>0</v>
      </c>
    </row>
    <row r="17" spans="2:21" x14ac:dyDescent="0.2">
      <c r="B17" s="132" t="s">
        <v>349</v>
      </c>
      <c r="C17" s="313">
        <f>'MCC_Q_RUVY_matrices_mat_level '!F168</f>
        <v>-2701015.3480292945</v>
      </c>
      <c r="D17" s="14"/>
      <c r="E17" s="313">
        <f>MCC_h_RUVY_matrices_mat_level!C222</f>
        <v>0</v>
      </c>
      <c r="F17" s="14"/>
      <c r="G17" s="313">
        <f>'MCC_Q_RUVY_matrices_mat_level '!J168</f>
        <v>-4216175.4516681284</v>
      </c>
      <c r="H17" s="14"/>
      <c r="I17" s="268">
        <f t="shared" si="0"/>
        <v>1515160.1036388339</v>
      </c>
      <c r="J17" s="311">
        <f>Ore_to_PI!CL155</f>
        <v>0.74598303712227765</v>
      </c>
      <c r="K17" s="305">
        <f t="shared" si="1"/>
        <v>1130283.7358390023</v>
      </c>
      <c r="L17" s="315"/>
      <c r="P17" s="307" t="s">
        <v>647</v>
      </c>
      <c r="Q17" s="311">
        <v>5023.7890204089899</v>
      </c>
      <c r="R17" s="304">
        <v>0</v>
      </c>
      <c r="S17" s="311">
        <v>5023.7890204089899</v>
      </c>
      <c r="T17" s="304">
        <v>0</v>
      </c>
      <c r="U17" s="314">
        <v>0</v>
      </c>
    </row>
    <row r="18" spans="2:21" x14ac:dyDescent="0.2">
      <c r="B18" s="132" t="s">
        <v>344</v>
      </c>
      <c r="C18" s="313">
        <f>'MCC_Q_RUVY_matrices_mat_level '!F169</f>
        <v>9028104.9528587945</v>
      </c>
      <c r="D18" s="14"/>
      <c r="E18" s="313">
        <f>MCC_h_RUVY_matrices_mat_level!C223</f>
        <v>0</v>
      </c>
      <c r="F18" s="14"/>
      <c r="G18" s="313">
        <f>'MCC_Q_RUVY_matrices_mat_level '!J169</f>
        <v>-5491562.5150059424</v>
      </c>
      <c r="H18" s="14"/>
      <c r="I18" s="268">
        <f t="shared" si="0"/>
        <v>14519667.467864737</v>
      </c>
      <c r="J18" s="311">
        <f>Ore_to_PI!CN293</f>
        <v>0.81057114706162792</v>
      </c>
      <c r="K18" s="305">
        <f t="shared" si="1"/>
        <v>11769223.514380522</v>
      </c>
      <c r="L18" s="315"/>
      <c r="P18" s="307" t="s">
        <v>648</v>
      </c>
      <c r="Q18" s="311">
        <v>82.091627997489695</v>
      </c>
      <c r="R18" s="304">
        <v>0</v>
      </c>
      <c r="S18" s="311">
        <v>82.091627997489695</v>
      </c>
      <c r="T18" s="304">
        <v>0</v>
      </c>
      <c r="U18" s="314">
        <v>0</v>
      </c>
    </row>
    <row r="19" spans="2:21" x14ac:dyDescent="0.2">
      <c r="B19" s="132" t="s">
        <v>514</v>
      </c>
      <c r="C19" s="313">
        <f>'MCC_Q_RUVY_matrices_mat_level '!F170</f>
        <v>-79567.804564237085</v>
      </c>
      <c r="D19" s="14"/>
      <c r="E19" s="313">
        <f>MCC_h_RUVY_matrices_mat_level!C224</f>
        <v>33191.859393697465</v>
      </c>
      <c r="F19" s="14"/>
      <c r="G19" s="313">
        <f>'MCC_Q_RUVY_matrices_mat_level '!J170</f>
        <v>-67789.788088811649</v>
      </c>
      <c r="H19" s="14"/>
      <c r="I19" s="268">
        <f t="shared" si="0"/>
        <v>21413.842918272028</v>
      </c>
      <c r="J19" s="311">
        <f>Ore_to_PI!DG250</f>
        <v>0.87442850220171509</v>
      </c>
      <c r="K19" s="305">
        <f t="shared" si="1"/>
        <v>18724.874589407413</v>
      </c>
      <c r="L19" s="315"/>
      <c r="P19" s="307" t="s">
        <v>736</v>
      </c>
      <c r="Q19" s="311">
        <v>0</v>
      </c>
      <c r="R19" s="304">
        <v>0</v>
      </c>
      <c r="S19" s="311">
        <v>0</v>
      </c>
      <c r="T19" s="304">
        <v>0</v>
      </c>
      <c r="U19" s="314">
        <v>0</v>
      </c>
    </row>
    <row r="20" spans="2:21" x14ac:dyDescent="0.2">
      <c r="B20" s="132" t="s">
        <v>516</v>
      </c>
      <c r="C20" s="313">
        <f>'MCC_Q_RUVY_matrices_mat_level '!F171</f>
        <v>-67789.788088811649</v>
      </c>
      <c r="D20" s="14"/>
      <c r="E20" s="313">
        <f>MCC_h_RUVY_matrices_mat_level!C225</f>
        <v>0</v>
      </c>
      <c r="F20" s="14"/>
      <c r="G20" s="313">
        <f>'MCC_Q_RUVY_matrices_mat_level '!J171</f>
        <v>-67789.788088811649</v>
      </c>
      <c r="H20" s="14"/>
      <c r="I20" s="268">
        <f t="shared" si="0"/>
        <v>0</v>
      </c>
      <c r="J20" s="311">
        <v>0</v>
      </c>
      <c r="K20" s="305">
        <f t="shared" si="1"/>
        <v>0</v>
      </c>
      <c r="L20" s="315"/>
      <c r="P20" s="307" t="s">
        <v>649</v>
      </c>
      <c r="Q20" s="311">
        <v>43.206119998678503</v>
      </c>
      <c r="R20" s="304">
        <v>0</v>
      </c>
      <c r="S20" s="311">
        <v>43.206119998678503</v>
      </c>
      <c r="T20" s="304">
        <v>0</v>
      </c>
      <c r="U20" s="314">
        <v>0</v>
      </c>
    </row>
    <row r="21" spans="2:21" x14ac:dyDescent="0.2">
      <c r="B21" s="132" t="s">
        <v>76</v>
      </c>
      <c r="C21" s="313">
        <f>'MCC_Q_RUVY_matrices_mat_level '!F172</f>
        <v>-1492361.3787619509</v>
      </c>
      <c r="D21" s="14"/>
      <c r="E21" s="313">
        <f>MCC_h_RUVY_matrices_mat_level!C226</f>
        <v>0</v>
      </c>
      <c r="F21" s="14"/>
      <c r="G21" s="313">
        <f>'MCC_Q_RUVY_matrices_mat_level '!J172</f>
        <v>-1492361.3787619506</v>
      </c>
      <c r="H21" s="14"/>
      <c r="I21" s="268">
        <f t="shared" si="0"/>
        <v>0</v>
      </c>
      <c r="J21" s="311">
        <v>0</v>
      </c>
      <c r="K21" s="305">
        <f t="shared" si="1"/>
        <v>0</v>
      </c>
      <c r="L21" s="315"/>
      <c r="P21" s="307" t="s">
        <v>650</v>
      </c>
      <c r="Q21" s="311">
        <v>3749358.3680556798</v>
      </c>
      <c r="R21" s="304">
        <v>0</v>
      </c>
      <c r="S21" s="311">
        <v>3749358.3680556798</v>
      </c>
      <c r="T21" s="304">
        <v>0</v>
      </c>
      <c r="U21" s="314">
        <v>0</v>
      </c>
    </row>
    <row r="22" spans="2:21" x14ac:dyDescent="0.2">
      <c r="B22" s="132" t="s">
        <v>337</v>
      </c>
      <c r="C22" s="313">
        <f>'MCC_Q_RUVY_matrices_mat_level '!F173</f>
        <v>-1554599.2127971007</v>
      </c>
      <c r="D22" s="14"/>
      <c r="E22" s="313">
        <f>MCC_h_RUVY_matrices_mat_level!C227</f>
        <v>318930.1042317453</v>
      </c>
      <c r="F22" s="249"/>
      <c r="G22" s="313">
        <f>'MCC_Q_RUVY_matrices_mat_level '!J173</f>
        <v>-12421781.305216916</v>
      </c>
      <c r="H22" s="14"/>
      <c r="I22" s="268">
        <f t="shared" si="0"/>
        <v>11186112.196651561</v>
      </c>
      <c r="J22" s="311">
        <f>Ore_to_PI!FC161</f>
        <v>0.73956990581694204</v>
      </c>
      <c r="K22" s="305">
        <f t="shared" si="1"/>
        <v>8272911.9437353415</v>
      </c>
      <c r="L22" s="315"/>
      <c r="P22" s="307" t="s">
        <v>651</v>
      </c>
      <c r="Q22" s="311">
        <v>184686.52821315001</v>
      </c>
      <c r="R22" s="304">
        <v>0</v>
      </c>
      <c r="S22" s="311">
        <v>60946.554310340602</v>
      </c>
      <c r="T22" s="304">
        <v>0</v>
      </c>
      <c r="U22" s="314">
        <v>123739.9739028094</v>
      </c>
    </row>
    <row r="23" spans="2:21" ht="17" x14ac:dyDescent="0.2">
      <c r="B23" s="132"/>
      <c r="C23" s="14" t="s">
        <v>577</v>
      </c>
      <c r="D23" s="14"/>
      <c r="E23" s="312" t="s">
        <v>166</v>
      </c>
      <c r="F23" s="249"/>
      <c r="G23" s="52" t="s">
        <v>365</v>
      </c>
      <c r="H23" s="304"/>
      <c r="I23" s="249" t="s">
        <v>578</v>
      </c>
      <c r="J23" s="312" t="s">
        <v>250</v>
      </c>
      <c r="K23" s="316" t="s">
        <v>737</v>
      </c>
      <c r="L23" s="316"/>
      <c r="P23" s="307" t="s">
        <v>652</v>
      </c>
      <c r="Q23" s="311">
        <v>958.99457187396001</v>
      </c>
      <c r="R23" s="304">
        <v>0</v>
      </c>
      <c r="S23" s="311">
        <v>958.99457187396001</v>
      </c>
      <c r="T23" s="304">
        <v>0</v>
      </c>
      <c r="U23" s="314">
        <v>0</v>
      </c>
    </row>
    <row r="24" spans="2:21" x14ac:dyDescent="0.2">
      <c r="B24" s="132"/>
      <c r="C24" s="14"/>
      <c r="D24" s="14"/>
      <c r="E24" s="312"/>
      <c r="F24" s="249"/>
      <c r="G24" s="52"/>
      <c r="H24" s="304"/>
      <c r="I24" s="249"/>
      <c r="J24" s="312"/>
      <c r="K24" s="316"/>
      <c r="L24" s="316"/>
      <c r="P24" s="307" t="s">
        <v>653</v>
      </c>
      <c r="Q24" s="311">
        <v>99968.352638963552</v>
      </c>
      <c r="R24" s="304">
        <v>0</v>
      </c>
      <c r="S24" s="311">
        <v>92166.861405407893</v>
      </c>
      <c r="T24" s="304">
        <v>0</v>
      </c>
      <c r="U24" s="314">
        <v>7801.4912335556583</v>
      </c>
    </row>
    <row r="25" spans="2:21" x14ac:dyDescent="0.2">
      <c r="H25" s="303"/>
      <c r="I25" s="303"/>
      <c r="P25" s="307" t="s">
        <v>654</v>
      </c>
      <c r="Q25" s="311">
        <v>21683.690906267198</v>
      </c>
      <c r="R25" s="304">
        <v>0</v>
      </c>
      <c r="S25" s="311">
        <v>23208.442077419659</v>
      </c>
      <c r="T25" s="304">
        <v>0</v>
      </c>
      <c r="U25" s="314">
        <v>-1524.7511711524603</v>
      </c>
    </row>
    <row r="26" spans="2:21" ht="17" x14ac:dyDescent="0.2">
      <c r="Q26" s="14" t="s">
        <v>577</v>
      </c>
      <c r="R26" s="249"/>
      <c r="S26" s="52" t="s">
        <v>365</v>
      </c>
      <c r="T26" s="14"/>
      <c r="U26" s="303" t="s">
        <v>737</v>
      </c>
    </row>
    <row r="31" spans="2:21" x14ac:dyDescent="0.2">
      <c r="B31" s="304"/>
      <c r="C31" s="304" t="s">
        <v>265</v>
      </c>
    </row>
    <row r="32" spans="2:21" x14ac:dyDescent="0.2">
      <c r="B32" s="304"/>
      <c r="C32" s="304" t="s">
        <v>62</v>
      </c>
    </row>
    <row r="33" spans="2:9" x14ac:dyDescent="0.2">
      <c r="B33" s="14" t="s">
        <v>325</v>
      </c>
      <c r="C33" s="440">
        <f>Ore_to_PI!AD78</f>
        <v>338.15</v>
      </c>
    </row>
    <row r="34" spans="2:9" x14ac:dyDescent="0.2">
      <c r="B34" s="14" t="s">
        <v>326</v>
      </c>
      <c r="C34" s="440">
        <f>Ore_to_PI!AD159</f>
        <v>323.14999999999998</v>
      </c>
    </row>
    <row r="35" spans="2:9" x14ac:dyDescent="0.2">
      <c r="B35" s="14" t="s">
        <v>327</v>
      </c>
      <c r="C35" s="440">
        <f>Ore_to_PI!AE242</f>
        <v>323.14999999999998</v>
      </c>
    </row>
    <row r="36" spans="2:9" x14ac:dyDescent="0.2">
      <c r="B36" s="14" t="s">
        <v>455</v>
      </c>
      <c r="C36" s="440">
        <f>T_0</f>
        <v>298</v>
      </c>
    </row>
    <row r="37" spans="2:9" x14ac:dyDescent="0.2">
      <c r="B37" s="14" t="s">
        <v>435</v>
      </c>
      <c r="C37" s="440">
        <f>T_0</f>
        <v>298</v>
      </c>
    </row>
    <row r="38" spans="2:9" x14ac:dyDescent="0.2">
      <c r="B38" s="14" t="s">
        <v>434</v>
      </c>
      <c r="C38" s="440">
        <f>T_0</f>
        <v>298</v>
      </c>
    </row>
    <row r="39" spans="2:9" x14ac:dyDescent="0.2">
      <c r="B39" s="14" t="s">
        <v>351</v>
      </c>
      <c r="C39" s="441">
        <f>Ore_to_PI!BQ74</f>
        <v>1448.15</v>
      </c>
    </row>
    <row r="40" spans="2:9" x14ac:dyDescent="0.2">
      <c r="B40" s="14" t="s">
        <v>348</v>
      </c>
      <c r="C40" s="441">
        <f>Ore_to_PI!BS118</f>
        <v>298.14999999999998</v>
      </c>
    </row>
    <row r="41" spans="2:9" x14ac:dyDescent="0.2">
      <c r="B41" s="14" t="s">
        <v>362</v>
      </c>
      <c r="C41" s="441">
        <f>Ore_to_PI!BQ227</f>
        <v>298</v>
      </c>
    </row>
    <row r="42" spans="2:9" x14ac:dyDescent="0.2">
      <c r="B42" s="14" t="s">
        <v>349</v>
      </c>
      <c r="C42" s="440">
        <f>Ore_to_PI!CK155</f>
        <v>1173.1500000000001</v>
      </c>
    </row>
    <row r="43" spans="2:9" x14ac:dyDescent="0.2">
      <c r="B43" s="14" t="s">
        <v>344</v>
      </c>
      <c r="C43" s="440">
        <f>Ore_to_PI!CM293</f>
        <v>1573.15</v>
      </c>
    </row>
    <row r="44" spans="2:9" x14ac:dyDescent="0.2">
      <c r="B44" s="14" t="s">
        <v>514</v>
      </c>
      <c r="C44" s="441">
        <f>Ore_to_PI!DF250</f>
        <v>2373.15</v>
      </c>
    </row>
    <row r="45" spans="2:9" x14ac:dyDescent="0.2">
      <c r="B45" s="14" t="s">
        <v>516</v>
      </c>
      <c r="C45" s="440">
        <f>T_0</f>
        <v>298</v>
      </c>
    </row>
    <row r="46" spans="2:9" x14ac:dyDescent="0.2">
      <c r="B46" s="14" t="s">
        <v>76</v>
      </c>
      <c r="C46" s="440">
        <f>T_0</f>
        <v>298</v>
      </c>
      <c r="I46" s="303"/>
    </row>
    <row r="47" spans="2:9" x14ac:dyDescent="0.2">
      <c r="B47" s="14" t="s">
        <v>337</v>
      </c>
      <c r="C47" s="440">
        <f>Ore_to_PI!FB161</f>
        <v>1144.261</v>
      </c>
    </row>
    <row r="48" spans="2:9" x14ac:dyDescent="0.2">
      <c r="B48" s="307"/>
    </row>
    <row r="49" spans="2:2" x14ac:dyDescent="0.2">
      <c r="B49" s="307"/>
    </row>
    <row r="50" spans="2:2" x14ac:dyDescent="0.2">
      <c r="B50" s="307"/>
    </row>
    <row r="51" spans="2:2" x14ac:dyDescent="0.2">
      <c r="B51" s="307"/>
    </row>
    <row r="52" spans="2:2" x14ac:dyDescent="0.2">
      <c r="B52" s="307"/>
    </row>
    <row r="53" spans="2:2" x14ac:dyDescent="0.2">
      <c r="B53" s="307"/>
    </row>
    <row r="54" spans="2:2" x14ac:dyDescent="0.2">
      <c r="B54" s="307"/>
    </row>
    <row r="55" spans="2:2" x14ac:dyDescent="0.2">
      <c r="B55" s="307"/>
    </row>
    <row r="56" spans="2:2" x14ac:dyDescent="0.2">
      <c r="B56" s="307"/>
    </row>
    <row r="57" spans="2:2" x14ac:dyDescent="0.2">
      <c r="B57" s="307"/>
    </row>
    <row r="58" spans="2:2" x14ac:dyDescent="0.2">
      <c r="B58" s="307"/>
    </row>
    <row r="59" spans="2:2" x14ac:dyDescent="0.2">
      <c r="B59" s="307"/>
    </row>
    <row r="60" spans="2:2" x14ac:dyDescent="0.2">
      <c r="B60" s="307"/>
    </row>
    <row r="61" spans="2:2" x14ac:dyDescent="0.2">
      <c r="B61" s="307"/>
    </row>
    <row r="62" spans="2:2" x14ac:dyDescent="0.2">
      <c r="B62" s="307"/>
    </row>
    <row r="63" spans="2:2" x14ac:dyDescent="0.2">
      <c r="B63" s="307"/>
    </row>
    <row r="64" spans="2:2" x14ac:dyDescent="0.2">
      <c r="B64" s="307"/>
    </row>
    <row r="65" spans="2:5" x14ac:dyDescent="0.2">
      <c r="B65" s="307"/>
    </row>
    <row r="66" spans="2:5" x14ac:dyDescent="0.2">
      <c r="B66" s="307"/>
    </row>
    <row r="67" spans="2:5" x14ac:dyDescent="0.2">
      <c r="C67" s="14"/>
      <c r="E67" s="52"/>
    </row>
  </sheetData>
  <mergeCells count="2">
    <mergeCell ref="Q5:U5"/>
    <mergeCell ref="C5:K5"/>
  </mergeCells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topLeftCell="R121" workbookViewId="0"/>
  </sheetViews>
  <sheetFormatPr baseColWidth="10" defaultColWidth="8.83203125" defaultRowHeight="15" x14ac:dyDescent="0.2"/>
  <cols>
    <col min="1" max="1" width="50.6640625" bestFit="1" customWidth="1"/>
    <col min="2" max="39" width="8.5"/>
    <col min="40" max="40" width="50.6640625" bestFit="1" customWidth="1"/>
    <col min="41" max="57" width="8.5"/>
    <col min="58" max="58" width="50.6640625" bestFit="1" customWidth="1"/>
  </cols>
  <sheetData>
    <row r="1" spans="1:73" ht="112" x14ac:dyDescent="0.2">
      <c r="B1" s="308" t="s">
        <v>474</v>
      </c>
      <c r="AO1" s="308" t="s">
        <v>337</v>
      </c>
      <c r="AP1" s="308" t="s">
        <v>362</v>
      </c>
      <c r="AQ1" s="308" t="s">
        <v>327</v>
      </c>
      <c r="AR1" s="308" t="s">
        <v>434</v>
      </c>
      <c r="AS1" s="308" t="s">
        <v>516</v>
      </c>
      <c r="AT1" s="308" t="s">
        <v>514</v>
      </c>
      <c r="AU1" s="308" t="s">
        <v>344</v>
      </c>
      <c r="AV1" s="308" t="s">
        <v>351</v>
      </c>
      <c r="AW1" s="308" t="s">
        <v>325</v>
      </c>
      <c r="AX1" s="308" t="s">
        <v>455</v>
      </c>
      <c r="AY1" s="308" t="s">
        <v>348</v>
      </c>
      <c r="AZ1" s="308" t="s">
        <v>326</v>
      </c>
      <c r="BA1" s="308" t="s">
        <v>435</v>
      </c>
      <c r="BB1" s="308" t="s">
        <v>76</v>
      </c>
      <c r="BC1" s="308" t="s">
        <v>349</v>
      </c>
      <c r="BG1" s="308" t="s">
        <v>337</v>
      </c>
      <c r="BH1" s="308" t="s">
        <v>362</v>
      </c>
      <c r="BI1" s="308" t="s">
        <v>327</v>
      </c>
      <c r="BJ1" s="308" t="s">
        <v>434</v>
      </c>
      <c r="BK1" s="308" t="s">
        <v>516</v>
      </c>
      <c r="BL1" s="308" t="s">
        <v>514</v>
      </c>
      <c r="BM1" s="308" t="s">
        <v>344</v>
      </c>
      <c r="BN1" s="308" t="s">
        <v>351</v>
      </c>
      <c r="BO1" s="308" t="s">
        <v>325</v>
      </c>
      <c r="BP1" s="308" t="s">
        <v>455</v>
      </c>
      <c r="BQ1" s="308" t="s">
        <v>348</v>
      </c>
      <c r="BR1" s="308" t="s">
        <v>326</v>
      </c>
      <c r="BS1" s="308" t="s">
        <v>435</v>
      </c>
      <c r="BT1" s="308" t="s">
        <v>76</v>
      </c>
      <c r="BU1" s="308" t="s">
        <v>349</v>
      </c>
    </row>
    <row r="2" spans="1:73" x14ac:dyDescent="0.2">
      <c r="A2" s="307" t="s">
        <v>484</v>
      </c>
      <c r="B2" s="310">
        <v>1</v>
      </c>
      <c r="AN2" s="307" t="s">
        <v>484</v>
      </c>
      <c r="AO2" s="310">
        <v>0</v>
      </c>
      <c r="AP2" s="310">
        <v>0</v>
      </c>
      <c r="AQ2" s="310">
        <v>0</v>
      </c>
      <c r="AR2" s="310">
        <v>0</v>
      </c>
      <c r="AS2" s="310">
        <v>0</v>
      </c>
      <c r="AT2" s="310">
        <v>0</v>
      </c>
      <c r="AU2" s="310">
        <v>0</v>
      </c>
      <c r="AV2" s="310">
        <v>0</v>
      </c>
      <c r="AW2" s="310">
        <v>0</v>
      </c>
      <c r="AX2" s="310">
        <v>0</v>
      </c>
      <c r="AY2" s="310">
        <v>0</v>
      </c>
      <c r="AZ2" s="310">
        <v>0</v>
      </c>
      <c r="BA2" s="310">
        <v>0</v>
      </c>
      <c r="BB2" s="310">
        <v>0</v>
      </c>
      <c r="BC2" s="310">
        <v>0</v>
      </c>
      <c r="BF2" s="307" t="s">
        <v>484</v>
      </c>
      <c r="BG2" s="310">
        <v>0</v>
      </c>
      <c r="BH2" s="310">
        <v>0</v>
      </c>
      <c r="BI2" s="310">
        <v>0</v>
      </c>
      <c r="BJ2" s="310">
        <v>0</v>
      </c>
      <c r="BK2" s="310">
        <v>0</v>
      </c>
      <c r="BL2" s="310">
        <v>0</v>
      </c>
      <c r="BM2" s="310">
        <v>0</v>
      </c>
      <c r="BN2" s="310">
        <v>0</v>
      </c>
      <c r="BO2" s="310">
        <v>0</v>
      </c>
      <c r="BP2" s="310">
        <v>0</v>
      </c>
      <c r="BQ2" s="310">
        <v>0</v>
      </c>
      <c r="BR2" s="310">
        <v>0</v>
      </c>
      <c r="BS2" s="310">
        <v>0</v>
      </c>
      <c r="BT2" s="310">
        <v>0</v>
      </c>
      <c r="BU2" s="310">
        <v>0</v>
      </c>
    </row>
    <row r="3" spans="1:73" x14ac:dyDescent="0.2">
      <c r="A3" s="307" t="s">
        <v>421</v>
      </c>
      <c r="B3" s="310">
        <v>1</v>
      </c>
      <c r="AN3" s="307" t="s">
        <v>421</v>
      </c>
      <c r="AO3" s="310">
        <v>0</v>
      </c>
      <c r="AP3" s="310">
        <v>0</v>
      </c>
      <c r="AQ3" s="310">
        <v>0</v>
      </c>
      <c r="AR3" s="310">
        <v>0</v>
      </c>
      <c r="AS3" s="310">
        <v>0</v>
      </c>
      <c r="AT3" s="310">
        <v>0</v>
      </c>
      <c r="AU3" s="310">
        <v>0</v>
      </c>
      <c r="AV3" s="310">
        <v>0</v>
      </c>
      <c r="AW3" s="310">
        <v>0</v>
      </c>
      <c r="AX3" s="310">
        <v>0</v>
      </c>
      <c r="AY3" s="310">
        <v>0</v>
      </c>
      <c r="AZ3" s="310">
        <v>0</v>
      </c>
      <c r="BA3" s="310">
        <v>0</v>
      </c>
      <c r="BB3" s="310">
        <v>0</v>
      </c>
      <c r="BC3" s="310">
        <v>0</v>
      </c>
      <c r="BF3" s="307" t="s">
        <v>421</v>
      </c>
      <c r="BG3" s="310">
        <v>0</v>
      </c>
      <c r="BH3" s="310">
        <v>0</v>
      </c>
      <c r="BI3" s="310">
        <v>0</v>
      </c>
      <c r="BJ3" s="310">
        <v>0</v>
      </c>
      <c r="BK3" s="310">
        <v>0</v>
      </c>
      <c r="BL3" s="310">
        <v>0</v>
      </c>
      <c r="BM3" s="310">
        <v>0</v>
      </c>
      <c r="BN3" s="310">
        <v>0</v>
      </c>
      <c r="BO3" s="310">
        <v>0</v>
      </c>
      <c r="BP3" s="310">
        <v>0</v>
      </c>
      <c r="BQ3" s="310">
        <v>0</v>
      </c>
      <c r="BR3" s="310">
        <v>0</v>
      </c>
      <c r="BS3" s="310">
        <v>0</v>
      </c>
      <c r="BT3" s="310">
        <v>0</v>
      </c>
      <c r="BU3" s="310">
        <v>0</v>
      </c>
    </row>
    <row r="4" spans="1:73" x14ac:dyDescent="0.2">
      <c r="A4" s="307" t="s">
        <v>447</v>
      </c>
      <c r="B4" s="310">
        <v>1</v>
      </c>
      <c r="AN4" s="307" t="s">
        <v>447</v>
      </c>
      <c r="AO4" s="310">
        <v>0</v>
      </c>
      <c r="AP4" s="310">
        <v>0</v>
      </c>
      <c r="AQ4" s="310">
        <v>0</v>
      </c>
      <c r="AR4" s="310">
        <v>0</v>
      </c>
      <c r="AS4" s="310">
        <v>0</v>
      </c>
      <c r="AT4" s="310">
        <v>0</v>
      </c>
      <c r="AU4" s="310">
        <v>0</v>
      </c>
      <c r="AV4" s="310">
        <v>0</v>
      </c>
      <c r="AW4" s="310">
        <v>0</v>
      </c>
      <c r="AX4" s="310">
        <v>0</v>
      </c>
      <c r="AY4" s="310">
        <v>0</v>
      </c>
      <c r="AZ4" s="310">
        <v>0</v>
      </c>
      <c r="BA4" s="310">
        <v>0</v>
      </c>
      <c r="BB4" s="310">
        <v>0</v>
      </c>
      <c r="BC4" s="310">
        <v>0</v>
      </c>
      <c r="BF4" s="307" t="s">
        <v>447</v>
      </c>
      <c r="BG4" s="310">
        <v>0</v>
      </c>
      <c r="BH4" s="310">
        <v>0</v>
      </c>
      <c r="BI4" s="310">
        <v>0</v>
      </c>
      <c r="BJ4" s="310">
        <v>0</v>
      </c>
      <c r="BK4" s="310">
        <v>0</v>
      </c>
      <c r="BL4" s="310">
        <v>0</v>
      </c>
      <c r="BM4" s="310">
        <v>0</v>
      </c>
      <c r="BN4" s="310">
        <v>0</v>
      </c>
      <c r="BO4" s="310">
        <v>0</v>
      </c>
      <c r="BP4" s="310">
        <v>0</v>
      </c>
      <c r="BQ4" s="310">
        <v>0</v>
      </c>
      <c r="BR4" s="310">
        <v>0</v>
      </c>
      <c r="BS4" s="310">
        <v>0</v>
      </c>
      <c r="BT4" s="310">
        <v>0</v>
      </c>
      <c r="BU4" s="310">
        <v>0</v>
      </c>
    </row>
    <row r="5" spans="1:73" x14ac:dyDescent="0.2">
      <c r="A5" s="307" t="s">
        <v>445</v>
      </c>
      <c r="B5" s="310">
        <v>1</v>
      </c>
      <c r="AN5" s="307" t="s">
        <v>445</v>
      </c>
      <c r="AO5" s="310">
        <v>0</v>
      </c>
      <c r="AP5" s="310">
        <v>0</v>
      </c>
      <c r="AQ5" s="310">
        <v>0</v>
      </c>
      <c r="AR5" s="310">
        <v>0</v>
      </c>
      <c r="AS5" s="310">
        <v>0</v>
      </c>
      <c r="AT5" s="310">
        <v>0</v>
      </c>
      <c r="AU5" s="310">
        <v>0</v>
      </c>
      <c r="AV5" s="310">
        <v>0</v>
      </c>
      <c r="AW5" s="310">
        <v>0</v>
      </c>
      <c r="AX5" s="310">
        <v>0</v>
      </c>
      <c r="AY5" s="310">
        <v>0</v>
      </c>
      <c r="AZ5" s="310">
        <v>0</v>
      </c>
      <c r="BA5" s="310">
        <v>0</v>
      </c>
      <c r="BB5" s="310">
        <v>0</v>
      </c>
      <c r="BC5" s="310">
        <v>0</v>
      </c>
      <c r="BF5" s="307" t="s">
        <v>445</v>
      </c>
      <c r="BG5" s="310">
        <v>0</v>
      </c>
      <c r="BH5" s="310">
        <v>0</v>
      </c>
      <c r="BI5" s="310">
        <v>0</v>
      </c>
      <c r="BJ5" s="310">
        <v>0</v>
      </c>
      <c r="BK5" s="310">
        <v>0</v>
      </c>
      <c r="BL5" s="310">
        <v>0</v>
      </c>
      <c r="BM5" s="310">
        <v>0</v>
      </c>
      <c r="BN5" s="310">
        <v>0</v>
      </c>
      <c r="BO5" s="310">
        <v>0</v>
      </c>
      <c r="BP5" s="310">
        <v>0</v>
      </c>
      <c r="BQ5" s="310">
        <v>0</v>
      </c>
      <c r="BR5" s="310">
        <v>0</v>
      </c>
      <c r="BS5" s="310">
        <v>0</v>
      </c>
      <c r="BT5" s="310">
        <v>0</v>
      </c>
      <c r="BU5" s="310">
        <v>0</v>
      </c>
    </row>
    <row r="6" spans="1:73" x14ac:dyDescent="0.2">
      <c r="A6" s="307" t="s">
        <v>456</v>
      </c>
      <c r="B6" s="310">
        <v>1</v>
      </c>
      <c r="AN6" s="307" t="s">
        <v>456</v>
      </c>
      <c r="AO6" s="310">
        <v>0</v>
      </c>
      <c r="AP6" s="310">
        <v>0</v>
      </c>
      <c r="AQ6" s="310">
        <v>0</v>
      </c>
      <c r="AR6" s="310">
        <v>0</v>
      </c>
      <c r="AS6" s="310">
        <v>0</v>
      </c>
      <c r="AT6" s="310">
        <v>0</v>
      </c>
      <c r="AU6" s="310">
        <v>0</v>
      </c>
      <c r="AV6" s="310">
        <v>0</v>
      </c>
      <c r="AW6" s="310">
        <v>0</v>
      </c>
      <c r="AX6" s="310">
        <v>0</v>
      </c>
      <c r="AY6" s="310">
        <v>0</v>
      </c>
      <c r="AZ6" s="310">
        <v>0</v>
      </c>
      <c r="BA6" s="310">
        <v>0</v>
      </c>
      <c r="BB6" s="310">
        <v>0</v>
      </c>
      <c r="BC6" s="310">
        <v>0</v>
      </c>
      <c r="BF6" s="307" t="s">
        <v>456</v>
      </c>
      <c r="BG6" s="310">
        <v>0</v>
      </c>
      <c r="BH6" s="310">
        <v>0</v>
      </c>
      <c r="BI6" s="310">
        <v>0</v>
      </c>
      <c r="BJ6" s="310">
        <v>0</v>
      </c>
      <c r="BK6" s="310">
        <v>0</v>
      </c>
      <c r="BL6" s="310">
        <v>0</v>
      </c>
      <c r="BM6" s="310">
        <v>0</v>
      </c>
      <c r="BN6" s="310">
        <v>0</v>
      </c>
      <c r="BO6" s="310">
        <v>0</v>
      </c>
      <c r="BP6" s="310">
        <v>0</v>
      </c>
      <c r="BQ6" s="310">
        <v>0</v>
      </c>
      <c r="BR6" s="310">
        <v>0</v>
      </c>
      <c r="BS6" s="310">
        <v>0</v>
      </c>
      <c r="BT6" s="310">
        <v>0</v>
      </c>
      <c r="BU6" s="310">
        <v>0</v>
      </c>
    </row>
    <row r="7" spans="1:73" x14ac:dyDescent="0.2">
      <c r="A7" s="307" t="s">
        <v>430</v>
      </c>
      <c r="B7" s="310">
        <v>1</v>
      </c>
      <c r="AN7" s="307" t="s">
        <v>430</v>
      </c>
      <c r="AO7" s="310">
        <v>0</v>
      </c>
      <c r="AP7" s="310">
        <v>0</v>
      </c>
      <c r="AQ7" s="310">
        <v>0</v>
      </c>
      <c r="AR7" s="310">
        <v>0</v>
      </c>
      <c r="AS7" s="310">
        <v>0</v>
      </c>
      <c r="AT7" s="310">
        <v>0</v>
      </c>
      <c r="AU7" s="310">
        <v>0</v>
      </c>
      <c r="AV7" s="310">
        <v>0</v>
      </c>
      <c r="AW7" s="310">
        <v>0</v>
      </c>
      <c r="AX7" s="310">
        <v>0</v>
      </c>
      <c r="AY7" s="310">
        <v>0</v>
      </c>
      <c r="AZ7" s="310">
        <v>0</v>
      </c>
      <c r="BA7" s="310">
        <v>0</v>
      </c>
      <c r="BB7" s="310">
        <v>0</v>
      </c>
      <c r="BC7" s="310">
        <v>0</v>
      </c>
      <c r="BF7" s="307" t="s">
        <v>430</v>
      </c>
      <c r="BG7" s="310">
        <v>0</v>
      </c>
      <c r="BH7" s="310">
        <v>0</v>
      </c>
      <c r="BI7" s="310">
        <v>0</v>
      </c>
      <c r="BJ7" s="310">
        <v>0</v>
      </c>
      <c r="BK7" s="310">
        <v>0</v>
      </c>
      <c r="BL7" s="310">
        <v>0</v>
      </c>
      <c r="BM7" s="310">
        <v>0</v>
      </c>
      <c r="BN7" s="310">
        <v>0</v>
      </c>
      <c r="BO7" s="310">
        <v>0</v>
      </c>
      <c r="BP7" s="310">
        <v>0</v>
      </c>
      <c r="BQ7" s="310">
        <v>0</v>
      </c>
      <c r="BR7" s="310">
        <v>0</v>
      </c>
      <c r="BS7" s="310">
        <v>0</v>
      </c>
      <c r="BT7" s="310">
        <v>0</v>
      </c>
      <c r="BU7" s="310">
        <v>0</v>
      </c>
    </row>
    <row r="8" spans="1:73" x14ac:dyDescent="0.2">
      <c r="A8" s="307" t="s">
        <v>433</v>
      </c>
      <c r="B8" s="310">
        <v>1</v>
      </c>
      <c r="AN8" s="307" t="s">
        <v>433</v>
      </c>
      <c r="AO8" s="310">
        <v>0</v>
      </c>
      <c r="AP8" s="310">
        <v>0</v>
      </c>
      <c r="AQ8" s="310">
        <v>0</v>
      </c>
      <c r="AR8" s="310">
        <v>0</v>
      </c>
      <c r="AS8" s="310">
        <v>0</v>
      </c>
      <c r="AT8" s="310">
        <v>0</v>
      </c>
      <c r="AU8" s="310">
        <v>0</v>
      </c>
      <c r="AV8" s="310">
        <v>0</v>
      </c>
      <c r="AW8" s="310">
        <v>0</v>
      </c>
      <c r="AX8" s="310">
        <v>0</v>
      </c>
      <c r="AY8" s="310">
        <v>0</v>
      </c>
      <c r="AZ8" s="310">
        <v>0</v>
      </c>
      <c r="BA8" s="310">
        <v>0</v>
      </c>
      <c r="BB8" s="310">
        <v>0</v>
      </c>
      <c r="BC8" s="310">
        <v>0</v>
      </c>
      <c r="BF8" s="307" t="s">
        <v>433</v>
      </c>
      <c r="BG8" s="310">
        <v>0</v>
      </c>
      <c r="BH8" s="310">
        <v>0</v>
      </c>
      <c r="BI8" s="310">
        <v>0</v>
      </c>
      <c r="BJ8" s="310">
        <v>0</v>
      </c>
      <c r="BK8" s="310">
        <v>0</v>
      </c>
      <c r="BL8" s="310">
        <v>0</v>
      </c>
      <c r="BM8" s="310">
        <v>0</v>
      </c>
      <c r="BN8" s="310">
        <v>0</v>
      </c>
      <c r="BO8" s="310">
        <v>0</v>
      </c>
      <c r="BP8" s="310">
        <v>0</v>
      </c>
      <c r="BQ8" s="310">
        <v>0</v>
      </c>
      <c r="BR8" s="310">
        <v>0</v>
      </c>
      <c r="BS8" s="310">
        <v>0</v>
      </c>
      <c r="BT8" s="310">
        <v>0</v>
      </c>
      <c r="BU8" s="310">
        <v>0</v>
      </c>
    </row>
    <row r="9" spans="1:73" x14ac:dyDescent="0.2">
      <c r="A9" s="307" t="s">
        <v>336</v>
      </c>
      <c r="B9" s="310">
        <v>1</v>
      </c>
      <c r="AN9" s="307" t="s">
        <v>336</v>
      </c>
      <c r="AO9" s="310">
        <v>0</v>
      </c>
      <c r="AP9" s="310">
        <v>0</v>
      </c>
      <c r="AQ9" s="310">
        <v>0</v>
      </c>
      <c r="AR9" s="310">
        <v>0</v>
      </c>
      <c r="AS9" s="310">
        <v>0</v>
      </c>
      <c r="AT9" s="310">
        <v>0</v>
      </c>
      <c r="AU9" s="310">
        <v>0</v>
      </c>
      <c r="AV9" s="310">
        <v>0</v>
      </c>
      <c r="AW9" s="310">
        <v>0</v>
      </c>
      <c r="AX9" s="310">
        <v>0</v>
      </c>
      <c r="AY9" s="310">
        <v>0</v>
      </c>
      <c r="AZ9" s="310">
        <v>0</v>
      </c>
      <c r="BA9" s="310">
        <v>0</v>
      </c>
      <c r="BB9" s="310">
        <v>0</v>
      </c>
      <c r="BC9" s="310">
        <v>0</v>
      </c>
      <c r="BF9" s="307" t="s">
        <v>336</v>
      </c>
      <c r="BG9" s="310">
        <v>0</v>
      </c>
      <c r="BH9" s="310">
        <v>0</v>
      </c>
      <c r="BI9" s="310">
        <v>0</v>
      </c>
      <c r="BJ9" s="310">
        <v>0</v>
      </c>
      <c r="BK9" s="310">
        <v>0</v>
      </c>
      <c r="BL9" s="310">
        <v>0</v>
      </c>
      <c r="BM9" s="310">
        <v>0</v>
      </c>
      <c r="BN9" s="310">
        <v>0</v>
      </c>
      <c r="BO9" s="310">
        <v>0</v>
      </c>
      <c r="BP9" s="310">
        <v>0</v>
      </c>
      <c r="BQ9" s="310">
        <v>0</v>
      </c>
      <c r="BR9" s="310">
        <v>0</v>
      </c>
      <c r="BS9" s="310">
        <v>0</v>
      </c>
      <c r="BT9" s="310">
        <v>0</v>
      </c>
      <c r="BU9" s="310">
        <v>0</v>
      </c>
    </row>
    <row r="10" spans="1:73" x14ac:dyDescent="0.2">
      <c r="A10" s="307" t="s">
        <v>422</v>
      </c>
      <c r="B10" s="310">
        <v>1</v>
      </c>
      <c r="AN10" s="307" t="s">
        <v>422</v>
      </c>
      <c r="AO10" s="310">
        <v>0</v>
      </c>
      <c r="AP10" s="310">
        <v>0</v>
      </c>
      <c r="AQ10" s="310">
        <v>0</v>
      </c>
      <c r="AR10" s="310">
        <v>0</v>
      </c>
      <c r="AS10" s="310">
        <v>0</v>
      </c>
      <c r="AT10" s="310">
        <v>0</v>
      </c>
      <c r="AU10" s="310">
        <v>0</v>
      </c>
      <c r="AV10" s="310">
        <v>0</v>
      </c>
      <c r="AW10" s="310">
        <v>0</v>
      </c>
      <c r="AX10" s="310">
        <v>0</v>
      </c>
      <c r="AY10" s="310">
        <v>0</v>
      </c>
      <c r="AZ10" s="310">
        <v>0</v>
      </c>
      <c r="BA10" s="310">
        <v>0</v>
      </c>
      <c r="BB10" s="310">
        <v>0</v>
      </c>
      <c r="BC10" s="310">
        <v>0</v>
      </c>
      <c r="BF10" s="307" t="s">
        <v>422</v>
      </c>
      <c r="BG10" s="310">
        <v>0</v>
      </c>
      <c r="BH10" s="310">
        <v>0</v>
      </c>
      <c r="BI10" s="310">
        <v>0</v>
      </c>
      <c r="BJ10" s="310">
        <v>0</v>
      </c>
      <c r="BK10" s="310">
        <v>0</v>
      </c>
      <c r="BL10" s="310">
        <v>0</v>
      </c>
      <c r="BM10" s="310">
        <v>0</v>
      </c>
      <c r="BN10" s="310">
        <v>0</v>
      </c>
      <c r="BO10" s="310">
        <v>0</v>
      </c>
      <c r="BP10" s="310">
        <v>0</v>
      </c>
      <c r="BQ10" s="310">
        <v>0</v>
      </c>
      <c r="BR10" s="310">
        <v>0</v>
      </c>
      <c r="BS10" s="310">
        <v>0</v>
      </c>
      <c r="BT10" s="310">
        <v>0</v>
      </c>
      <c r="BU10" s="310">
        <v>0</v>
      </c>
    </row>
    <row r="11" spans="1:73" x14ac:dyDescent="0.2">
      <c r="A11" s="307" t="s">
        <v>355</v>
      </c>
      <c r="B11" s="310">
        <v>1</v>
      </c>
      <c r="AN11" s="307" t="s">
        <v>355</v>
      </c>
      <c r="AO11" s="310">
        <v>0</v>
      </c>
      <c r="AP11" s="310">
        <v>0</v>
      </c>
      <c r="AQ11" s="310">
        <v>0</v>
      </c>
      <c r="AR11" s="310">
        <v>0</v>
      </c>
      <c r="AS11" s="310">
        <v>0</v>
      </c>
      <c r="AT11" s="310">
        <v>0</v>
      </c>
      <c r="AU11" s="310">
        <v>0</v>
      </c>
      <c r="AV11" s="310">
        <v>0</v>
      </c>
      <c r="AW11" s="310">
        <v>0</v>
      </c>
      <c r="AX11" s="310">
        <v>0</v>
      </c>
      <c r="AY11" s="310">
        <v>0</v>
      </c>
      <c r="AZ11" s="310">
        <v>0</v>
      </c>
      <c r="BA11" s="310">
        <v>0</v>
      </c>
      <c r="BB11" s="310">
        <v>0</v>
      </c>
      <c r="BC11" s="310">
        <v>0</v>
      </c>
      <c r="BF11" s="307" t="s">
        <v>355</v>
      </c>
      <c r="BG11" s="310">
        <v>0</v>
      </c>
      <c r="BH11" s="310">
        <v>0</v>
      </c>
      <c r="BI11" s="310">
        <v>0</v>
      </c>
      <c r="BJ11" s="310">
        <v>0</v>
      </c>
      <c r="BK11" s="310">
        <v>0</v>
      </c>
      <c r="BL11" s="310">
        <v>0</v>
      </c>
      <c r="BM11" s="310">
        <v>0</v>
      </c>
      <c r="BN11" s="310">
        <v>0</v>
      </c>
      <c r="BO11" s="310">
        <v>0</v>
      </c>
      <c r="BP11" s="310">
        <v>0</v>
      </c>
      <c r="BQ11" s="310">
        <v>0</v>
      </c>
      <c r="BR11" s="310">
        <v>0</v>
      </c>
      <c r="BS11" s="310">
        <v>0</v>
      </c>
      <c r="BT11" s="310">
        <v>0</v>
      </c>
      <c r="BU11" s="310">
        <v>0</v>
      </c>
    </row>
    <row r="12" spans="1:73" x14ac:dyDescent="0.2">
      <c r="A12" s="307" t="s">
        <v>416</v>
      </c>
      <c r="B12" s="310">
        <v>1</v>
      </c>
      <c r="AN12" s="307" t="s">
        <v>416</v>
      </c>
      <c r="AO12" s="310">
        <v>0</v>
      </c>
      <c r="AP12" s="310">
        <v>0</v>
      </c>
      <c r="AQ12" s="310">
        <v>0</v>
      </c>
      <c r="AR12" s="310">
        <v>0</v>
      </c>
      <c r="AS12" s="310">
        <v>0</v>
      </c>
      <c r="AT12" s="310">
        <v>0</v>
      </c>
      <c r="AU12" s="310">
        <v>0</v>
      </c>
      <c r="AV12" s="310">
        <v>0</v>
      </c>
      <c r="AW12" s="310">
        <v>0</v>
      </c>
      <c r="AX12" s="310">
        <v>0</v>
      </c>
      <c r="AY12" s="310">
        <v>0</v>
      </c>
      <c r="AZ12" s="310">
        <v>0</v>
      </c>
      <c r="BA12" s="310">
        <v>0</v>
      </c>
      <c r="BB12" s="310">
        <v>0</v>
      </c>
      <c r="BC12" s="310">
        <v>0</v>
      </c>
      <c r="BF12" s="307" t="s">
        <v>416</v>
      </c>
      <c r="BG12" s="310">
        <v>0</v>
      </c>
      <c r="BH12" s="310">
        <v>0</v>
      </c>
      <c r="BI12" s="310">
        <v>0</v>
      </c>
      <c r="BJ12" s="310">
        <v>0</v>
      </c>
      <c r="BK12" s="310">
        <v>0</v>
      </c>
      <c r="BL12" s="310">
        <v>0</v>
      </c>
      <c r="BM12" s="310">
        <v>0</v>
      </c>
      <c r="BN12" s="310">
        <v>0</v>
      </c>
      <c r="BO12" s="310">
        <v>0</v>
      </c>
      <c r="BP12" s="310">
        <v>0</v>
      </c>
      <c r="BQ12" s="310">
        <v>0</v>
      </c>
      <c r="BR12" s="310">
        <v>0</v>
      </c>
      <c r="BS12" s="310">
        <v>0</v>
      </c>
      <c r="BT12" s="310">
        <v>0</v>
      </c>
      <c r="BU12" s="310">
        <v>0</v>
      </c>
    </row>
    <row r="13" spans="1:73" x14ac:dyDescent="0.2">
      <c r="A13" s="307" t="s">
        <v>423</v>
      </c>
      <c r="B13" s="310">
        <v>1</v>
      </c>
      <c r="AN13" s="307" t="s">
        <v>423</v>
      </c>
      <c r="AO13" s="310">
        <v>0</v>
      </c>
      <c r="AP13" s="310">
        <v>0</v>
      </c>
      <c r="AQ13" s="310">
        <v>0</v>
      </c>
      <c r="AR13" s="310">
        <v>0</v>
      </c>
      <c r="AS13" s="310">
        <v>0</v>
      </c>
      <c r="AT13" s="310">
        <v>0</v>
      </c>
      <c r="AU13" s="310">
        <v>0</v>
      </c>
      <c r="AV13" s="310">
        <v>0</v>
      </c>
      <c r="AW13" s="310">
        <v>0</v>
      </c>
      <c r="AX13" s="310">
        <v>0</v>
      </c>
      <c r="AY13" s="310">
        <v>0</v>
      </c>
      <c r="AZ13" s="310">
        <v>0</v>
      </c>
      <c r="BA13" s="310">
        <v>0</v>
      </c>
      <c r="BB13" s="310">
        <v>0</v>
      </c>
      <c r="BC13" s="310">
        <v>0</v>
      </c>
      <c r="BF13" s="307" t="s">
        <v>423</v>
      </c>
      <c r="BG13" s="310">
        <v>0</v>
      </c>
      <c r="BH13" s="310">
        <v>0</v>
      </c>
      <c r="BI13" s="310">
        <v>0</v>
      </c>
      <c r="BJ13" s="310">
        <v>0</v>
      </c>
      <c r="BK13" s="310">
        <v>0</v>
      </c>
      <c r="BL13" s="310">
        <v>0</v>
      </c>
      <c r="BM13" s="310">
        <v>0</v>
      </c>
      <c r="BN13" s="310">
        <v>0</v>
      </c>
      <c r="BO13" s="310">
        <v>0</v>
      </c>
      <c r="BP13" s="310">
        <v>0</v>
      </c>
      <c r="BQ13" s="310">
        <v>0</v>
      </c>
      <c r="BR13" s="310">
        <v>0</v>
      </c>
      <c r="BS13" s="310">
        <v>0</v>
      </c>
      <c r="BT13" s="310">
        <v>0</v>
      </c>
      <c r="BU13" s="310">
        <v>0</v>
      </c>
    </row>
    <row r="14" spans="1:73" x14ac:dyDescent="0.2">
      <c r="A14" s="307" t="s">
        <v>409</v>
      </c>
      <c r="B14" s="310">
        <v>1</v>
      </c>
      <c r="AN14" s="307" t="s">
        <v>409</v>
      </c>
      <c r="AO14" s="310">
        <v>0</v>
      </c>
      <c r="AP14" s="310">
        <v>0</v>
      </c>
      <c r="AQ14" s="310">
        <v>0</v>
      </c>
      <c r="AR14" s="310">
        <v>0</v>
      </c>
      <c r="AS14" s="310">
        <v>0</v>
      </c>
      <c r="AT14" s="310">
        <v>0</v>
      </c>
      <c r="AU14" s="310">
        <v>0</v>
      </c>
      <c r="AV14" s="310">
        <v>0</v>
      </c>
      <c r="AW14" s="310">
        <v>0</v>
      </c>
      <c r="AX14" s="310">
        <v>0</v>
      </c>
      <c r="AY14" s="310">
        <v>0</v>
      </c>
      <c r="AZ14" s="310">
        <v>0</v>
      </c>
      <c r="BA14" s="310">
        <v>0</v>
      </c>
      <c r="BB14" s="310">
        <v>0</v>
      </c>
      <c r="BC14" s="310">
        <v>0</v>
      </c>
      <c r="BF14" s="307" t="s">
        <v>409</v>
      </c>
      <c r="BG14" s="310">
        <v>0</v>
      </c>
      <c r="BH14" s="310">
        <v>0</v>
      </c>
      <c r="BI14" s="310">
        <v>0</v>
      </c>
      <c r="BJ14" s="310">
        <v>0</v>
      </c>
      <c r="BK14" s="310">
        <v>0</v>
      </c>
      <c r="BL14" s="310">
        <v>0</v>
      </c>
      <c r="BM14" s="310">
        <v>0</v>
      </c>
      <c r="BN14" s="310">
        <v>0</v>
      </c>
      <c r="BO14" s="310">
        <v>0</v>
      </c>
      <c r="BP14" s="310">
        <v>0</v>
      </c>
      <c r="BQ14" s="310">
        <v>0</v>
      </c>
      <c r="BR14" s="310">
        <v>0</v>
      </c>
      <c r="BS14" s="310">
        <v>0</v>
      </c>
      <c r="BT14" s="310">
        <v>0</v>
      </c>
      <c r="BU14" s="310">
        <v>0</v>
      </c>
    </row>
    <row r="15" spans="1:73" x14ac:dyDescent="0.2">
      <c r="A15" s="307" t="s">
        <v>437</v>
      </c>
      <c r="B15" s="310">
        <v>1</v>
      </c>
      <c r="AN15" s="307" t="s">
        <v>437</v>
      </c>
      <c r="AO15" s="310">
        <v>0</v>
      </c>
      <c r="AP15" s="310">
        <v>0</v>
      </c>
      <c r="AQ15" s="310">
        <v>0</v>
      </c>
      <c r="AR15" s="310">
        <v>0</v>
      </c>
      <c r="AS15" s="310">
        <v>0</v>
      </c>
      <c r="AT15" s="310">
        <v>0</v>
      </c>
      <c r="AU15" s="310">
        <v>0</v>
      </c>
      <c r="AV15" s="310">
        <v>0</v>
      </c>
      <c r="AW15" s="310">
        <v>0</v>
      </c>
      <c r="AX15" s="310">
        <v>0</v>
      </c>
      <c r="AY15" s="310">
        <v>0</v>
      </c>
      <c r="AZ15" s="310">
        <v>0</v>
      </c>
      <c r="BA15" s="310">
        <v>0</v>
      </c>
      <c r="BB15" s="310">
        <v>0</v>
      </c>
      <c r="BC15" s="310">
        <v>0</v>
      </c>
      <c r="BF15" s="307" t="s">
        <v>437</v>
      </c>
      <c r="BG15" s="310">
        <v>0</v>
      </c>
      <c r="BH15" s="310">
        <v>0</v>
      </c>
      <c r="BI15" s="310">
        <v>0</v>
      </c>
      <c r="BJ15" s="310">
        <v>0</v>
      </c>
      <c r="BK15" s="310">
        <v>0</v>
      </c>
      <c r="BL15" s="310">
        <v>0</v>
      </c>
      <c r="BM15" s="310">
        <v>0</v>
      </c>
      <c r="BN15" s="310">
        <v>0</v>
      </c>
      <c r="BO15" s="310">
        <v>0</v>
      </c>
      <c r="BP15" s="310">
        <v>0</v>
      </c>
      <c r="BQ15" s="310">
        <v>0</v>
      </c>
      <c r="BR15" s="310">
        <v>0</v>
      </c>
      <c r="BS15" s="310">
        <v>0</v>
      </c>
      <c r="BT15" s="310">
        <v>0</v>
      </c>
      <c r="BU15" s="310">
        <v>0</v>
      </c>
    </row>
    <row r="16" spans="1:73" x14ac:dyDescent="0.2">
      <c r="A16" s="307" t="s">
        <v>342</v>
      </c>
      <c r="B16" s="310">
        <v>1</v>
      </c>
      <c r="AN16" s="307" t="s">
        <v>342</v>
      </c>
      <c r="AO16" s="310">
        <v>0</v>
      </c>
      <c r="AP16" s="310">
        <v>0</v>
      </c>
      <c r="AQ16" s="310">
        <v>0</v>
      </c>
      <c r="AR16" s="310">
        <v>0</v>
      </c>
      <c r="AS16" s="310">
        <v>0</v>
      </c>
      <c r="AT16" s="310">
        <v>0</v>
      </c>
      <c r="AU16" s="310">
        <v>0</v>
      </c>
      <c r="AV16" s="310">
        <v>0</v>
      </c>
      <c r="AW16" s="310">
        <v>0</v>
      </c>
      <c r="AX16" s="310">
        <v>0</v>
      </c>
      <c r="AY16" s="310">
        <v>0</v>
      </c>
      <c r="AZ16" s="310">
        <v>0</v>
      </c>
      <c r="BA16" s="310">
        <v>0</v>
      </c>
      <c r="BB16" s="310">
        <v>0</v>
      </c>
      <c r="BC16" s="310">
        <v>0</v>
      </c>
      <c r="BF16" s="307" t="s">
        <v>342</v>
      </c>
      <c r="BG16" s="310">
        <v>0</v>
      </c>
      <c r="BH16" s="310">
        <v>0</v>
      </c>
      <c r="BI16" s="310">
        <v>0</v>
      </c>
      <c r="BJ16" s="310">
        <v>0</v>
      </c>
      <c r="BK16" s="310">
        <v>0</v>
      </c>
      <c r="BL16" s="310">
        <v>0</v>
      </c>
      <c r="BM16" s="310">
        <v>0</v>
      </c>
      <c r="BN16" s="310">
        <v>0</v>
      </c>
      <c r="BO16" s="310">
        <v>0</v>
      </c>
      <c r="BP16" s="310">
        <v>0</v>
      </c>
      <c r="BQ16" s="310">
        <v>0</v>
      </c>
      <c r="BR16" s="310">
        <v>0</v>
      </c>
      <c r="BS16" s="310">
        <v>0</v>
      </c>
      <c r="BT16" s="310">
        <v>0</v>
      </c>
      <c r="BU16" s="310">
        <v>0</v>
      </c>
    </row>
    <row r="17" spans="1:73" x14ac:dyDescent="0.2">
      <c r="A17" s="307" t="s">
        <v>448</v>
      </c>
      <c r="B17" s="310">
        <v>1</v>
      </c>
      <c r="AN17" s="307" t="s">
        <v>448</v>
      </c>
      <c r="AO17" s="310">
        <v>0</v>
      </c>
      <c r="AP17" s="310">
        <v>0</v>
      </c>
      <c r="AQ17" s="310">
        <v>0</v>
      </c>
      <c r="AR17" s="310">
        <v>0</v>
      </c>
      <c r="AS17" s="310">
        <v>0</v>
      </c>
      <c r="AT17" s="310">
        <v>0</v>
      </c>
      <c r="AU17" s="310">
        <v>0</v>
      </c>
      <c r="AV17" s="310">
        <v>0</v>
      </c>
      <c r="AW17" s="310">
        <v>0</v>
      </c>
      <c r="AX17" s="310">
        <v>0</v>
      </c>
      <c r="AY17" s="310">
        <v>0</v>
      </c>
      <c r="AZ17" s="310">
        <v>0</v>
      </c>
      <c r="BA17" s="310">
        <v>0</v>
      </c>
      <c r="BB17" s="310">
        <v>0</v>
      </c>
      <c r="BC17" s="310">
        <v>0</v>
      </c>
      <c r="BF17" s="307" t="s">
        <v>448</v>
      </c>
      <c r="BG17" s="310">
        <v>0</v>
      </c>
      <c r="BH17" s="310">
        <v>0</v>
      </c>
      <c r="BI17" s="310">
        <v>0</v>
      </c>
      <c r="BJ17" s="310">
        <v>0</v>
      </c>
      <c r="BK17" s="310">
        <v>0</v>
      </c>
      <c r="BL17" s="310">
        <v>0</v>
      </c>
      <c r="BM17" s="310">
        <v>0</v>
      </c>
      <c r="BN17" s="310">
        <v>0</v>
      </c>
      <c r="BO17" s="310">
        <v>0</v>
      </c>
      <c r="BP17" s="310">
        <v>0</v>
      </c>
      <c r="BQ17" s="310">
        <v>0</v>
      </c>
      <c r="BR17" s="310">
        <v>0</v>
      </c>
      <c r="BS17" s="310">
        <v>0</v>
      </c>
      <c r="BT17" s="310">
        <v>0</v>
      </c>
      <c r="BU17" s="310">
        <v>0</v>
      </c>
    </row>
    <row r="18" spans="1:73" x14ac:dyDescent="0.2">
      <c r="A18" s="307" t="s">
        <v>462</v>
      </c>
      <c r="B18" s="310">
        <v>1</v>
      </c>
      <c r="AN18" s="307" t="s">
        <v>462</v>
      </c>
      <c r="AO18" s="310">
        <v>0</v>
      </c>
      <c r="AP18" s="310">
        <v>0</v>
      </c>
      <c r="AQ18" s="310">
        <v>0</v>
      </c>
      <c r="AR18" s="310">
        <v>0</v>
      </c>
      <c r="AS18" s="310">
        <v>0</v>
      </c>
      <c r="AT18" s="310">
        <v>0</v>
      </c>
      <c r="AU18" s="310">
        <v>0</v>
      </c>
      <c r="AV18" s="310">
        <v>0</v>
      </c>
      <c r="AW18" s="310">
        <v>0</v>
      </c>
      <c r="AX18" s="310">
        <v>0</v>
      </c>
      <c r="AY18" s="310">
        <v>0</v>
      </c>
      <c r="AZ18" s="310">
        <v>0</v>
      </c>
      <c r="BA18" s="310">
        <v>0</v>
      </c>
      <c r="BB18" s="310">
        <v>0</v>
      </c>
      <c r="BC18" s="310">
        <v>0</v>
      </c>
      <c r="BF18" s="307" t="s">
        <v>462</v>
      </c>
      <c r="BG18" s="310">
        <v>0</v>
      </c>
      <c r="BH18" s="310">
        <v>0</v>
      </c>
      <c r="BI18" s="310">
        <v>0</v>
      </c>
      <c r="BJ18" s="310">
        <v>0</v>
      </c>
      <c r="BK18" s="310">
        <v>0</v>
      </c>
      <c r="BL18" s="310">
        <v>0</v>
      </c>
      <c r="BM18" s="310">
        <v>0</v>
      </c>
      <c r="BN18" s="310">
        <v>0</v>
      </c>
      <c r="BO18" s="310">
        <v>0</v>
      </c>
      <c r="BP18" s="310">
        <v>0</v>
      </c>
      <c r="BQ18" s="310">
        <v>0</v>
      </c>
      <c r="BR18" s="310">
        <v>0</v>
      </c>
      <c r="BS18" s="310">
        <v>0</v>
      </c>
      <c r="BT18" s="310">
        <v>0</v>
      </c>
      <c r="BU18" s="310">
        <v>0</v>
      </c>
    </row>
    <row r="19" spans="1:73" x14ac:dyDescent="0.2">
      <c r="A19" s="307" t="s">
        <v>439</v>
      </c>
      <c r="B19" s="310">
        <v>1</v>
      </c>
      <c r="AN19" s="307" t="s">
        <v>439</v>
      </c>
      <c r="AO19" s="310">
        <v>0</v>
      </c>
      <c r="AP19" s="310">
        <v>0</v>
      </c>
      <c r="AQ19" s="310">
        <v>0</v>
      </c>
      <c r="AR19" s="310">
        <v>0</v>
      </c>
      <c r="AS19" s="310">
        <v>0</v>
      </c>
      <c r="AT19" s="310">
        <v>0</v>
      </c>
      <c r="AU19" s="310">
        <v>0</v>
      </c>
      <c r="AV19" s="310">
        <v>0</v>
      </c>
      <c r="AW19" s="310">
        <v>0</v>
      </c>
      <c r="AX19" s="310">
        <v>0</v>
      </c>
      <c r="AY19" s="310">
        <v>0</v>
      </c>
      <c r="AZ19" s="310">
        <v>0</v>
      </c>
      <c r="BA19" s="310">
        <v>0</v>
      </c>
      <c r="BB19" s="310">
        <v>0</v>
      </c>
      <c r="BC19" s="310">
        <v>0</v>
      </c>
      <c r="BF19" s="307" t="s">
        <v>439</v>
      </c>
      <c r="BG19" s="310">
        <v>0</v>
      </c>
      <c r="BH19" s="310">
        <v>0</v>
      </c>
      <c r="BI19" s="310">
        <v>0</v>
      </c>
      <c r="BJ19" s="310">
        <v>0</v>
      </c>
      <c r="BK19" s="310">
        <v>0</v>
      </c>
      <c r="BL19" s="310">
        <v>0</v>
      </c>
      <c r="BM19" s="310">
        <v>0</v>
      </c>
      <c r="BN19" s="310">
        <v>0</v>
      </c>
      <c r="BO19" s="310">
        <v>0</v>
      </c>
      <c r="BP19" s="310">
        <v>0</v>
      </c>
      <c r="BQ19" s="310">
        <v>0</v>
      </c>
      <c r="BR19" s="310">
        <v>0</v>
      </c>
      <c r="BS19" s="310">
        <v>0</v>
      </c>
      <c r="BT19" s="310">
        <v>0</v>
      </c>
      <c r="BU19" s="310">
        <v>0</v>
      </c>
    </row>
    <row r="20" spans="1:73" x14ac:dyDescent="0.2">
      <c r="A20" s="307" t="s">
        <v>442</v>
      </c>
      <c r="B20" s="310">
        <v>1</v>
      </c>
      <c r="AN20" s="307" t="s">
        <v>442</v>
      </c>
      <c r="AO20" s="310">
        <v>0</v>
      </c>
      <c r="AP20" s="310">
        <v>0</v>
      </c>
      <c r="AQ20" s="310">
        <v>0</v>
      </c>
      <c r="AR20" s="310">
        <v>0</v>
      </c>
      <c r="AS20" s="310">
        <v>0</v>
      </c>
      <c r="AT20" s="310">
        <v>0</v>
      </c>
      <c r="AU20" s="310">
        <v>0</v>
      </c>
      <c r="AV20" s="310">
        <v>0</v>
      </c>
      <c r="AW20" s="310">
        <v>0</v>
      </c>
      <c r="AX20" s="310">
        <v>0</v>
      </c>
      <c r="AY20" s="310">
        <v>0</v>
      </c>
      <c r="AZ20" s="310">
        <v>0</v>
      </c>
      <c r="BA20" s="310">
        <v>0</v>
      </c>
      <c r="BB20" s="310">
        <v>0</v>
      </c>
      <c r="BC20" s="310">
        <v>0</v>
      </c>
      <c r="BF20" s="307" t="s">
        <v>442</v>
      </c>
      <c r="BG20" s="310">
        <v>0</v>
      </c>
      <c r="BH20" s="310">
        <v>0</v>
      </c>
      <c r="BI20" s="310">
        <v>0</v>
      </c>
      <c r="BJ20" s="310">
        <v>0</v>
      </c>
      <c r="BK20" s="310">
        <v>0</v>
      </c>
      <c r="BL20" s="310">
        <v>0</v>
      </c>
      <c r="BM20" s="310">
        <v>0</v>
      </c>
      <c r="BN20" s="310">
        <v>0</v>
      </c>
      <c r="BO20" s="310">
        <v>0</v>
      </c>
      <c r="BP20" s="310">
        <v>0</v>
      </c>
      <c r="BQ20" s="310">
        <v>0</v>
      </c>
      <c r="BR20" s="310">
        <v>0</v>
      </c>
      <c r="BS20" s="310">
        <v>0</v>
      </c>
      <c r="BT20" s="310">
        <v>0</v>
      </c>
      <c r="BU20" s="310">
        <v>0</v>
      </c>
    </row>
    <row r="21" spans="1:73" x14ac:dyDescent="0.2">
      <c r="A21" s="307" t="s">
        <v>441</v>
      </c>
      <c r="B21" s="310">
        <v>1</v>
      </c>
      <c r="AN21" s="307" t="s">
        <v>441</v>
      </c>
      <c r="AO21" s="310">
        <v>0</v>
      </c>
      <c r="AP21" s="310">
        <v>0</v>
      </c>
      <c r="AQ21" s="310">
        <v>0</v>
      </c>
      <c r="AR21" s="310">
        <v>0</v>
      </c>
      <c r="AS21" s="310">
        <v>0</v>
      </c>
      <c r="AT21" s="310">
        <v>0</v>
      </c>
      <c r="AU21" s="310">
        <v>0</v>
      </c>
      <c r="AV21" s="310">
        <v>0</v>
      </c>
      <c r="AW21" s="310">
        <v>0</v>
      </c>
      <c r="AX21" s="310">
        <v>0</v>
      </c>
      <c r="AY21" s="310">
        <v>0</v>
      </c>
      <c r="AZ21" s="310">
        <v>0</v>
      </c>
      <c r="BA21" s="310">
        <v>0</v>
      </c>
      <c r="BB21" s="310">
        <v>0</v>
      </c>
      <c r="BC21" s="310">
        <v>0</v>
      </c>
      <c r="BF21" s="307" t="s">
        <v>441</v>
      </c>
      <c r="BG21" s="310">
        <v>0</v>
      </c>
      <c r="BH21" s="310">
        <v>0</v>
      </c>
      <c r="BI21" s="310">
        <v>0</v>
      </c>
      <c r="BJ21" s="310">
        <v>0</v>
      </c>
      <c r="BK21" s="310">
        <v>0</v>
      </c>
      <c r="BL21" s="310">
        <v>0</v>
      </c>
      <c r="BM21" s="310">
        <v>0</v>
      </c>
      <c r="BN21" s="310">
        <v>0</v>
      </c>
      <c r="BO21" s="310">
        <v>0</v>
      </c>
      <c r="BP21" s="310">
        <v>0</v>
      </c>
      <c r="BQ21" s="310">
        <v>0</v>
      </c>
      <c r="BR21" s="310">
        <v>0</v>
      </c>
      <c r="BS21" s="310">
        <v>0</v>
      </c>
      <c r="BT21" s="310">
        <v>0</v>
      </c>
      <c r="BU21" s="310">
        <v>0</v>
      </c>
    </row>
    <row r="22" spans="1:73" x14ac:dyDescent="0.2">
      <c r="A22" s="307" t="s">
        <v>333</v>
      </c>
      <c r="B22" s="310">
        <v>1</v>
      </c>
      <c r="AN22" s="307" t="s">
        <v>333</v>
      </c>
      <c r="AO22" s="310">
        <v>0</v>
      </c>
      <c r="AP22" s="310">
        <v>0</v>
      </c>
      <c r="AQ22" s="310">
        <v>0</v>
      </c>
      <c r="AR22" s="310">
        <v>0</v>
      </c>
      <c r="AS22" s="310">
        <v>0</v>
      </c>
      <c r="AT22" s="310">
        <v>0</v>
      </c>
      <c r="AU22" s="310">
        <v>0</v>
      </c>
      <c r="AV22" s="310">
        <v>0</v>
      </c>
      <c r="AW22" s="310">
        <v>0</v>
      </c>
      <c r="AX22" s="310">
        <v>0</v>
      </c>
      <c r="AY22" s="310">
        <v>0</v>
      </c>
      <c r="AZ22" s="310">
        <v>0</v>
      </c>
      <c r="BA22" s="310">
        <v>0</v>
      </c>
      <c r="BB22" s="310">
        <v>0</v>
      </c>
      <c r="BC22" s="310">
        <v>0</v>
      </c>
      <c r="BF22" s="307" t="s">
        <v>333</v>
      </c>
      <c r="BG22" s="310">
        <v>0</v>
      </c>
      <c r="BH22" s="310">
        <v>0</v>
      </c>
      <c r="BI22" s="310">
        <v>0</v>
      </c>
      <c r="BJ22" s="310">
        <v>0</v>
      </c>
      <c r="BK22" s="310">
        <v>0</v>
      </c>
      <c r="BL22" s="310">
        <v>0</v>
      </c>
      <c r="BM22" s="310">
        <v>0</v>
      </c>
      <c r="BN22" s="310">
        <v>0</v>
      </c>
      <c r="BO22" s="310">
        <v>0</v>
      </c>
      <c r="BP22" s="310">
        <v>0</v>
      </c>
      <c r="BQ22" s="310">
        <v>0</v>
      </c>
      <c r="BR22" s="310">
        <v>0</v>
      </c>
      <c r="BS22" s="310">
        <v>0</v>
      </c>
      <c r="BT22" s="310">
        <v>0</v>
      </c>
      <c r="BU22" s="310">
        <v>0</v>
      </c>
    </row>
    <row r="23" spans="1:73" x14ac:dyDescent="0.2">
      <c r="A23" s="307" t="s">
        <v>438</v>
      </c>
      <c r="B23" s="310">
        <v>1</v>
      </c>
      <c r="AN23" s="307" t="s">
        <v>438</v>
      </c>
      <c r="AO23" s="310">
        <v>0</v>
      </c>
      <c r="AP23" s="310">
        <v>0</v>
      </c>
      <c r="AQ23" s="310">
        <v>0</v>
      </c>
      <c r="AR23" s="310">
        <v>0</v>
      </c>
      <c r="AS23" s="310">
        <v>0</v>
      </c>
      <c r="AT23" s="310">
        <v>0</v>
      </c>
      <c r="AU23" s="310">
        <v>0</v>
      </c>
      <c r="AV23" s="310">
        <v>0</v>
      </c>
      <c r="AW23" s="310">
        <v>0</v>
      </c>
      <c r="AX23" s="310">
        <v>0</v>
      </c>
      <c r="AY23" s="310">
        <v>0</v>
      </c>
      <c r="AZ23" s="310">
        <v>0</v>
      </c>
      <c r="BA23" s="310">
        <v>0</v>
      </c>
      <c r="BB23" s="310">
        <v>0</v>
      </c>
      <c r="BC23" s="310">
        <v>0</v>
      </c>
      <c r="BF23" s="307" t="s">
        <v>438</v>
      </c>
      <c r="BG23" s="310">
        <v>0</v>
      </c>
      <c r="BH23" s="310">
        <v>0</v>
      </c>
      <c r="BI23" s="310">
        <v>0</v>
      </c>
      <c r="BJ23" s="310">
        <v>0</v>
      </c>
      <c r="BK23" s="310">
        <v>0</v>
      </c>
      <c r="BL23" s="310">
        <v>0</v>
      </c>
      <c r="BM23" s="310">
        <v>0</v>
      </c>
      <c r="BN23" s="310">
        <v>0</v>
      </c>
      <c r="BO23" s="310">
        <v>0</v>
      </c>
      <c r="BP23" s="310">
        <v>0</v>
      </c>
      <c r="BQ23" s="310">
        <v>0</v>
      </c>
      <c r="BR23" s="310">
        <v>0</v>
      </c>
      <c r="BS23" s="310">
        <v>0</v>
      </c>
      <c r="BT23" s="310">
        <v>0</v>
      </c>
      <c r="BU23" s="310">
        <v>0</v>
      </c>
    </row>
    <row r="24" spans="1:73" x14ac:dyDescent="0.2">
      <c r="A24" s="307" t="s">
        <v>426</v>
      </c>
      <c r="B24" s="310">
        <v>1</v>
      </c>
      <c r="AN24" s="307" t="s">
        <v>426</v>
      </c>
      <c r="AO24" s="310">
        <v>0</v>
      </c>
      <c r="AP24" s="310">
        <v>0</v>
      </c>
      <c r="AQ24" s="310">
        <v>0</v>
      </c>
      <c r="AR24" s="310">
        <v>0</v>
      </c>
      <c r="AS24" s="310">
        <v>0</v>
      </c>
      <c r="AT24" s="310">
        <v>0</v>
      </c>
      <c r="AU24" s="310">
        <v>0</v>
      </c>
      <c r="AV24" s="310">
        <v>0</v>
      </c>
      <c r="AW24" s="310">
        <v>0</v>
      </c>
      <c r="AX24" s="310">
        <v>0</v>
      </c>
      <c r="AY24" s="310">
        <v>0</v>
      </c>
      <c r="AZ24" s="310">
        <v>0</v>
      </c>
      <c r="BA24" s="310">
        <v>0</v>
      </c>
      <c r="BB24" s="310">
        <v>0</v>
      </c>
      <c r="BC24" s="310">
        <v>0</v>
      </c>
      <c r="BF24" s="307" t="s">
        <v>426</v>
      </c>
      <c r="BG24" s="310">
        <v>0</v>
      </c>
      <c r="BH24" s="310">
        <v>0</v>
      </c>
      <c r="BI24" s="310">
        <v>0</v>
      </c>
      <c r="BJ24" s="310">
        <v>0</v>
      </c>
      <c r="BK24" s="310">
        <v>0</v>
      </c>
      <c r="BL24" s="310">
        <v>0</v>
      </c>
      <c r="BM24" s="310">
        <v>0</v>
      </c>
      <c r="BN24" s="310">
        <v>0</v>
      </c>
      <c r="BO24" s="310">
        <v>0</v>
      </c>
      <c r="BP24" s="310">
        <v>0</v>
      </c>
      <c r="BQ24" s="310">
        <v>0</v>
      </c>
      <c r="BR24" s="310">
        <v>0</v>
      </c>
      <c r="BS24" s="310">
        <v>0</v>
      </c>
      <c r="BT24" s="310">
        <v>0</v>
      </c>
      <c r="BU24" s="310">
        <v>0</v>
      </c>
    </row>
    <row r="25" spans="1:73" x14ac:dyDescent="0.2">
      <c r="A25" s="307" t="s">
        <v>424</v>
      </c>
      <c r="B25" s="310">
        <v>1</v>
      </c>
      <c r="AN25" s="307" t="s">
        <v>424</v>
      </c>
      <c r="AO25" s="310">
        <v>0</v>
      </c>
      <c r="AP25" s="310">
        <v>0</v>
      </c>
      <c r="AQ25" s="310">
        <v>0</v>
      </c>
      <c r="AR25" s="310">
        <v>0</v>
      </c>
      <c r="AS25" s="310">
        <v>0</v>
      </c>
      <c r="AT25" s="310">
        <v>0</v>
      </c>
      <c r="AU25" s="310">
        <v>0</v>
      </c>
      <c r="AV25" s="310">
        <v>0</v>
      </c>
      <c r="AW25" s="310">
        <v>0</v>
      </c>
      <c r="AX25" s="310">
        <v>0</v>
      </c>
      <c r="AY25" s="310">
        <v>0</v>
      </c>
      <c r="AZ25" s="310">
        <v>0</v>
      </c>
      <c r="BA25" s="310">
        <v>0</v>
      </c>
      <c r="BB25" s="310">
        <v>0</v>
      </c>
      <c r="BC25" s="310">
        <v>0</v>
      </c>
      <c r="BF25" s="307" t="s">
        <v>424</v>
      </c>
      <c r="BG25" s="310">
        <v>0</v>
      </c>
      <c r="BH25" s="310">
        <v>0</v>
      </c>
      <c r="BI25" s="310">
        <v>0</v>
      </c>
      <c r="BJ25" s="310">
        <v>0</v>
      </c>
      <c r="BK25" s="310">
        <v>0</v>
      </c>
      <c r="BL25" s="310">
        <v>0</v>
      </c>
      <c r="BM25" s="310">
        <v>0</v>
      </c>
      <c r="BN25" s="310">
        <v>0</v>
      </c>
      <c r="BO25" s="310">
        <v>0</v>
      </c>
      <c r="BP25" s="310">
        <v>0</v>
      </c>
      <c r="BQ25" s="310">
        <v>0</v>
      </c>
      <c r="BR25" s="310">
        <v>0</v>
      </c>
      <c r="BS25" s="310">
        <v>0</v>
      </c>
      <c r="BT25" s="310">
        <v>0</v>
      </c>
      <c r="BU25" s="310">
        <v>0</v>
      </c>
    </row>
    <row r="26" spans="1:73" x14ac:dyDescent="0.2">
      <c r="A26" s="307" t="s">
        <v>412</v>
      </c>
      <c r="B26" s="310">
        <v>1</v>
      </c>
      <c r="AN26" s="307" t="s">
        <v>412</v>
      </c>
      <c r="AO26" s="310">
        <v>0</v>
      </c>
      <c r="AP26" s="310">
        <v>0</v>
      </c>
      <c r="AQ26" s="310">
        <v>0</v>
      </c>
      <c r="AR26" s="310">
        <v>0</v>
      </c>
      <c r="AS26" s="310">
        <v>0</v>
      </c>
      <c r="AT26" s="310">
        <v>0</v>
      </c>
      <c r="AU26" s="310">
        <v>0</v>
      </c>
      <c r="AV26" s="310">
        <v>0</v>
      </c>
      <c r="AW26" s="310">
        <v>0</v>
      </c>
      <c r="AX26" s="310">
        <v>0</v>
      </c>
      <c r="AY26" s="310">
        <v>0</v>
      </c>
      <c r="AZ26" s="310">
        <v>0</v>
      </c>
      <c r="BA26" s="310">
        <v>0</v>
      </c>
      <c r="BB26" s="310">
        <v>0</v>
      </c>
      <c r="BC26" s="310">
        <v>0</v>
      </c>
      <c r="BF26" s="307" t="s">
        <v>412</v>
      </c>
      <c r="BG26" s="310">
        <v>0</v>
      </c>
      <c r="BH26" s="310">
        <v>0</v>
      </c>
      <c r="BI26" s="310">
        <v>0</v>
      </c>
      <c r="BJ26" s="310">
        <v>0</v>
      </c>
      <c r="BK26" s="310">
        <v>0</v>
      </c>
      <c r="BL26" s="310">
        <v>0</v>
      </c>
      <c r="BM26" s="310">
        <v>0</v>
      </c>
      <c r="BN26" s="310">
        <v>0</v>
      </c>
      <c r="BO26" s="310">
        <v>0</v>
      </c>
      <c r="BP26" s="310">
        <v>0</v>
      </c>
      <c r="BQ26" s="310">
        <v>0</v>
      </c>
      <c r="BR26" s="310">
        <v>0</v>
      </c>
      <c r="BS26" s="310">
        <v>0</v>
      </c>
      <c r="BT26" s="310">
        <v>0</v>
      </c>
      <c r="BU26" s="310">
        <v>0</v>
      </c>
    </row>
    <row r="27" spans="1:73" x14ac:dyDescent="0.2">
      <c r="A27" s="307" t="s">
        <v>436</v>
      </c>
      <c r="B27" s="310">
        <v>1</v>
      </c>
      <c r="AN27" s="307" t="s">
        <v>436</v>
      </c>
      <c r="AO27" s="310">
        <v>0</v>
      </c>
      <c r="AP27" s="310">
        <v>0</v>
      </c>
      <c r="AQ27" s="310">
        <v>0</v>
      </c>
      <c r="AR27" s="310">
        <v>0</v>
      </c>
      <c r="AS27" s="310">
        <v>0</v>
      </c>
      <c r="AT27" s="310">
        <v>0</v>
      </c>
      <c r="AU27" s="310">
        <v>0</v>
      </c>
      <c r="AV27" s="310">
        <v>0</v>
      </c>
      <c r="AW27" s="310">
        <v>0</v>
      </c>
      <c r="AX27" s="310">
        <v>0</v>
      </c>
      <c r="AY27" s="310">
        <v>0</v>
      </c>
      <c r="AZ27" s="310">
        <v>0</v>
      </c>
      <c r="BA27" s="310">
        <v>0</v>
      </c>
      <c r="BB27" s="310">
        <v>0</v>
      </c>
      <c r="BC27" s="310">
        <v>0</v>
      </c>
      <c r="BF27" s="307" t="s">
        <v>436</v>
      </c>
      <c r="BG27" s="310">
        <v>0</v>
      </c>
      <c r="BH27" s="310">
        <v>0</v>
      </c>
      <c r="BI27" s="310">
        <v>0</v>
      </c>
      <c r="BJ27" s="310">
        <v>0</v>
      </c>
      <c r="BK27" s="310">
        <v>0</v>
      </c>
      <c r="BL27" s="310">
        <v>0</v>
      </c>
      <c r="BM27" s="310">
        <v>0</v>
      </c>
      <c r="BN27" s="310">
        <v>0</v>
      </c>
      <c r="BO27" s="310">
        <v>0</v>
      </c>
      <c r="BP27" s="310">
        <v>0</v>
      </c>
      <c r="BQ27" s="310">
        <v>0</v>
      </c>
      <c r="BR27" s="310">
        <v>0</v>
      </c>
      <c r="BS27" s="310">
        <v>0</v>
      </c>
      <c r="BT27" s="310">
        <v>0</v>
      </c>
      <c r="BU27" s="310">
        <v>0</v>
      </c>
    </row>
    <row r="28" spans="1:73" x14ac:dyDescent="0.2">
      <c r="A28" s="307" t="s">
        <v>335</v>
      </c>
      <c r="B28" s="310">
        <v>1</v>
      </c>
      <c r="AN28" s="307" t="s">
        <v>335</v>
      </c>
      <c r="AO28" s="310">
        <v>0</v>
      </c>
      <c r="AP28" s="310">
        <v>0</v>
      </c>
      <c r="AQ28" s="310">
        <v>0</v>
      </c>
      <c r="AR28" s="310">
        <v>0</v>
      </c>
      <c r="AS28" s="310">
        <v>0</v>
      </c>
      <c r="AT28" s="310">
        <v>0</v>
      </c>
      <c r="AU28" s="310">
        <v>0</v>
      </c>
      <c r="AV28" s="310">
        <v>0</v>
      </c>
      <c r="AW28" s="310">
        <v>0</v>
      </c>
      <c r="AX28" s="310">
        <v>0</v>
      </c>
      <c r="AY28" s="310">
        <v>0</v>
      </c>
      <c r="AZ28" s="310">
        <v>0</v>
      </c>
      <c r="BA28" s="310">
        <v>0</v>
      </c>
      <c r="BB28" s="310">
        <v>0</v>
      </c>
      <c r="BC28" s="310">
        <v>0</v>
      </c>
      <c r="BF28" s="307" t="s">
        <v>335</v>
      </c>
      <c r="BG28" s="310">
        <v>0</v>
      </c>
      <c r="BH28" s="310">
        <v>0</v>
      </c>
      <c r="BI28" s="310">
        <v>0</v>
      </c>
      <c r="BJ28" s="310">
        <v>0</v>
      </c>
      <c r="BK28" s="310">
        <v>0</v>
      </c>
      <c r="BL28" s="310">
        <v>0</v>
      </c>
      <c r="BM28" s="310">
        <v>0</v>
      </c>
      <c r="BN28" s="310">
        <v>0</v>
      </c>
      <c r="BO28" s="310">
        <v>0</v>
      </c>
      <c r="BP28" s="310">
        <v>0</v>
      </c>
      <c r="BQ28" s="310">
        <v>0</v>
      </c>
      <c r="BR28" s="310">
        <v>0</v>
      </c>
      <c r="BS28" s="310">
        <v>0</v>
      </c>
      <c r="BT28" s="310">
        <v>0</v>
      </c>
      <c r="BU28" s="310">
        <v>0</v>
      </c>
    </row>
    <row r="29" spans="1:73" x14ac:dyDescent="0.2">
      <c r="A29" s="307" t="s">
        <v>427</v>
      </c>
      <c r="B29" s="310">
        <v>1</v>
      </c>
      <c r="AN29" s="307" t="s">
        <v>427</v>
      </c>
      <c r="AO29" s="310">
        <v>0</v>
      </c>
      <c r="AP29" s="310">
        <v>0</v>
      </c>
      <c r="AQ29" s="310">
        <v>0</v>
      </c>
      <c r="AR29" s="310">
        <v>0</v>
      </c>
      <c r="AS29" s="310">
        <v>0</v>
      </c>
      <c r="AT29" s="310">
        <v>0</v>
      </c>
      <c r="AU29" s="310">
        <v>0</v>
      </c>
      <c r="AV29" s="310">
        <v>0</v>
      </c>
      <c r="AW29" s="310">
        <v>0</v>
      </c>
      <c r="AX29" s="310">
        <v>0</v>
      </c>
      <c r="AY29" s="310">
        <v>0</v>
      </c>
      <c r="AZ29" s="310">
        <v>0</v>
      </c>
      <c r="BA29" s="310">
        <v>0</v>
      </c>
      <c r="BB29" s="310">
        <v>0</v>
      </c>
      <c r="BC29" s="310">
        <v>0</v>
      </c>
      <c r="BF29" s="307" t="s">
        <v>427</v>
      </c>
      <c r="BG29" s="310">
        <v>0</v>
      </c>
      <c r="BH29" s="310">
        <v>0</v>
      </c>
      <c r="BI29" s="310">
        <v>0</v>
      </c>
      <c r="BJ29" s="310">
        <v>0</v>
      </c>
      <c r="BK29" s="310">
        <v>0</v>
      </c>
      <c r="BL29" s="310">
        <v>0</v>
      </c>
      <c r="BM29" s="310">
        <v>0</v>
      </c>
      <c r="BN29" s="310">
        <v>0</v>
      </c>
      <c r="BO29" s="310">
        <v>0</v>
      </c>
      <c r="BP29" s="310">
        <v>0</v>
      </c>
      <c r="BQ29" s="310">
        <v>0</v>
      </c>
      <c r="BR29" s="310">
        <v>0</v>
      </c>
      <c r="BS29" s="310">
        <v>0</v>
      </c>
      <c r="BT29" s="310">
        <v>0</v>
      </c>
      <c r="BU29" s="310">
        <v>0</v>
      </c>
    </row>
    <row r="30" spans="1:73" x14ac:dyDescent="0.2">
      <c r="A30" s="307" t="s">
        <v>463</v>
      </c>
      <c r="B30" s="310">
        <v>1</v>
      </c>
      <c r="AN30" s="307" t="s">
        <v>463</v>
      </c>
      <c r="AO30" s="310">
        <v>0</v>
      </c>
      <c r="AP30" s="310">
        <v>0</v>
      </c>
      <c r="AQ30" s="310">
        <v>0</v>
      </c>
      <c r="AR30" s="310">
        <v>0</v>
      </c>
      <c r="AS30" s="310">
        <v>0</v>
      </c>
      <c r="AT30" s="310">
        <v>0</v>
      </c>
      <c r="AU30" s="310">
        <v>0</v>
      </c>
      <c r="AV30" s="310">
        <v>0</v>
      </c>
      <c r="AW30" s="310">
        <v>0</v>
      </c>
      <c r="AX30" s="310">
        <v>0</v>
      </c>
      <c r="AY30" s="310">
        <v>0</v>
      </c>
      <c r="AZ30" s="310">
        <v>0</v>
      </c>
      <c r="BA30" s="310">
        <v>0</v>
      </c>
      <c r="BB30" s="310">
        <v>0</v>
      </c>
      <c r="BC30" s="310">
        <v>0</v>
      </c>
      <c r="BF30" s="307" t="s">
        <v>463</v>
      </c>
      <c r="BG30" s="310">
        <v>0</v>
      </c>
      <c r="BH30" s="310">
        <v>0</v>
      </c>
      <c r="BI30" s="310">
        <v>0</v>
      </c>
      <c r="BJ30" s="310">
        <v>0</v>
      </c>
      <c r="BK30" s="310">
        <v>0</v>
      </c>
      <c r="BL30" s="310">
        <v>0</v>
      </c>
      <c r="BM30" s="310">
        <v>0</v>
      </c>
      <c r="BN30" s="310">
        <v>0</v>
      </c>
      <c r="BO30" s="310">
        <v>0</v>
      </c>
      <c r="BP30" s="310">
        <v>0</v>
      </c>
      <c r="BQ30" s="310">
        <v>0</v>
      </c>
      <c r="BR30" s="310">
        <v>0</v>
      </c>
      <c r="BS30" s="310">
        <v>0</v>
      </c>
      <c r="BT30" s="310">
        <v>0</v>
      </c>
      <c r="BU30" s="310">
        <v>0</v>
      </c>
    </row>
    <row r="31" spans="1:73" x14ac:dyDescent="0.2">
      <c r="A31" s="307" t="s">
        <v>343</v>
      </c>
      <c r="B31" s="310">
        <v>1</v>
      </c>
      <c r="AN31" s="307" t="s">
        <v>343</v>
      </c>
      <c r="AO31" s="310">
        <v>0</v>
      </c>
      <c r="AP31" s="310">
        <v>0</v>
      </c>
      <c r="AQ31" s="310">
        <v>0</v>
      </c>
      <c r="AR31" s="310">
        <v>0</v>
      </c>
      <c r="AS31" s="310">
        <v>0</v>
      </c>
      <c r="AT31" s="310">
        <v>0</v>
      </c>
      <c r="AU31" s="310">
        <v>0</v>
      </c>
      <c r="AV31" s="310">
        <v>0</v>
      </c>
      <c r="AW31" s="310">
        <v>0</v>
      </c>
      <c r="AX31" s="310">
        <v>0</v>
      </c>
      <c r="AY31" s="310">
        <v>0</v>
      </c>
      <c r="AZ31" s="310">
        <v>0</v>
      </c>
      <c r="BA31" s="310">
        <v>0</v>
      </c>
      <c r="BB31" s="310">
        <v>0</v>
      </c>
      <c r="BC31" s="310">
        <v>0</v>
      </c>
      <c r="BF31" s="307" t="s">
        <v>343</v>
      </c>
      <c r="BG31" s="310">
        <v>0</v>
      </c>
      <c r="BH31" s="310">
        <v>0</v>
      </c>
      <c r="BI31" s="310">
        <v>0</v>
      </c>
      <c r="BJ31" s="310">
        <v>0</v>
      </c>
      <c r="BK31" s="310">
        <v>0</v>
      </c>
      <c r="BL31" s="310">
        <v>0</v>
      </c>
      <c r="BM31" s="310">
        <v>0</v>
      </c>
      <c r="BN31" s="310">
        <v>0</v>
      </c>
      <c r="BO31" s="310">
        <v>0</v>
      </c>
      <c r="BP31" s="310">
        <v>0</v>
      </c>
      <c r="BQ31" s="310">
        <v>0</v>
      </c>
      <c r="BR31" s="310">
        <v>0</v>
      </c>
      <c r="BS31" s="310">
        <v>0</v>
      </c>
      <c r="BT31" s="310">
        <v>0</v>
      </c>
      <c r="BU31" s="310">
        <v>0</v>
      </c>
    </row>
    <row r="32" spans="1:73" x14ac:dyDescent="0.2">
      <c r="A32" s="307" t="s">
        <v>446</v>
      </c>
      <c r="B32" s="310">
        <v>1</v>
      </c>
      <c r="AN32" s="307" t="s">
        <v>446</v>
      </c>
      <c r="AO32" s="310">
        <v>0</v>
      </c>
      <c r="AP32" s="310">
        <v>0</v>
      </c>
      <c r="AQ32" s="310">
        <v>0</v>
      </c>
      <c r="AR32" s="310">
        <v>0</v>
      </c>
      <c r="AS32" s="310">
        <v>0</v>
      </c>
      <c r="AT32" s="310">
        <v>0</v>
      </c>
      <c r="AU32" s="310">
        <v>0</v>
      </c>
      <c r="AV32" s="310">
        <v>0</v>
      </c>
      <c r="AW32" s="310">
        <v>0</v>
      </c>
      <c r="AX32" s="310">
        <v>0</v>
      </c>
      <c r="AY32" s="310">
        <v>0</v>
      </c>
      <c r="AZ32" s="310">
        <v>0</v>
      </c>
      <c r="BA32" s="310">
        <v>0</v>
      </c>
      <c r="BB32" s="310">
        <v>0</v>
      </c>
      <c r="BC32" s="310">
        <v>0</v>
      </c>
      <c r="BF32" s="307" t="s">
        <v>446</v>
      </c>
      <c r="BG32" s="310">
        <v>0</v>
      </c>
      <c r="BH32" s="310">
        <v>0</v>
      </c>
      <c r="BI32" s="310">
        <v>0</v>
      </c>
      <c r="BJ32" s="310">
        <v>0</v>
      </c>
      <c r="BK32" s="310">
        <v>0</v>
      </c>
      <c r="BL32" s="310">
        <v>0</v>
      </c>
      <c r="BM32" s="310">
        <v>0</v>
      </c>
      <c r="BN32" s="310">
        <v>0</v>
      </c>
      <c r="BO32" s="310">
        <v>0</v>
      </c>
      <c r="BP32" s="310">
        <v>0</v>
      </c>
      <c r="BQ32" s="310">
        <v>0</v>
      </c>
      <c r="BR32" s="310">
        <v>0</v>
      </c>
      <c r="BS32" s="310">
        <v>0</v>
      </c>
      <c r="BT32" s="310">
        <v>0</v>
      </c>
      <c r="BU32" s="310">
        <v>0</v>
      </c>
    </row>
    <row r="33" spans="1:73" x14ac:dyDescent="0.2">
      <c r="A33" s="307" t="s">
        <v>457</v>
      </c>
      <c r="B33" s="310">
        <v>1</v>
      </c>
      <c r="AN33" s="307" t="s">
        <v>457</v>
      </c>
      <c r="AO33" s="310">
        <v>0</v>
      </c>
      <c r="AP33" s="310">
        <v>0</v>
      </c>
      <c r="AQ33" s="310">
        <v>0</v>
      </c>
      <c r="AR33" s="310">
        <v>0</v>
      </c>
      <c r="AS33" s="310">
        <v>0</v>
      </c>
      <c r="AT33" s="310">
        <v>0</v>
      </c>
      <c r="AU33" s="310">
        <v>0</v>
      </c>
      <c r="AV33" s="310">
        <v>0</v>
      </c>
      <c r="AW33" s="310">
        <v>0</v>
      </c>
      <c r="AX33" s="310">
        <v>0</v>
      </c>
      <c r="AY33" s="310">
        <v>0</v>
      </c>
      <c r="AZ33" s="310">
        <v>0</v>
      </c>
      <c r="BA33" s="310">
        <v>0</v>
      </c>
      <c r="BB33" s="310">
        <v>0</v>
      </c>
      <c r="BC33" s="310">
        <v>0</v>
      </c>
      <c r="BF33" s="307" t="s">
        <v>457</v>
      </c>
      <c r="BG33" s="310">
        <v>0</v>
      </c>
      <c r="BH33" s="310">
        <v>0</v>
      </c>
      <c r="BI33" s="310">
        <v>0</v>
      </c>
      <c r="BJ33" s="310">
        <v>0</v>
      </c>
      <c r="BK33" s="310">
        <v>0</v>
      </c>
      <c r="BL33" s="310">
        <v>0</v>
      </c>
      <c r="BM33" s="310">
        <v>0</v>
      </c>
      <c r="BN33" s="310">
        <v>0</v>
      </c>
      <c r="BO33" s="310">
        <v>0</v>
      </c>
      <c r="BP33" s="310">
        <v>0</v>
      </c>
      <c r="BQ33" s="310">
        <v>0</v>
      </c>
      <c r="BR33" s="310">
        <v>0</v>
      </c>
      <c r="BS33" s="310">
        <v>0</v>
      </c>
      <c r="BT33" s="310">
        <v>0</v>
      </c>
      <c r="BU33" s="310">
        <v>0</v>
      </c>
    </row>
    <row r="34" spans="1:73" x14ac:dyDescent="0.2">
      <c r="A34" s="307" t="s">
        <v>425</v>
      </c>
      <c r="B34" s="310">
        <v>1</v>
      </c>
      <c r="AN34" s="307" t="s">
        <v>425</v>
      </c>
      <c r="AO34" s="310">
        <v>0</v>
      </c>
      <c r="AP34" s="310">
        <v>0</v>
      </c>
      <c r="AQ34" s="310">
        <v>0</v>
      </c>
      <c r="AR34" s="310">
        <v>0</v>
      </c>
      <c r="AS34" s="310">
        <v>0</v>
      </c>
      <c r="AT34" s="310">
        <v>0</v>
      </c>
      <c r="AU34" s="310">
        <v>0</v>
      </c>
      <c r="AV34" s="310">
        <v>0</v>
      </c>
      <c r="AW34" s="310">
        <v>0</v>
      </c>
      <c r="AX34" s="310">
        <v>0</v>
      </c>
      <c r="AY34" s="310">
        <v>0</v>
      </c>
      <c r="AZ34" s="310">
        <v>0</v>
      </c>
      <c r="BA34" s="310">
        <v>0</v>
      </c>
      <c r="BB34" s="310">
        <v>0</v>
      </c>
      <c r="BC34" s="310">
        <v>0</v>
      </c>
      <c r="BF34" s="307" t="s">
        <v>425</v>
      </c>
      <c r="BG34" s="310">
        <v>0</v>
      </c>
      <c r="BH34" s="310">
        <v>0</v>
      </c>
      <c r="BI34" s="310">
        <v>0</v>
      </c>
      <c r="BJ34" s="310">
        <v>0</v>
      </c>
      <c r="BK34" s="310">
        <v>0</v>
      </c>
      <c r="BL34" s="310">
        <v>0</v>
      </c>
      <c r="BM34" s="310">
        <v>0</v>
      </c>
      <c r="BN34" s="310">
        <v>0</v>
      </c>
      <c r="BO34" s="310">
        <v>0</v>
      </c>
      <c r="BP34" s="310">
        <v>0</v>
      </c>
      <c r="BQ34" s="310">
        <v>0</v>
      </c>
      <c r="BR34" s="310">
        <v>0</v>
      </c>
      <c r="BS34" s="310">
        <v>0</v>
      </c>
      <c r="BT34" s="310">
        <v>0</v>
      </c>
      <c r="BU34" s="310">
        <v>0</v>
      </c>
    </row>
    <row r="35" spans="1:73" x14ac:dyDescent="0.2">
      <c r="A35" s="307" t="s">
        <v>552</v>
      </c>
      <c r="B35" s="310">
        <v>1</v>
      </c>
      <c r="AN35" s="307" t="s">
        <v>552</v>
      </c>
      <c r="AO35" s="310">
        <v>0</v>
      </c>
      <c r="AP35" s="310">
        <v>0</v>
      </c>
      <c r="AQ35" s="310">
        <v>0</v>
      </c>
      <c r="AR35" s="310">
        <v>0</v>
      </c>
      <c r="AS35" s="310">
        <v>0</v>
      </c>
      <c r="AT35" s="310">
        <v>0</v>
      </c>
      <c r="AU35" s="310">
        <v>0</v>
      </c>
      <c r="AV35" s="310">
        <v>0</v>
      </c>
      <c r="AW35" s="310">
        <v>0</v>
      </c>
      <c r="AX35" s="310">
        <v>0</v>
      </c>
      <c r="AY35" s="310">
        <v>0</v>
      </c>
      <c r="AZ35" s="310">
        <v>0</v>
      </c>
      <c r="BA35" s="310">
        <v>0</v>
      </c>
      <c r="BB35" s="310">
        <v>0</v>
      </c>
      <c r="BC35" s="310">
        <v>0</v>
      </c>
      <c r="BF35" s="307" t="s">
        <v>552</v>
      </c>
      <c r="BG35" s="310">
        <v>0</v>
      </c>
      <c r="BH35" s="310">
        <v>0</v>
      </c>
      <c r="BI35" s="310">
        <v>0</v>
      </c>
      <c r="BJ35" s="310">
        <v>0</v>
      </c>
      <c r="BK35" s="310">
        <v>0</v>
      </c>
      <c r="BL35" s="310">
        <v>0</v>
      </c>
      <c r="BM35" s="310">
        <v>0</v>
      </c>
      <c r="BN35" s="310">
        <v>0</v>
      </c>
      <c r="BO35" s="310">
        <v>0</v>
      </c>
      <c r="BP35" s="310">
        <v>0</v>
      </c>
      <c r="BQ35" s="310">
        <v>0</v>
      </c>
      <c r="BR35" s="310">
        <v>0</v>
      </c>
      <c r="BS35" s="310">
        <v>0</v>
      </c>
      <c r="BT35" s="310">
        <v>0</v>
      </c>
      <c r="BU35" s="310">
        <v>0</v>
      </c>
    </row>
    <row r="36" spans="1:73" x14ac:dyDescent="0.2">
      <c r="A36" s="307" t="s">
        <v>517</v>
      </c>
      <c r="B36" s="310">
        <v>1</v>
      </c>
      <c r="AN36" s="307" t="s">
        <v>517</v>
      </c>
      <c r="AO36" s="310">
        <v>0</v>
      </c>
      <c r="AP36" s="310">
        <v>0</v>
      </c>
      <c r="AQ36" s="310">
        <v>0</v>
      </c>
      <c r="AR36" s="310">
        <v>0</v>
      </c>
      <c r="AS36" s="310">
        <v>0</v>
      </c>
      <c r="AT36" s="310">
        <v>0</v>
      </c>
      <c r="AU36" s="310">
        <v>0</v>
      </c>
      <c r="AV36" s="310">
        <v>0</v>
      </c>
      <c r="AW36" s="310">
        <v>0</v>
      </c>
      <c r="AX36" s="310">
        <v>0</v>
      </c>
      <c r="AY36" s="310">
        <v>0</v>
      </c>
      <c r="AZ36" s="310">
        <v>0</v>
      </c>
      <c r="BA36" s="310">
        <v>0</v>
      </c>
      <c r="BB36" s="310">
        <v>0</v>
      </c>
      <c r="BC36" s="310">
        <v>0</v>
      </c>
      <c r="BF36" s="307" t="s">
        <v>517</v>
      </c>
      <c r="BG36" s="310">
        <v>0</v>
      </c>
      <c r="BH36" s="310">
        <v>0</v>
      </c>
      <c r="BI36" s="310">
        <v>0</v>
      </c>
      <c r="BJ36" s="310">
        <v>0</v>
      </c>
      <c r="BK36" s="310">
        <v>0</v>
      </c>
      <c r="BL36" s="310">
        <v>0</v>
      </c>
      <c r="BM36" s="310">
        <v>0</v>
      </c>
      <c r="BN36" s="310">
        <v>0</v>
      </c>
      <c r="BO36" s="310">
        <v>0</v>
      </c>
      <c r="BP36" s="310">
        <v>0</v>
      </c>
      <c r="BQ36" s="310">
        <v>0</v>
      </c>
      <c r="BR36" s="310">
        <v>0</v>
      </c>
      <c r="BS36" s="310">
        <v>0</v>
      </c>
      <c r="BT36" s="310">
        <v>0</v>
      </c>
      <c r="BU36" s="310">
        <v>0</v>
      </c>
    </row>
    <row r="37" spans="1:73" x14ac:dyDescent="0.2">
      <c r="A37" s="307" t="s">
        <v>515</v>
      </c>
      <c r="B37" s="310">
        <v>1</v>
      </c>
      <c r="AN37" s="307" t="s">
        <v>515</v>
      </c>
      <c r="AO37" s="310">
        <v>0</v>
      </c>
      <c r="AP37" s="310">
        <v>0</v>
      </c>
      <c r="AQ37" s="310">
        <v>0</v>
      </c>
      <c r="AR37" s="310">
        <v>0</v>
      </c>
      <c r="AS37" s="310">
        <v>0</v>
      </c>
      <c r="AT37" s="310">
        <v>0</v>
      </c>
      <c r="AU37" s="310">
        <v>0</v>
      </c>
      <c r="AV37" s="310">
        <v>0</v>
      </c>
      <c r="AW37" s="310">
        <v>0</v>
      </c>
      <c r="AX37" s="310">
        <v>0</v>
      </c>
      <c r="AY37" s="310">
        <v>0</v>
      </c>
      <c r="AZ37" s="310">
        <v>0</v>
      </c>
      <c r="BA37" s="310">
        <v>0</v>
      </c>
      <c r="BB37" s="310">
        <v>0</v>
      </c>
      <c r="BC37" s="310">
        <v>0</v>
      </c>
      <c r="BF37" s="307" t="s">
        <v>515</v>
      </c>
      <c r="BG37" s="310">
        <v>0</v>
      </c>
      <c r="BH37" s="310">
        <v>0</v>
      </c>
      <c r="BI37" s="310">
        <v>0</v>
      </c>
      <c r="BJ37" s="310">
        <v>0</v>
      </c>
      <c r="BK37" s="310">
        <v>0</v>
      </c>
      <c r="BL37" s="310">
        <v>0</v>
      </c>
      <c r="BM37" s="310">
        <v>0</v>
      </c>
      <c r="BN37" s="310">
        <v>0</v>
      </c>
      <c r="BO37" s="310">
        <v>0</v>
      </c>
      <c r="BP37" s="310">
        <v>0</v>
      </c>
      <c r="BQ37" s="310">
        <v>0</v>
      </c>
      <c r="BR37" s="310">
        <v>0</v>
      </c>
      <c r="BS37" s="310">
        <v>0</v>
      </c>
      <c r="BT37" s="310">
        <v>0</v>
      </c>
      <c r="BU37" s="310">
        <v>0</v>
      </c>
    </row>
    <row r="38" spans="1:73" x14ac:dyDescent="0.2">
      <c r="B38" s="432" t="s">
        <v>473</v>
      </c>
      <c r="AO38" s="432" t="s">
        <v>671</v>
      </c>
      <c r="AP38" s="433"/>
      <c r="AQ38" s="433"/>
      <c r="AR38" s="433"/>
      <c r="AS38" s="433"/>
      <c r="AT38" s="433"/>
      <c r="AU38" s="433"/>
      <c r="AV38" s="433"/>
      <c r="AW38" s="433"/>
      <c r="AX38" s="433"/>
      <c r="AY38" s="433"/>
      <c r="AZ38" s="433"/>
      <c r="BA38" s="433"/>
      <c r="BB38" s="433"/>
      <c r="BC38" s="433"/>
      <c r="BG38" s="432" t="s">
        <v>672</v>
      </c>
      <c r="BH38" s="433"/>
      <c r="BI38" s="433"/>
      <c r="BJ38" s="433"/>
      <c r="BK38" s="433"/>
      <c r="BL38" s="433"/>
      <c r="BM38" s="433"/>
      <c r="BN38" s="433"/>
      <c r="BO38" s="433"/>
      <c r="BP38" s="433"/>
      <c r="BQ38" s="433"/>
      <c r="BR38" s="433"/>
      <c r="BS38" s="433"/>
      <c r="BT38" s="433"/>
      <c r="BU38" s="433"/>
    </row>
    <row r="41" spans="1:73" ht="112" x14ac:dyDescent="0.2">
      <c r="AO41" s="308" t="s">
        <v>337</v>
      </c>
      <c r="AP41" s="308" t="s">
        <v>362</v>
      </c>
      <c r="AQ41" s="308" t="s">
        <v>327</v>
      </c>
      <c r="AR41" s="308" t="s">
        <v>434</v>
      </c>
      <c r="AS41" s="308" t="s">
        <v>516</v>
      </c>
      <c r="AT41" s="308" t="s">
        <v>514</v>
      </c>
      <c r="AU41" s="308" t="s">
        <v>344</v>
      </c>
      <c r="AV41" s="308" t="s">
        <v>351</v>
      </c>
      <c r="AW41" s="308" t="s">
        <v>325</v>
      </c>
      <c r="AX41" s="308" t="s">
        <v>455</v>
      </c>
      <c r="AY41" s="308" t="s">
        <v>348</v>
      </c>
      <c r="AZ41" s="308" t="s">
        <v>326</v>
      </c>
      <c r="BA41" s="308" t="s">
        <v>435</v>
      </c>
      <c r="BB41" s="308" t="s">
        <v>76</v>
      </c>
      <c r="BC41" s="308" t="s">
        <v>349</v>
      </c>
    </row>
    <row r="42" spans="1:73" x14ac:dyDescent="0.2">
      <c r="AN42" s="307" t="s">
        <v>484</v>
      </c>
      <c r="AO42" s="310">
        <v>0</v>
      </c>
      <c r="AP42" s="310">
        <v>0</v>
      </c>
      <c r="AQ42" s="310">
        <v>0</v>
      </c>
      <c r="AR42" s="310">
        <v>0</v>
      </c>
      <c r="AS42" s="310">
        <v>0</v>
      </c>
      <c r="AT42" s="310">
        <v>0</v>
      </c>
      <c r="AU42" s="310">
        <v>0</v>
      </c>
      <c r="AV42" s="310">
        <v>0</v>
      </c>
      <c r="AW42" s="310">
        <v>0</v>
      </c>
      <c r="AX42" s="310">
        <v>0</v>
      </c>
      <c r="AY42" s="310">
        <v>0</v>
      </c>
      <c r="AZ42" s="310">
        <v>0</v>
      </c>
      <c r="BA42" s="310">
        <v>0</v>
      </c>
      <c r="BB42" s="310">
        <v>6408288.6211381704</v>
      </c>
      <c r="BC42" s="310">
        <v>0</v>
      </c>
    </row>
    <row r="43" spans="1:73" x14ac:dyDescent="0.2">
      <c r="AN43" s="307" t="s">
        <v>421</v>
      </c>
      <c r="AO43" s="310">
        <v>0</v>
      </c>
      <c r="AP43" s="310">
        <v>0</v>
      </c>
      <c r="AQ43" s="310">
        <v>0</v>
      </c>
      <c r="AR43" s="310">
        <v>0</v>
      </c>
      <c r="AS43" s="310">
        <v>0</v>
      </c>
      <c r="AT43" s="310">
        <v>0</v>
      </c>
      <c r="AU43" s="310">
        <v>0</v>
      </c>
      <c r="AV43" s="310">
        <v>0</v>
      </c>
      <c r="AW43" s="310">
        <v>0</v>
      </c>
      <c r="AX43" s="310">
        <v>0</v>
      </c>
      <c r="AY43" s="310">
        <v>0</v>
      </c>
      <c r="AZ43" s="310">
        <v>0</v>
      </c>
      <c r="BA43" s="310">
        <v>0</v>
      </c>
      <c r="BB43" s="310">
        <v>0</v>
      </c>
      <c r="BC43" s="310">
        <v>0</v>
      </c>
    </row>
    <row r="44" spans="1:73" x14ac:dyDescent="0.2">
      <c r="AN44" s="307" t="s">
        <v>447</v>
      </c>
      <c r="AO44" s="310">
        <v>0</v>
      </c>
      <c r="AP44" s="310">
        <v>0</v>
      </c>
      <c r="AQ44" s="310">
        <v>0</v>
      </c>
      <c r="AR44" s="310">
        <v>0</v>
      </c>
      <c r="AS44" s="310">
        <v>0</v>
      </c>
      <c r="AT44" s="310">
        <v>0</v>
      </c>
      <c r="AU44" s="310">
        <v>0</v>
      </c>
      <c r="AV44" s="310">
        <v>0</v>
      </c>
      <c r="AW44" s="310">
        <v>0</v>
      </c>
      <c r="AX44" s="310">
        <v>0</v>
      </c>
      <c r="AY44" s="310">
        <v>0</v>
      </c>
      <c r="AZ44" s="310">
        <v>0</v>
      </c>
      <c r="BA44" s="310">
        <v>0</v>
      </c>
      <c r="BB44" s="310">
        <v>0</v>
      </c>
      <c r="BC44" s="310">
        <v>0</v>
      </c>
    </row>
    <row r="45" spans="1:73" x14ac:dyDescent="0.2">
      <c r="AN45" s="307" t="s">
        <v>445</v>
      </c>
      <c r="AO45" s="310">
        <v>6684057.4589463603</v>
      </c>
      <c r="AP45" s="310">
        <v>0</v>
      </c>
      <c r="AQ45" s="310">
        <v>0</v>
      </c>
      <c r="AR45" s="310">
        <v>0</v>
      </c>
      <c r="AS45" s="310">
        <v>0</v>
      </c>
      <c r="AT45" s="310">
        <v>0</v>
      </c>
      <c r="AU45" s="310">
        <v>0</v>
      </c>
      <c r="AV45" s="310">
        <v>0</v>
      </c>
      <c r="AW45" s="310">
        <v>0</v>
      </c>
      <c r="AX45" s="310">
        <v>0</v>
      </c>
      <c r="AY45" s="310">
        <v>0</v>
      </c>
      <c r="AZ45" s="310">
        <v>0</v>
      </c>
      <c r="BA45" s="310">
        <v>0</v>
      </c>
      <c r="BB45" s="310">
        <v>0</v>
      </c>
      <c r="BC45" s="310">
        <v>0</v>
      </c>
    </row>
    <row r="46" spans="1:73" x14ac:dyDescent="0.2">
      <c r="AN46" s="307" t="s">
        <v>456</v>
      </c>
      <c r="AO46" s="310">
        <v>0</v>
      </c>
      <c r="AP46" s="310">
        <v>0</v>
      </c>
      <c r="AQ46" s="310">
        <v>0</v>
      </c>
      <c r="AR46" s="310">
        <v>0</v>
      </c>
      <c r="AS46" s="310">
        <v>0</v>
      </c>
      <c r="AT46" s="310">
        <v>0</v>
      </c>
      <c r="AU46" s="310">
        <v>8855804.3203369807</v>
      </c>
      <c r="AV46" s="310">
        <v>0</v>
      </c>
      <c r="AW46" s="310">
        <v>0</v>
      </c>
      <c r="AX46" s="310">
        <v>0</v>
      </c>
      <c r="AY46" s="310">
        <v>0</v>
      </c>
      <c r="AZ46" s="310">
        <v>0</v>
      </c>
      <c r="BA46" s="310">
        <v>0</v>
      </c>
      <c r="BB46" s="310">
        <v>0</v>
      </c>
      <c r="BC46" s="310">
        <v>0</v>
      </c>
    </row>
    <row r="47" spans="1:73" x14ac:dyDescent="0.2">
      <c r="AN47" s="307" t="s">
        <v>430</v>
      </c>
      <c r="AO47" s="310">
        <v>0</v>
      </c>
      <c r="AP47" s="310">
        <v>0</v>
      </c>
      <c r="AQ47" s="310">
        <v>0</v>
      </c>
      <c r="AR47" s="310">
        <v>8855804.3203369807</v>
      </c>
      <c r="AS47" s="310">
        <v>0</v>
      </c>
      <c r="AT47" s="310">
        <v>0</v>
      </c>
      <c r="AU47" s="310">
        <v>0</v>
      </c>
      <c r="AV47" s="310">
        <v>0</v>
      </c>
      <c r="AW47" s="310">
        <v>0</v>
      </c>
      <c r="AX47" s="310">
        <v>0</v>
      </c>
      <c r="AY47" s="310">
        <v>0</v>
      </c>
      <c r="AZ47" s="310">
        <v>0</v>
      </c>
      <c r="BA47" s="310">
        <v>0</v>
      </c>
      <c r="BB47" s="310">
        <v>0</v>
      </c>
      <c r="BC47" s="310">
        <v>0</v>
      </c>
    </row>
    <row r="48" spans="1:73" x14ac:dyDescent="0.2">
      <c r="AN48" s="307" t="s">
        <v>433</v>
      </c>
      <c r="AO48" s="310">
        <v>0</v>
      </c>
      <c r="AP48" s="310">
        <v>8855804.3203369807</v>
      </c>
      <c r="AQ48" s="310">
        <v>0</v>
      </c>
      <c r="AR48" s="310">
        <v>0</v>
      </c>
      <c r="AS48" s="310">
        <v>0</v>
      </c>
      <c r="AT48" s="310">
        <v>0</v>
      </c>
      <c r="AU48" s="310">
        <v>0</v>
      </c>
      <c r="AV48" s="310">
        <v>0</v>
      </c>
      <c r="AW48" s="310">
        <v>0</v>
      </c>
      <c r="AX48" s="310">
        <v>0</v>
      </c>
      <c r="AY48" s="310">
        <v>0</v>
      </c>
      <c r="AZ48" s="310">
        <v>0</v>
      </c>
      <c r="BA48" s="310">
        <v>0</v>
      </c>
      <c r="BB48" s="310">
        <v>0</v>
      </c>
      <c r="BC48" s="310">
        <v>0</v>
      </c>
    </row>
    <row r="49" spans="40:55" x14ac:dyDescent="0.2">
      <c r="AN49" s="307" t="s">
        <v>336</v>
      </c>
      <c r="AO49" s="310">
        <v>0</v>
      </c>
      <c r="AP49" s="310">
        <v>0</v>
      </c>
      <c r="AQ49" s="310">
        <v>8850991.3601140399</v>
      </c>
      <c r="AR49" s="310">
        <v>0</v>
      </c>
      <c r="AS49" s="310">
        <v>0</v>
      </c>
      <c r="AT49" s="310">
        <v>0</v>
      </c>
      <c r="AU49" s="310">
        <v>0</v>
      </c>
      <c r="AV49" s="310">
        <v>0</v>
      </c>
      <c r="AW49" s="310">
        <v>0</v>
      </c>
      <c r="AX49" s="310">
        <v>0</v>
      </c>
      <c r="AY49" s="310">
        <v>0</v>
      </c>
      <c r="AZ49" s="310">
        <v>0</v>
      </c>
      <c r="BA49" s="310">
        <v>0</v>
      </c>
      <c r="BB49" s="310">
        <v>0</v>
      </c>
      <c r="BC49" s="310">
        <v>0</v>
      </c>
    </row>
    <row r="50" spans="40:55" x14ac:dyDescent="0.2">
      <c r="AN50" s="307" t="s">
        <v>422</v>
      </c>
      <c r="AO50" s="310">
        <v>0</v>
      </c>
      <c r="AP50" s="310">
        <v>0</v>
      </c>
      <c r="AQ50" s="310">
        <v>0</v>
      </c>
      <c r="AR50" s="310">
        <v>0</v>
      </c>
      <c r="AS50" s="310">
        <v>0</v>
      </c>
      <c r="AT50" s="310">
        <v>4026178.1360752499</v>
      </c>
      <c r="AU50" s="310">
        <v>0</v>
      </c>
      <c r="AV50" s="310">
        <v>0</v>
      </c>
      <c r="AW50" s="310">
        <v>0</v>
      </c>
      <c r="AX50" s="310">
        <v>0</v>
      </c>
      <c r="AY50" s="310">
        <v>0</v>
      </c>
      <c r="AZ50" s="310">
        <v>0</v>
      </c>
      <c r="BA50" s="310">
        <v>0</v>
      </c>
      <c r="BB50" s="310">
        <v>0</v>
      </c>
      <c r="BC50" s="310">
        <v>0</v>
      </c>
    </row>
    <row r="51" spans="40:55" x14ac:dyDescent="0.2">
      <c r="AN51" s="307" t="s">
        <v>355</v>
      </c>
      <c r="AO51" s="310">
        <v>11826.742854693801</v>
      </c>
      <c r="AP51" s="310">
        <v>0</v>
      </c>
      <c r="AQ51" s="310">
        <v>30.954464502133501</v>
      </c>
      <c r="AR51" s="310">
        <v>0</v>
      </c>
      <c r="AS51" s="310">
        <v>0</v>
      </c>
      <c r="AT51" s="310">
        <v>0</v>
      </c>
      <c r="AU51" s="310">
        <v>14491.848717543</v>
      </c>
      <c r="AV51" s="310">
        <v>0</v>
      </c>
      <c r="AW51" s="310">
        <v>125.026374728874</v>
      </c>
      <c r="AX51" s="310">
        <v>0</v>
      </c>
      <c r="AY51" s="310">
        <v>0</v>
      </c>
      <c r="AZ51" s="310">
        <v>0.374842703513311</v>
      </c>
      <c r="BA51" s="310">
        <v>0</v>
      </c>
      <c r="BB51" s="310">
        <v>0</v>
      </c>
      <c r="BC51" s="310">
        <v>2671.5132120132398</v>
      </c>
    </row>
    <row r="52" spans="40:55" x14ac:dyDescent="0.2">
      <c r="AN52" s="307" t="s">
        <v>416</v>
      </c>
      <c r="AO52" s="310">
        <v>0</v>
      </c>
      <c r="AP52" s="310">
        <v>0</v>
      </c>
      <c r="AQ52" s="310">
        <v>0</v>
      </c>
      <c r="AR52" s="310">
        <v>0</v>
      </c>
      <c r="AS52" s="310">
        <v>0</v>
      </c>
      <c r="AT52" s="310">
        <v>0</v>
      </c>
      <c r="AU52" s="310">
        <v>0</v>
      </c>
      <c r="AV52" s="310">
        <v>0</v>
      </c>
      <c r="AW52" s="310">
        <v>0</v>
      </c>
      <c r="AX52" s="310">
        <v>0</v>
      </c>
      <c r="AY52" s="310">
        <v>0</v>
      </c>
      <c r="AZ52" s="310">
        <v>0</v>
      </c>
      <c r="BA52" s="310">
        <v>0</v>
      </c>
      <c r="BB52" s="310">
        <v>0</v>
      </c>
      <c r="BC52" s="310">
        <v>0</v>
      </c>
    </row>
    <row r="53" spans="40:55" x14ac:dyDescent="0.2">
      <c r="AN53" s="307" t="s">
        <v>423</v>
      </c>
      <c r="AO53" s="310">
        <v>0</v>
      </c>
      <c r="AP53" s="310">
        <v>0</v>
      </c>
      <c r="AQ53" s="310">
        <v>0</v>
      </c>
      <c r="AR53" s="310">
        <v>0</v>
      </c>
      <c r="AS53" s="310">
        <v>0</v>
      </c>
      <c r="AT53" s="310">
        <v>0</v>
      </c>
      <c r="AU53" s="310">
        <v>0</v>
      </c>
      <c r="AV53" s="310">
        <v>0</v>
      </c>
      <c r="AW53" s="310">
        <v>0</v>
      </c>
      <c r="AX53" s="310">
        <v>0</v>
      </c>
      <c r="AY53" s="310">
        <v>0</v>
      </c>
      <c r="AZ53" s="310">
        <v>0</v>
      </c>
      <c r="BA53" s="310">
        <v>0</v>
      </c>
      <c r="BB53" s="310">
        <v>0</v>
      </c>
      <c r="BC53" s="310">
        <v>0</v>
      </c>
    </row>
    <row r="54" spans="40:55" x14ac:dyDescent="0.2">
      <c r="AN54" s="307" t="s">
        <v>409</v>
      </c>
      <c r="AO54" s="310">
        <v>0</v>
      </c>
      <c r="AP54" s="310">
        <v>0</v>
      </c>
      <c r="AQ54" s="310">
        <v>0</v>
      </c>
      <c r="AR54" s="310">
        <v>0</v>
      </c>
      <c r="AS54" s="310">
        <v>0</v>
      </c>
      <c r="AT54" s="310">
        <v>0</v>
      </c>
      <c r="AU54" s="310">
        <v>0</v>
      </c>
      <c r="AV54" s="310">
        <v>0</v>
      </c>
      <c r="AW54" s="310">
        <v>0</v>
      </c>
      <c r="AX54" s="310">
        <v>0</v>
      </c>
      <c r="AY54" s="310">
        <v>0</v>
      </c>
      <c r="AZ54" s="310">
        <v>0</v>
      </c>
      <c r="BA54" s="310">
        <v>0</v>
      </c>
      <c r="BB54" s="310">
        <v>0</v>
      </c>
      <c r="BC54" s="310">
        <v>0</v>
      </c>
    </row>
    <row r="55" spans="40:55" x14ac:dyDescent="0.2">
      <c r="AN55" s="307" t="s">
        <v>437</v>
      </c>
      <c r="AO55" s="310">
        <v>0</v>
      </c>
      <c r="AP55" s="310">
        <v>0</v>
      </c>
      <c r="AQ55" s="310">
        <v>0</v>
      </c>
      <c r="AR55" s="310">
        <v>0</v>
      </c>
      <c r="AS55" s="310">
        <v>0</v>
      </c>
      <c r="AT55" s="310">
        <v>0</v>
      </c>
      <c r="AU55" s="310">
        <v>0</v>
      </c>
      <c r="AV55" s="310">
        <v>0</v>
      </c>
      <c r="AW55" s="310">
        <v>0</v>
      </c>
      <c r="AX55" s="310">
        <v>0</v>
      </c>
      <c r="AY55" s="310">
        <v>0</v>
      </c>
      <c r="AZ55" s="310">
        <v>0</v>
      </c>
      <c r="BA55" s="310">
        <v>0</v>
      </c>
      <c r="BB55" s="310">
        <v>0</v>
      </c>
      <c r="BC55" s="310">
        <v>0</v>
      </c>
    </row>
    <row r="56" spans="40:55" x14ac:dyDescent="0.2">
      <c r="AN56" s="307" t="s">
        <v>342</v>
      </c>
      <c r="AO56" s="310">
        <v>318930.104231745</v>
      </c>
      <c r="AP56" s="310">
        <v>50.358084153937803</v>
      </c>
      <c r="AQ56" s="310">
        <v>80616.370239891301</v>
      </c>
      <c r="AR56" s="310">
        <v>282.12877103151499</v>
      </c>
      <c r="AS56" s="310">
        <v>0</v>
      </c>
      <c r="AT56" s="310">
        <v>33191.859393697501</v>
      </c>
      <c r="AU56" s="310">
        <v>0</v>
      </c>
      <c r="AV56" s="310">
        <v>12626.098826338701</v>
      </c>
      <c r="AW56" s="310">
        <v>0</v>
      </c>
      <c r="AX56" s="310">
        <v>609792.25175934797</v>
      </c>
      <c r="AY56" s="310">
        <v>34.678095164115</v>
      </c>
      <c r="AZ56" s="310">
        <v>0</v>
      </c>
      <c r="BA56" s="310">
        <v>2824.8856477449199</v>
      </c>
      <c r="BB56" s="310">
        <v>0</v>
      </c>
      <c r="BC56" s="310">
        <v>0</v>
      </c>
    </row>
    <row r="57" spans="40:55" x14ac:dyDescent="0.2">
      <c r="AN57" s="307" t="s">
        <v>448</v>
      </c>
      <c r="AO57" s="310">
        <v>29112.263489807599</v>
      </c>
      <c r="AP57" s="310">
        <v>0</v>
      </c>
      <c r="AQ57" s="310">
        <v>0</v>
      </c>
      <c r="AR57" s="310">
        <v>0</v>
      </c>
      <c r="AS57" s="310">
        <v>0</v>
      </c>
      <c r="AT57" s="310">
        <v>0</v>
      </c>
      <c r="AU57" s="310">
        <v>0</v>
      </c>
      <c r="AV57" s="310">
        <v>0</v>
      </c>
      <c r="AW57" s="310">
        <v>0</v>
      </c>
      <c r="AX57" s="310">
        <v>0</v>
      </c>
      <c r="AY57" s="310">
        <v>0</v>
      </c>
      <c r="AZ57" s="310">
        <v>0</v>
      </c>
      <c r="BA57" s="310">
        <v>0</v>
      </c>
      <c r="BB57" s="310">
        <v>0</v>
      </c>
      <c r="BC57" s="310">
        <v>0</v>
      </c>
    </row>
    <row r="58" spans="40:55" x14ac:dyDescent="0.2">
      <c r="AN58" s="307" t="s">
        <v>462</v>
      </c>
      <c r="AO58" s="310">
        <v>0</v>
      </c>
      <c r="AP58" s="310">
        <v>0</v>
      </c>
      <c r="AQ58" s="310">
        <v>23309.045257575199</v>
      </c>
      <c r="AR58" s="310">
        <v>0</v>
      </c>
      <c r="AS58" s="310">
        <v>0</v>
      </c>
      <c r="AT58" s="310">
        <v>0</v>
      </c>
      <c r="AU58" s="310">
        <v>0</v>
      </c>
      <c r="AV58" s="310">
        <v>0</v>
      </c>
      <c r="AW58" s="310">
        <v>94146.207140653802</v>
      </c>
      <c r="AX58" s="310">
        <v>0</v>
      </c>
      <c r="AY58" s="310">
        <v>0</v>
      </c>
      <c r="AZ58" s="310">
        <v>257.99399332425401</v>
      </c>
      <c r="BA58" s="310">
        <v>0</v>
      </c>
      <c r="BB58" s="310">
        <v>0</v>
      </c>
      <c r="BC58" s="310">
        <v>0</v>
      </c>
    </row>
    <row r="59" spans="40:55" x14ac:dyDescent="0.2">
      <c r="AN59" s="307" t="s">
        <v>439</v>
      </c>
      <c r="AO59" s="310">
        <v>0</v>
      </c>
      <c r="AP59" s="310">
        <v>0</v>
      </c>
      <c r="AQ59" s="310">
        <v>0</v>
      </c>
      <c r="AR59" s="310">
        <v>0</v>
      </c>
      <c r="AS59" s="310">
        <v>0</v>
      </c>
      <c r="AT59" s="310">
        <v>0</v>
      </c>
      <c r="AU59" s="310">
        <v>0</v>
      </c>
      <c r="AV59" s="310">
        <v>0</v>
      </c>
      <c r="AW59" s="310">
        <v>0</v>
      </c>
      <c r="AX59" s="310">
        <v>0</v>
      </c>
      <c r="AY59" s="310">
        <v>0</v>
      </c>
      <c r="AZ59" s="310">
        <v>0</v>
      </c>
      <c r="BA59" s="310">
        <v>0</v>
      </c>
      <c r="BB59" s="310">
        <v>88071.706245154506</v>
      </c>
      <c r="BC59" s="310">
        <v>0</v>
      </c>
    </row>
    <row r="60" spans="40:55" x14ac:dyDescent="0.2">
      <c r="AN60" s="307" t="s">
        <v>442</v>
      </c>
      <c r="AO60" s="310">
        <v>0</v>
      </c>
      <c r="AP60" s="310">
        <v>0</v>
      </c>
      <c r="AQ60" s="310">
        <v>0</v>
      </c>
      <c r="AR60" s="310">
        <v>0</v>
      </c>
      <c r="AS60" s="310">
        <v>0</v>
      </c>
      <c r="AT60" s="310">
        <v>0</v>
      </c>
      <c r="AU60" s="310">
        <v>0</v>
      </c>
      <c r="AV60" s="310">
        <v>0</v>
      </c>
      <c r="AW60" s="310">
        <v>0</v>
      </c>
      <c r="AX60" s="310">
        <v>108184.85967288</v>
      </c>
      <c r="AY60" s="310">
        <v>0</v>
      </c>
      <c r="AZ60" s="310">
        <v>0</v>
      </c>
      <c r="BA60" s="310">
        <v>0</v>
      </c>
      <c r="BB60" s="310">
        <v>0</v>
      </c>
      <c r="BC60" s="310">
        <v>0</v>
      </c>
    </row>
    <row r="61" spans="40:55" x14ac:dyDescent="0.2">
      <c r="AN61" s="307" t="s">
        <v>441</v>
      </c>
      <c r="AO61" s="310">
        <v>0</v>
      </c>
      <c r="AP61" s="310">
        <v>0</v>
      </c>
      <c r="AQ61" s="310">
        <v>0</v>
      </c>
      <c r="AR61" s="310">
        <v>0</v>
      </c>
      <c r="AS61" s="310">
        <v>0</v>
      </c>
      <c r="AT61" s="310">
        <v>0</v>
      </c>
      <c r="AU61" s="310">
        <v>0</v>
      </c>
      <c r="AV61" s="310">
        <v>108184.85967288</v>
      </c>
      <c r="AW61" s="310">
        <v>0</v>
      </c>
      <c r="AX61" s="310">
        <v>0</v>
      </c>
      <c r="AY61" s="310">
        <v>0</v>
      </c>
      <c r="AZ61" s="310">
        <v>0</v>
      </c>
      <c r="BA61" s="310">
        <v>0</v>
      </c>
      <c r="BB61" s="310">
        <v>0</v>
      </c>
      <c r="BC61" s="310">
        <v>0</v>
      </c>
    </row>
    <row r="62" spans="40:55" x14ac:dyDescent="0.2">
      <c r="AN62" s="307" t="s">
        <v>333</v>
      </c>
      <c r="AO62" s="310">
        <v>0</v>
      </c>
      <c r="AP62" s="310">
        <v>0</v>
      </c>
      <c r="AQ62" s="310">
        <v>0</v>
      </c>
      <c r="AR62" s="310">
        <v>0</v>
      </c>
      <c r="AS62" s="310">
        <v>0</v>
      </c>
      <c r="AT62" s="310">
        <v>0</v>
      </c>
      <c r="AU62" s="310">
        <v>0</v>
      </c>
      <c r="AV62" s="310">
        <v>0</v>
      </c>
      <c r="AW62" s="310">
        <v>108184.85967288</v>
      </c>
      <c r="AX62" s="310">
        <v>0</v>
      </c>
      <c r="AY62" s="310">
        <v>0</v>
      </c>
      <c r="AZ62" s="310">
        <v>0</v>
      </c>
      <c r="BA62" s="310">
        <v>0</v>
      </c>
      <c r="BB62" s="310">
        <v>0</v>
      </c>
      <c r="BC62" s="310">
        <v>0</v>
      </c>
    </row>
    <row r="63" spans="40:55" x14ac:dyDescent="0.2">
      <c r="AN63" s="307" t="s">
        <v>438</v>
      </c>
      <c r="AO63" s="310">
        <v>0</v>
      </c>
      <c r="AP63" s="310">
        <v>0</v>
      </c>
      <c r="AQ63" s="310">
        <v>0</v>
      </c>
      <c r="AR63" s="310">
        <v>0</v>
      </c>
      <c r="AS63" s="310">
        <v>0</v>
      </c>
      <c r="AT63" s="310">
        <v>0</v>
      </c>
      <c r="AU63" s="310">
        <v>0</v>
      </c>
      <c r="AV63" s="310">
        <v>0</v>
      </c>
      <c r="AW63" s="310">
        <v>0</v>
      </c>
      <c r="AX63" s="310">
        <v>0</v>
      </c>
      <c r="AY63" s="310">
        <v>0</v>
      </c>
      <c r="AZ63" s="310">
        <v>0</v>
      </c>
      <c r="BA63" s="310">
        <v>0</v>
      </c>
      <c r="BB63" s="310">
        <v>0</v>
      </c>
      <c r="BC63" s="310">
        <v>0</v>
      </c>
    </row>
    <row r="64" spans="40:55" x14ac:dyDescent="0.2">
      <c r="AN64" s="307" t="s">
        <v>426</v>
      </c>
      <c r="AO64" s="310">
        <v>0</v>
      </c>
      <c r="AP64" s="310">
        <v>0</v>
      </c>
      <c r="AQ64" s="310">
        <v>0</v>
      </c>
      <c r="AR64" s="310">
        <v>0</v>
      </c>
      <c r="AS64" s="310">
        <v>0</v>
      </c>
      <c r="AT64" s="310">
        <v>0</v>
      </c>
      <c r="AU64" s="310">
        <v>0</v>
      </c>
      <c r="AV64" s="310">
        <v>0</v>
      </c>
      <c r="AW64" s="310">
        <v>0</v>
      </c>
      <c r="AX64" s="310">
        <v>0</v>
      </c>
      <c r="AY64" s="310">
        <v>0</v>
      </c>
      <c r="AZ64" s="310">
        <v>0</v>
      </c>
      <c r="BA64" s="310">
        <v>0</v>
      </c>
      <c r="BB64" s="310">
        <v>0</v>
      </c>
      <c r="BC64" s="310">
        <v>0</v>
      </c>
    </row>
    <row r="65" spans="40:55" x14ac:dyDescent="0.2">
      <c r="AN65" s="307" t="s">
        <v>424</v>
      </c>
      <c r="AO65" s="310">
        <v>0</v>
      </c>
      <c r="AP65" s="310">
        <v>0</v>
      </c>
      <c r="AQ65" s="310">
        <v>0</v>
      </c>
      <c r="AR65" s="310">
        <v>0</v>
      </c>
      <c r="AS65" s="310">
        <v>0</v>
      </c>
      <c r="AT65" s="310">
        <v>0</v>
      </c>
      <c r="AU65" s="310">
        <v>0</v>
      </c>
      <c r="AV65" s="310">
        <v>0</v>
      </c>
      <c r="AW65" s="310">
        <v>0</v>
      </c>
      <c r="AX65" s="310">
        <v>0</v>
      </c>
      <c r="AY65" s="310">
        <v>0</v>
      </c>
      <c r="AZ65" s="310">
        <v>0</v>
      </c>
      <c r="BA65" s="310">
        <v>0</v>
      </c>
      <c r="BB65" s="310">
        <v>0</v>
      </c>
      <c r="BC65" s="310">
        <v>25297.051877142199</v>
      </c>
    </row>
    <row r="66" spans="40:55" x14ac:dyDescent="0.2">
      <c r="AN66" s="307" t="s">
        <v>412</v>
      </c>
      <c r="AO66" s="310">
        <v>0</v>
      </c>
      <c r="AP66" s="310">
        <v>0</v>
      </c>
      <c r="AQ66" s="310">
        <v>0</v>
      </c>
      <c r="AR66" s="310">
        <v>0</v>
      </c>
      <c r="AS66" s="310">
        <v>0</v>
      </c>
      <c r="AT66" s="310">
        <v>0</v>
      </c>
      <c r="AU66" s="310">
        <v>0</v>
      </c>
      <c r="AV66" s="310">
        <v>0</v>
      </c>
      <c r="AW66" s="310">
        <v>0</v>
      </c>
      <c r="AX66" s="310">
        <v>0</v>
      </c>
      <c r="AY66" s="310">
        <v>0</v>
      </c>
      <c r="AZ66" s="310">
        <v>0</v>
      </c>
      <c r="BA66" s="310">
        <v>25297.051877142199</v>
      </c>
      <c r="BB66" s="310">
        <v>0</v>
      </c>
      <c r="BC66" s="310">
        <v>0</v>
      </c>
    </row>
    <row r="67" spans="40:55" x14ac:dyDescent="0.2">
      <c r="AN67" s="307" t="s">
        <v>436</v>
      </c>
      <c r="AO67" s="310">
        <v>0</v>
      </c>
      <c r="AP67" s="310">
        <v>0</v>
      </c>
      <c r="AQ67" s="310">
        <v>0</v>
      </c>
      <c r="AR67" s="310">
        <v>0</v>
      </c>
      <c r="AS67" s="310">
        <v>0</v>
      </c>
      <c r="AT67" s="310">
        <v>0</v>
      </c>
      <c r="AU67" s="310">
        <v>0</v>
      </c>
      <c r="AV67" s="310">
        <v>0</v>
      </c>
      <c r="AW67" s="310">
        <v>0</v>
      </c>
      <c r="AX67" s="310">
        <v>0</v>
      </c>
      <c r="AY67" s="310">
        <v>25297.051877142199</v>
      </c>
      <c r="AZ67" s="310">
        <v>0</v>
      </c>
      <c r="BA67" s="310">
        <v>0</v>
      </c>
      <c r="BB67" s="310">
        <v>0</v>
      </c>
      <c r="BC67" s="310">
        <v>0</v>
      </c>
    </row>
    <row r="68" spans="40:55" x14ac:dyDescent="0.2">
      <c r="AN68" s="307" t="s">
        <v>335</v>
      </c>
      <c r="AO68" s="310">
        <v>0</v>
      </c>
      <c r="AP68" s="310">
        <v>0</v>
      </c>
      <c r="AQ68" s="310">
        <v>0</v>
      </c>
      <c r="AR68" s="310">
        <v>0</v>
      </c>
      <c r="AS68" s="310">
        <v>0</v>
      </c>
      <c r="AT68" s="310">
        <v>0</v>
      </c>
      <c r="AU68" s="310">
        <v>0</v>
      </c>
      <c r="AV68" s="310">
        <v>0</v>
      </c>
      <c r="AW68" s="310">
        <v>0</v>
      </c>
      <c r="AX68" s="310">
        <v>0</v>
      </c>
      <c r="AY68" s="310">
        <v>0</v>
      </c>
      <c r="AZ68" s="310">
        <v>25297.051877142199</v>
      </c>
      <c r="BA68" s="310">
        <v>0</v>
      </c>
      <c r="BB68" s="310">
        <v>0</v>
      </c>
      <c r="BC68" s="310">
        <v>0</v>
      </c>
    </row>
    <row r="69" spans="40:55" x14ac:dyDescent="0.2">
      <c r="AN69" s="307" t="s">
        <v>427</v>
      </c>
      <c r="AO69" s="310">
        <v>0</v>
      </c>
      <c r="AP69" s="310">
        <v>0</v>
      </c>
      <c r="AQ69" s="310">
        <v>0</v>
      </c>
      <c r="AR69" s="310">
        <v>0</v>
      </c>
      <c r="AS69" s="310">
        <v>0</v>
      </c>
      <c r="AT69" s="310">
        <v>0</v>
      </c>
      <c r="AU69" s="310">
        <v>0</v>
      </c>
      <c r="AV69" s="310">
        <v>0</v>
      </c>
      <c r="AW69" s="310">
        <v>0</v>
      </c>
      <c r="AX69" s="310">
        <v>0</v>
      </c>
      <c r="AY69" s="310">
        <v>0</v>
      </c>
      <c r="AZ69" s="310">
        <v>0</v>
      </c>
      <c r="BA69" s="310">
        <v>0</v>
      </c>
      <c r="BB69" s="310">
        <v>0</v>
      </c>
      <c r="BC69" s="310">
        <v>0</v>
      </c>
    </row>
    <row r="70" spans="40:55" x14ac:dyDescent="0.2">
      <c r="AN70" s="307" t="s">
        <v>463</v>
      </c>
      <c r="AO70" s="310">
        <v>0</v>
      </c>
      <c r="AP70" s="310">
        <v>0</v>
      </c>
      <c r="AQ70" s="310">
        <v>0</v>
      </c>
      <c r="AR70" s="310">
        <v>0</v>
      </c>
      <c r="AS70" s="310">
        <v>0</v>
      </c>
      <c r="AT70" s="310">
        <v>0</v>
      </c>
      <c r="AU70" s="310">
        <v>0</v>
      </c>
      <c r="AV70" s="310">
        <v>0</v>
      </c>
      <c r="AW70" s="310">
        <v>0</v>
      </c>
      <c r="AX70" s="310">
        <v>0</v>
      </c>
      <c r="AY70" s="310">
        <v>0</v>
      </c>
      <c r="AZ70" s="310">
        <v>24.076233417548501</v>
      </c>
      <c r="BA70" s="310">
        <v>0</v>
      </c>
      <c r="BB70" s="310">
        <v>0</v>
      </c>
      <c r="BC70" s="310">
        <v>0</v>
      </c>
    </row>
    <row r="71" spans="40:55" x14ac:dyDescent="0.2">
      <c r="AN71" s="307" t="s">
        <v>343</v>
      </c>
      <c r="AO71" s="310">
        <v>2329445.30922601</v>
      </c>
      <c r="AP71" s="310">
        <v>0</v>
      </c>
      <c r="AQ71" s="310">
        <v>0</v>
      </c>
      <c r="AR71" s="310">
        <v>0</v>
      </c>
      <c r="AS71" s="310">
        <v>0</v>
      </c>
      <c r="AT71" s="310">
        <v>0</v>
      </c>
      <c r="AU71" s="310">
        <v>10583778.883576799</v>
      </c>
      <c r="AV71" s="310">
        <v>0</v>
      </c>
      <c r="AW71" s="310">
        <v>0</v>
      </c>
      <c r="AX71" s="310">
        <v>0</v>
      </c>
      <c r="AY71" s="310">
        <v>0</v>
      </c>
      <c r="AZ71" s="310">
        <v>0</v>
      </c>
      <c r="BA71" s="310">
        <v>0</v>
      </c>
      <c r="BB71" s="310">
        <v>0</v>
      </c>
      <c r="BC71" s="310">
        <v>1951076.47558275</v>
      </c>
    </row>
    <row r="72" spans="40:55" x14ac:dyDescent="0.2">
      <c r="AN72" s="307" t="s">
        <v>446</v>
      </c>
      <c r="AO72" s="310">
        <v>0</v>
      </c>
      <c r="AP72" s="310">
        <v>0</v>
      </c>
      <c r="AQ72" s="310">
        <v>0</v>
      </c>
      <c r="AR72" s="310">
        <v>0</v>
      </c>
      <c r="AS72" s="310">
        <v>0</v>
      </c>
      <c r="AT72" s="310">
        <v>0</v>
      </c>
      <c r="AU72" s="310">
        <v>0</v>
      </c>
      <c r="AV72" s="310">
        <v>0</v>
      </c>
      <c r="AW72" s="310">
        <v>0</v>
      </c>
      <c r="AX72" s="310">
        <v>0</v>
      </c>
      <c r="AY72" s="310">
        <v>0</v>
      </c>
      <c r="AZ72" s="310">
        <v>0</v>
      </c>
      <c r="BA72" s="310">
        <v>0</v>
      </c>
      <c r="BB72" s="310">
        <v>0</v>
      </c>
      <c r="BC72" s="310">
        <v>0</v>
      </c>
    </row>
    <row r="73" spans="40:55" x14ac:dyDescent="0.2">
      <c r="AN73" s="307" t="s">
        <v>457</v>
      </c>
      <c r="AO73" s="310">
        <v>0</v>
      </c>
      <c r="AP73" s="310">
        <v>0</v>
      </c>
      <c r="AQ73" s="310">
        <v>0</v>
      </c>
      <c r="AR73" s="310">
        <v>0</v>
      </c>
      <c r="AS73" s="310">
        <v>0</v>
      </c>
      <c r="AT73" s="310">
        <v>0</v>
      </c>
      <c r="AU73" s="310">
        <v>0</v>
      </c>
      <c r="AV73" s="310">
        <v>0</v>
      </c>
      <c r="AW73" s="310">
        <v>0</v>
      </c>
      <c r="AX73" s="310">
        <v>0</v>
      </c>
      <c r="AY73" s="310">
        <v>0</v>
      </c>
      <c r="AZ73" s="310">
        <v>0</v>
      </c>
      <c r="BA73" s="310">
        <v>0</v>
      </c>
      <c r="BB73" s="310">
        <v>0</v>
      </c>
      <c r="BC73" s="310">
        <v>0</v>
      </c>
    </row>
    <row r="74" spans="40:55" x14ac:dyDescent="0.2">
      <c r="AN74" s="307" t="s">
        <v>425</v>
      </c>
      <c r="AO74" s="310">
        <v>0</v>
      </c>
      <c r="AP74" s="310">
        <v>0</v>
      </c>
      <c r="AQ74" s="310">
        <v>0</v>
      </c>
      <c r="AR74" s="310">
        <v>0</v>
      </c>
      <c r="AS74" s="310">
        <v>0</v>
      </c>
      <c r="AT74" s="310">
        <v>0</v>
      </c>
      <c r="AU74" s="310">
        <v>0</v>
      </c>
      <c r="AV74" s="310">
        <v>0</v>
      </c>
      <c r="AW74" s="310">
        <v>0</v>
      </c>
      <c r="AX74" s="310">
        <v>0</v>
      </c>
      <c r="AY74" s="310">
        <v>0</v>
      </c>
      <c r="AZ74" s="310">
        <v>0</v>
      </c>
      <c r="BA74" s="310">
        <v>0</v>
      </c>
      <c r="BB74" s="310">
        <v>242016.07607977401</v>
      </c>
      <c r="BC74" s="310">
        <v>0</v>
      </c>
    </row>
    <row r="75" spans="40:55" x14ac:dyDescent="0.2">
      <c r="AN75" s="307" t="s">
        <v>552</v>
      </c>
      <c r="AO75" s="310">
        <v>0</v>
      </c>
      <c r="AP75" s="310">
        <v>0</v>
      </c>
      <c r="AQ75" s="310">
        <v>0</v>
      </c>
      <c r="AR75" s="310">
        <v>0</v>
      </c>
      <c r="AS75" s="310">
        <v>0</v>
      </c>
      <c r="AT75" s="310">
        <v>0</v>
      </c>
      <c r="AU75" s="310">
        <v>0</v>
      </c>
      <c r="AV75" s="310">
        <v>0</v>
      </c>
      <c r="AW75" s="310">
        <v>0</v>
      </c>
      <c r="AX75" s="310">
        <v>0</v>
      </c>
      <c r="AY75" s="310">
        <v>0</v>
      </c>
      <c r="AZ75" s="310">
        <v>0</v>
      </c>
      <c r="BA75" s="310">
        <v>0</v>
      </c>
      <c r="BB75" s="310">
        <v>0</v>
      </c>
      <c r="BC75" s="310">
        <v>0</v>
      </c>
    </row>
    <row r="76" spans="40:55" x14ac:dyDescent="0.2">
      <c r="AN76" s="307" t="s">
        <v>517</v>
      </c>
      <c r="AO76" s="310">
        <v>2830357.1263978099</v>
      </c>
      <c r="AP76" s="310">
        <v>0</v>
      </c>
      <c r="AQ76" s="310">
        <v>0</v>
      </c>
      <c r="AR76" s="310">
        <v>0</v>
      </c>
      <c r="AS76" s="310">
        <v>0</v>
      </c>
      <c r="AT76" s="310">
        <v>0</v>
      </c>
      <c r="AU76" s="310">
        <v>0</v>
      </c>
      <c r="AV76" s="310">
        <v>0</v>
      </c>
      <c r="AW76" s="310">
        <v>0</v>
      </c>
      <c r="AX76" s="310">
        <v>0</v>
      </c>
      <c r="AY76" s="310">
        <v>0</v>
      </c>
      <c r="AZ76" s="310">
        <v>0</v>
      </c>
      <c r="BA76" s="310">
        <v>0</v>
      </c>
      <c r="BB76" s="310">
        <v>0</v>
      </c>
      <c r="BC76" s="310">
        <v>0</v>
      </c>
    </row>
    <row r="77" spans="40:55" x14ac:dyDescent="0.2">
      <c r="AN77" s="307" t="s">
        <v>515</v>
      </c>
      <c r="AO77" s="310">
        <v>0</v>
      </c>
      <c r="AP77" s="310">
        <v>0</v>
      </c>
      <c r="AQ77" s="310">
        <v>0</v>
      </c>
      <c r="AR77" s="310">
        <v>0</v>
      </c>
      <c r="AS77" s="310">
        <v>4043367.3234254499</v>
      </c>
      <c r="AT77" s="310">
        <v>0</v>
      </c>
      <c r="AU77" s="310">
        <v>0</v>
      </c>
      <c r="AV77" s="310">
        <v>0</v>
      </c>
      <c r="AW77" s="310">
        <v>0</v>
      </c>
      <c r="AX77" s="310">
        <v>0</v>
      </c>
      <c r="AY77" s="310">
        <v>0</v>
      </c>
      <c r="AZ77" s="310">
        <v>0</v>
      </c>
      <c r="BA77" s="310">
        <v>0</v>
      </c>
      <c r="BB77" s="310">
        <v>0</v>
      </c>
      <c r="BC77" s="310">
        <v>0</v>
      </c>
    </row>
    <row r="78" spans="40:55" x14ac:dyDescent="0.2">
      <c r="AO78" s="432" t="s">
        <v>472</v>
      </c>
      <c r="AP78" s="433"/>
      <c r="AQ78" s="433"/>
      <c r="AR78" s="433"/>
      <c r="AS78" s="433"/>
      <c r="AT78" s="433"/>
      <c r="AU78" s="433"/>
      <c r="AV78" s="433"/>
      <c r="AW78" s="433"/>
      <c r="AX78" s="433"/>
      <c r="AY78" s="433"/>
      <c r="AZ78" s="433"/>
      <c r="BA78" s="433"/>
      <c r="BB78" s="433"/>
      <c r="BC78" s="433"/>
    </row>
    <row r="81" spans="40:60" ht="112" x14ac:dyDescent="0.2">
      <c r="AO81" s="308" t="s">
        <v>337</v>
      </c>
      <c r="AP81" s="308" t="s">
        <v>362</v>
      </c>
      <c r="AQ81" s="308" t="s">
        <v>327</v>
      </c>
      <c r="AR81" s="308" t="s">
        <v>434</v>
      </c>
      <c r="AS81" s="308" t="s">
        <v>516</v>
      </c>
      <c r="AT81" s="308" t="s">
        <v>514</v>
      </c>
      <c r="AU81" s="308" t="s">
        <v>344</v>
      </c>
      <c r="AV81" s="308" t="s">
        <v>351</v>
      </c>
      <c r="AW81" s="308" t="s">
        <v>325</v>
      </c>
      <c r="AX81" s="308" t="s">
        <v>455</v>
      </c>
      <c r="AY81" s="308" t="s">
        <v>348</v>
      </c>
      <c r="AZ81" s="308" t="s">
        <v>326</v>
      </c>
      <c r="BA81" s="308" t="s">
        <v>435</v>
      </c>
      <c r="BB81" s="308" t="s">
        <v>76</v>
      </c>
      <c r="BC81" s="308" t="s">
        <v>349</v>
      </c>
      <c r="BG81" s="308" t="s">
        <v>331</v>
      </c>
      <c r="BH81" s="308" t="s">
        <v>279</v>
      </c>
    </row>
    <row r="82" spans="40:60" x14ac:dyDescent="0.2">
      <c r="AN82" s="307" t="s">
        <v>484</v>
      </c>
      <c r="AO82" s="309">
        <v>0</v>
      </c>
      <c r="AP82" s="309">
        <v>0</v>
      </c>
      <c r="AQ82" s="309">
        <v>0</v>
      </c>
      <c r="AR82" s="309">
        <v>0</v>
      </c>
      <c r="AS82" s="309">
        <v>0</v>
      </c>
      <c r="AT82" s="309">
        <v>0</v>
      </c>
      <c r="AU82" s="309">
        <v>0</v>
      </c>
      <c r="AV82" s="309">
        <v>0</v>
      </c>
      <c r="AW82" s="309">
        <v>0</v>
      </c>
      <c r="AX82" s="309">
        <v>0</v>
      </c>
      <c r="AY82" s="309">
        <v>0</v>
      </c>
      <c r="AZ82" s="309">
        <v>0</v>
      </c>
      <c r="BA82" s="309">
        <v>0</v>
      </c>
      <c r="BB82" s="309">
        <v>6408288.6211381704</v>
      </c>
      <c r="BC82" s="309">
        <v>0</v>
      </c>
      <c r="BF82" s="307" t="s">
        <v>484</v>
      </c>
      <c r="BG82" s="306">
        <v>0</v>
      </c>
      <c r="BH82" s="306">
        <v>0</v>
      </c>
    </row>
    <row r="83" spans="40:60" x14ac:dyDescent="0.2">
      <c r="AN83" s="307" t="s">
        <v>421</v>
      </c>
      <c r="AO83" s="309">
        <v>0</v>
      </c>
      <c r="AP83" s="309">
        <v>0</v>
      </c>
      <c r="AQ83" s="309">
        <v>0</v>
      </c>
      <c r="AR83" s="309">
        <v>0</v>
      </c>
      <c r="AS83" s="309">
        <v>0</v>
      </c>
      <c r="AT83" s="309">
        <v>0</v>
      </c>
      <c r="AU83" s="309">
        <v>0</v>
      </c>
      <c r="AV83" s="309">
        <v>0</v>
      </c>
      <c r="AW83" s="309">
        <v>0</v>
      </c>
      <c r="AX83" s="309">
        <v>0</v>
      </c>
      <c r="AY83" s="309">
        <v>0</v>
      </c>
      <c r="AZ83" s="309">
        <v>0</v>
      </c>
      <c r="BA83" s="309">
        <v>0</v>
      </c>
      <c r="BB83" s="309">
        <v>0</v>
      </c>
      <c r="BC83" s="309">
        <v>0</v>
      </c>
      <c r="BF83" s="307" t="s">
        <v>421</v>
      </c>
      <c r="BG83" s="306">
        <v>0</v>
      </c>
      <c r="BH83" s="306">
        <v>8991.6203231094005</v>
      </c>
    </row>
    <row r="84" spans="40:60" x14ac:dyDescent="0.2">
      <c r="AN84" s="307" t="s">
        <v>447</v>
      </c>
      <c r="AO84" s="309">
        <v>0</v>
      </c>
      <c r="AP84" s="309">
        <v>0</v>
      </c>
      <c r="AQ84" s="309">
        <v>0</v>
      </c>
      <c r="AR84" s="309">
        <v>0</v>
      </c>
      <c r="AS84" s="309">
        <v>0</v>
      </c>
      <c r="AT84" s="309">
        <v>0</v>
      </c>
      <c r="AU84" s="309">
        <v>0</v>
      </c>
      <c r="AV84" s="309">
        <v>0</v>
      </c>
      <c r="AW84" s="309">
        <v>0</v>
      </c>
      <c r="AX84" s="309">
        <v>0</v>
      </c>
      <c r="AY84" s="309">
        <v>0</v>
      </c>
      <c r="AZ84" s="309">
        <v>0</v>
      </c>
      <c r="BA84" s="309">
        <v>0</v>
      </c>
      <c r="BB84" s="309">
        <v>0</v>
      </c>
      <c r="BC84" s="309">
        <v>0</v>
      </c>
      <c r="BF84" s="307" t="s">
        <v>447</v>
      </c>
      <c r="BG84" s="306">
        <v>0</v>
      </c>
      <c r="BH84" s="306">
        <v>404209.15818875801</v>
      </c>
    </row>
    <row r="85" spans="40:60" x14ac:dyDescent="0.2">
      <c r="AN85" s="307" t="s">
        <v>445</v>
      </c>
      <c r="AO85" s="309">
        <v>6684057.4589463603</v>
      </c>
      <c r="AP85" s="309">
        <v>0</v>
      </c>
      <c r="AQ85" s="309">
        <v>0</v>
      </c>
      <c r="AR85" s="309">
        <v>0</v>
      </c>
      <c r="AS85" s="309">
        <v>0</v>
      </c>
      <c r="AT85" s="309">
        <v>0</v>
      </c>
      <c r="AU85" s="309">
        <v>0</v>
      </c>
      <c r="AV85" s="309">
        <v>0</v>
      </c>
      <c r="AW85" s="309">
        <v>0</v>
      </c>
      <c r="AX85" s="309">
        <v>0</v>
      </c>
      <c r="AY85" s="309">
        <v>0</v>
      </c>
      <c r="AZ85" s="309">
        <v>0</v>
      </c>
      <c r="BA85" s="309">
        <v>0</v>
      </c>
      <c r="BB85" s="309">
        <v>0</v>
      </c>
      <c r="BC85" s="309">
        <v>0</v>
      </c>
      <c r="BF85" s="307" t="s">
        <v>445</v>
      </c>
      <c r="BG85" s="306">
        <v>0</v>
      </c>
      <c r="BH85" s="306">
        <v>0</v>
      </c>
    </row>
    <row r="86" spans="40:60" x14ac:dyDescent="0.2">
      <c r="AN86" s="307" t="s">
        <v>456</v>
      </c>
      <c r="AO86" s="309">
        <v>0</v>
      </c>
      <c r="AP86" s="309">
        <v>0</v>
      </c>
      <c r="AQ86" s="309">
        <v>0</v>
      </c>
      <c r="AR86" s="309">
        <v>0</v>
      </c>
      <c r="AS86" s="309">
        <v>0</v>
      </c>
      <c r="AT86" s="309">
        <v>0</v>
      </c>
      <c r="AU86" s="309">
        <v>8855804.3203369807</v>
      </c>
      <c r="AV86" s="309">
        <v>0</v>
      </c>
      <c r="AW86" s="309">
        <v>0</v>
      </c>
      <c r="AX86" s="309">
        <v>0</v>
      </c>
      <c r="AY86" s="309">
        <v>0</v>
      </c>
      <c r="AZ86" s="309">
        <v>0</v>
      </c>
      <c r="BA86" s="309">
        <v>0</v>
      </c>
      <c r="BB86" s="309">
        <v>0</v>
      </c>
      <c r="BC86" s="309">
        <v>0</v>
      </c>
      <c r="BF86" s="307" t="s">
        <v>456</v>
      </c>
      <c r="BG86" s="306">
        <v>0</v>
      </c>
      <c r="BH86" s="306">
        <v>0</v>
      </c>
    </row>
    <row r="87" spans="40:60" x14ac:dyDescent="0.2">
      <c r="AN87" s="307" t="s">
        <v>430</v>
      </c>
      <c r="AO87" s="309">
        <v>0</v>
      </c>
      <c r="AP87" s="309">
        <v>0</v>
      </c>
      <c r="AQ87" s="309">
        <v>0</v>
      </c>
      <c r="AR87" s="309">
        <v>8855804.3203369807</v>
      </c>
      <c r="AS87" s="309">
        <v>0</v>
      </c>
      <c r="AT87" s="309">
        <v>0</v>
      </c>
      <c r="AU87" s="309">
        <v>0</v>
      </c>
      <c r="AV87" s="309">
        <v>0</v>
      </c>
      <c r="AW87" s="309">
        <v>0</v>
      </c>
      <c r="AX87" s="309">
        <v>0</v>
      </c>
      <c r="AY87" s="309">
        <v>0</v>
      </c>
      <c r="AZ87" s="309">
        <v>0</v>
      </c>
      <c r="BA87" s="309">
        <v>0</v>
      </c>
      <c r="BB87" s="309">
        <v>0</v>
      </c>
      <c r="BC87" s="309">
        <v>0</v>
      </c>
      <c r="BF87" s="307" t="s">
        <v>430</v>
      </c>
      <c r="BG87" s="306">
        <v>0</v>
      </c>
      <c r="BH87" s="306">
        <v>0</v>
      </c>
    </row>
    <row r="88" spans="40:60" x14ac:dyDescent="0.2">
      <c r="AN88" s="307" t="s">
        <v>433</v>
      </c>
      <c r="AO88" s="309">
        <v>0</v>
      </c>
      <c r="AP88" s="309">
        <v>8855804.3203369807</v>
      </c>
      <c r="AQ88" s="309">
        <v>0</v>
      </c>
      <c r="AR88" s="309">
        <v>0</v>
      </c>
      <c r="AS88" s="309">
        <v>0</v>
      </c>
      <c r="AT88" s="309">
        <v>0</v>
      </c>
      <c r="AU88" s="309">
        <v>0</v>
      </c>
      <c r="AV88" s="309">
        <v>0</v>
      </c>
      <c r="AW88" s="309">
        <v>0</v>
      </c>
      <c r="AX88" s="309">
        <v>0</v>
      </c>
      <c r="AY88" s="309">
        <v>0</v>
      </c>
      <c r="AZ88" s="309">
        <v>0</v>
      </c>
      <c r="BA88" s="309">
        <v>0</v>
      </c>
      <c r="BB88" s="309">
        <v>0</v>
      </c>
      <c r="BC88" s="309">
        <v>0</v>
      </c>
      <c r="BF88" s="307" t="s">
        <v>433</v>
      </c>
      <c r="BG88" s="306">
        <v>0</v>
      </c>
      <c r="BH88" s="306">
        <v>0</v>
      </c>
    </row>
    <row r="89" spans="40:60" x14ac:dyDescent="0.2">
      <c r="AN89" s="307" t="s">
        <v>336</v>
      </c>
      <c r="AO89" s="309">
        <v>0</v>
      </c>
      <c r="AP89" s="309">
        <v>0</v>
      </c>
      <c r="AQ89" s="309">
        <v>8850991.3601140399</v>
      </c>
      <c r="AR89" s="309">
        <v>0</v>
      </c>
      <c r="AS89" s="309">
        <v>0</v>
      </c>
      <c r="AT89" s="309">
        <v>0</v>
      </c>
      <c r="AU89" s="309">
        <v>0</v>
      </c>
      <c r="AV89" s="309">
        <v>0</v>
      </c>
      <c r="AW89" s="309">
        <v>0</v>
      </c>
      <c r="AX89" s="309">
        <v>0</v>
      </c>
      <c r="AY89" s="309">
        <v>0</v>
      </c>
      <c r="AZ89" s="309">
        <v>0</v>
      </c>
      <c r="BA89" s="309">
        <v>0</v>
      </c>
      <c r="BB89" s="309">
        <v>0</v>
      </c>
      <c r="BC89" s="309">
        <v>0</v>
      </c>
      <c r="BF89" s="307" t="s">
        <v>336</v>
      </c>
      <c r="BG89" s="306">
        <v>0</v>
      </c>
      <c r="BH89" s="306">
        <v>0</v>
      </c>
    </row>
    <row r="90" spans="40:60" x14ac:dyDescent="0.2">
      <c r="AN90" s="307" t="s">
        <v>422</v>
      </c>
      <c r="AO90" s="309">
        <v>0</v>
      </c>
      <c r="AP90" s="309">
        <v>0</v>
      </c>
      <c r="AQ90" s="309">
        <v>0</v>
      </c>
      <c r="AR90" s="309">
        <v>0</v>
      </c>
      <c r="AS90" s="309">
        <v>0</v>
      </c>
      <c r="AT90" s="309">
        <v>4026178.1360752499</v>
      </c>
      <c r="AU90" s="309">
        <v>0</v>
      </c>
      <c r="AV90" s="309">
        <v>0</v>
      </c>
      <c r="AW90" s="309">
        <v>0</v>
      </c>
      <c r="AX90" s="309">
        <v>0</v>
      </c>
      <c r="AY90" s="309">
        <v>0</v>
      </c>
      <c r="AZ90" s="309">
        <v>0</v>
      </c>
      <c r="BA90" s="309">
        <v>0</v>
      </c>
      <c r="BB90" s="309">
        <v>0</v>
      </c>
      <c r="BC90" s="309">
        <v>0</v>
      </c>
      <c r="BF90" s="307" t="s">
        <v>422</v>
      </c>
      <c r="BG90" s="306">
        <v>0</v>
      </c>
      <c r="BH90" s="306">
        <v>0</v>
      </c>
    </row>
    <row r="91" spans="40:60" x14ac:dyDescent="0.2">
      <c r="AN91" s="307" t="s">
        <v>355</v>
      </c>
      <c r="AO91" s="309">
        <v>11826.742854693801</v>
      </c>
      <c r="AP91" s="309">
        <v>0</v>
      </c>
      <c r="AQ91" s="309">
        <v>30.954464502133501</v>
      </c>
      <c r="AR91" s="309">
        <v>0</v>
      </c>
      <c r="AS91" s="309">
        <v>0</v>
      </c>
      <c r="AT91" s="309">
        <v>0</v>
      </c>
      <c r="AU91" s="309">
        <v>14491.848717543</v>
      </c>
      <c r="AV91" s="309">
        <v>0</v>
      </c>
      <c r="AW91" s="309">
        <v>125.026374728874</v>
      </c>
      <c r="AX91" s="309">
        <v>0</v>
      </c>
      <c r="AY91" s="309">
        <v>0</v>
      </c>
      <c r="AZ91" s="309">
        <v>0.374842703513311</v>
      </c>
      <c r="BA91" s="309">
        <v>0</v>
      </c>
      <c r="BB91" s="309">
        <v>0</v>
      </c>
      <c r="BC91" s="309">
        <v>2671.5132120132398</v>
      </c>
      <c r="BF91" s="307" t="s">
        <v>355</v>
      </c>
      <c r="BG91" s="306">
        <v>0</v>
      </c>
      <c r="BH91" s="306">
        <v>0</v>
      </c>
    </row>
    <row r="92" spans="40:60" x14ac:dyDescent="0.2">
      <c r="AN92" s="307" t="s">
        <v>416</v>
      </c>
      <c r="AO92" s="309">
        <v>0</v>
      </c>
      <c r="AP92" s="309">
        <v>0</v>
      </c>
      <c r="AQ92" s="309">
        <v>0</v>
      </c>
      <c r="AR92" s="309">
        <v>0</v>
      </c>
      <c r="AS92" s="309">
        <v>0</v>
      </c>
      <c r="AT92" s="309">
        <v>0</v>
      </c>
      <c r="AU92" s="309">
        <v>0</v>
      </c>
      <c r="AV92" s="309">
        <v>0</v>
      </c>
      <c r="AW92" s="309">
        <v>0</v>
      </c>
      <c r="AX92" s="309">
        <v>0</v>
      </c>
      <c r="AY92" s="309">
        <v>0</v>
      </c>
      <c r="AZ92" s="309">
        <v>0</v>
      </c>
      <c r="BA92" s="309">
        <v>0</v>
      </c>
      <c r="BB92" s="309">
        <v>0</v>
      </c>
      <c r="BC92" s="309">
        <v>0</v>
      </c>
      <c r="BF92" s="307" t="s">
        <v>416</v>
      </c>
      <c r="BG92" s="306">
        <v>0</v>
      </c>
      <c r="BH92" s="306">
        <v>555.77441893806395</v>
      </c>
    </row>
    <row r="93" spans="40:60" x14ac:dyDescent="0.2">
      <c r="AN93" s="307" t="s">
        <v>423</v>
      </c>
      <c r="AO93" s="309">
        <v>0</v>
      </c>
      <c r="AP93" s="309">
        <v>0</v>
      </c>
      <c r="AQ93" s="309">
        <v>0</v>
      </c>
      <c r="AR93" s="309">
        <v>0</v>
      </c>
      <c r="AS93" s="309">
        <v>0</v>
      </c>
      <c r="AT93" s="309">
        <v>0</v>
      </c>
      <c r="AU93" s="309">
        <v>0</v>
      </c>
      <c r="AV93" s="309">
        <v>0</v>
      </c>
      <c r="AW93" s="309">
        <v>0</v>
      </c>
      <c r="AX93" s="309">
        <v>0</v>
      </c>
      <c r="AY93" s="309">
        <v>0</v>
      </c>
      <c r="AZ93" s="309">
        <v>0</v>
      </c>
      <c r="BA93" s="309">
        <v>0</v>
      </c>
      <c r="BB93" s="309">
        <v>0</v>
      </c>
      <c r="BC93" s="309">
        <v>0</v>
      </c>
      <c r="BF93" s="307" t="s">
        <v>423</v>
      </c>
      <c r="BG93" s="306">
        <v>0</v>
      </c>
      <c r="BH93" s="306">
        <v>303788.26554911397</v>
      </c>
    </row>
    <row r="94" spans="40:60" x14ac:dyDescent="0.2">
      <c r="AN94" s="307" t="s">
        <v>409</v>
      </c>
      <c r="AO94" s="309">
        <v>0</v>
      </c>
      <c r="AP94" s="309">
        <v>0</v>
      </c>
      <c r="AQ94" s="309">
        <v>0</v>
      </c>
      <c r="AR94" s="309">
        <v>0</v>
      </c>
      <c r="AS94" s="309">
        <v>0</v>
      </c>
      <c r="AT94" s="309">
        <v>0</v>
      </c>
      <c r="AU94" s="309">
        <v>0</v>
      </c>
      <c r="AV94" s="309">
        <v>0</v>
      </c>
      <c r="AW94" s="309">
        <v>0</v>
      </c>
      <c r="AX94" s="309">
        <v>0</v>
      </c>
      <c r="AY94" s="309">
        <v>0</v>
      </c>
      <c r="AZ94" s="309">
        <v>0</v>
      </c>
      <c r="BA94" s="309">
        <v>0</v>
      </c>
      <c r="BB94" s="309">
        <v>0</v>
      </c>
      <c r="BC94" s="309">
        <v>0</v>
      </c>
      <c r="BF94" s="307" t="s">
        <v>409</v>
      </c>
      <c r="BG94" s="306">
        <v>0</v>
      </c>
      <c r="BH94" s="306">
        <v>2244.7960862667501</v>
      </c>
    </row>
    <row r="95" spans="40:60" x14ac:dyDescent="0.2">
      <c r="AN95" s="307" t="s">
        <v>437</v>
      </c>
      <c r="AO95" s="309">
        <v>0</v>
      </c>
      <c r="AP95" s="309">
        <v>0</v>
      </c>
      <c r="AQ95" s="309">
        <v>0</v>
      </c>
      <c r="AR95" s="309">
        <v>0</v>
      </c>
      <c r="AS95" s="309">
        <v>0</v>
      </c>
      <c r="AT95" s="309">
        <v>0</v>
      </c>
      <c r="AU95" s="309">
        <v>0</v>
      </c>
      <c r="AV95" s="309">
        <v>0</v>
      </c>
      <c r="AW95" s="309">
        <v>0</v>
      </c>
      <c r="AX95" s="309">
        <v>0</v>
      </c>
      <c r="AY95" s="309">
        <v>0</v>
      </c>
      <c r="AZ95" s="309">
        <v>0</v>
      </c>
      <c r="BA95" s="309">
        <v>0</v>
      </c>
      <c r="BB95" s="309">
        <v>0</v>
      </c>
      <c r="BC95" s="309">
        <v>0</v>
      </c>
      <c r="BF95" s="307" t="s">
        <v>437</v>
      </c>
      <c r="BG95" s="306">
        <v>0</v>
      </c>
      <c r="BH95" s="306">
        <v>6.7177820097776797</v>
      </c>
    </row>
    <row r="96" spans="40:60" x14ac:dyDescent="0.2">
      <c r="AN96" s="307" t="s">
        <v>342</v>
      </c>
      <c r="AO96" s="309">
        <v>318930.104231745</v>
      </c>
      <c r="AP96" s="309">
        <v>50.358084153937803</v>
      </c>
      <c r="AQ96" s="309">
        <v>80616.370239891301</v>
      </c>
      <c r="AR96" s="309">
        <v>282.12877103151499</v>
      </c>
      <c r="AS96" s="309">
        <v>0</v>
      </c>
      <c r="AT96" s="309">
        <v>33191.859393697501</v>
      </c>
      <c r="AU96" s="309">
        <v>0</v>
      </c>
      <c r="AV96" s="309">
        <v>12626.098826338701</v>
      </c>
      <c r="AW96" s="309">
        <v>0</v>
      </c>
      <c r="AX96" s="309">
        <v>609792.25175934797</v>
      </c>
      <c r="AY96" s="309">
        <v>34.678095164115</v>
      </c>
      <c r="AZ96" s="309">
        <v>0</v>
      </c>
      <c r="BA96" s="309">
        <v>2824.8856477449199</v>
      </c>
      <c r="BB96" s="309">
        <v>0</v>
      </c>
      <c r="BC96" s="309">
        <v>0</v>
      </c>
      <c r="BF96" s="307" t="s">
        <v>342</v>
      </c>
      <c r="BG96" s="306">
        <v>0</v>
      </c>
      <c r="BH96" s="306">
        <v>0</v>
      </c>
    </row>
    <row r="97" spans="40:60" x14ac:dyDescent="0.2">
      <c r="AN97" s="307" t="s">
        <v>448</v>
      </c>
      <c r="AO97" s="309">
        <v>29112.263489807599</v>
      </c>
      <c r="AP97" s="309">
        <v>0</v>
      </c>
      <c r="AQ97" s="309">
        <v>0</v>
      </c>
      <c r="AR97" s="309">
        <v>0</v>
      </c>
      <c r="AS97" s="309">
        <v>0</v>
      </c>
      <c r="AT97" s="309">
        <v>0</v>
      </c>
      <c r="AU97" s="309">
        <v>0</v>
      </c>
      <c r="AV97" s="309">
        <v>0</v>
      </c>
      <c r="AW97" s="309">
        <v>0</v>
      </c>
      <c r="AX97" s="309">
        <v>0</v>
      </c>
      <c r="AY97" s="309">
        <v>0</v>
      </c>
      <c r="AZ97" s="309">
        <v>0</v>
      </c>
      <c r="BA97" s="309">
        <v>0</v>
      </c>
      <c r="BB97" s="309">
        <v>0</v>
      </c>
      <c r="BC97" s="309">
        <v>0</v>
      </c>
      <c r="BF97" s="307" t="s">
        <v>448</v>
      </c>
      <c r="BG97" s="306">
        <v>0</v>
      </c>
      <c r="BH97" s="306">
        <v>0</v>
      </c>
    </row>
    <row r="98" spans="40:60" x14ac:dyDescent="0.2">
      <c r="AN98" s="307" t="s">
        <v>462</v>
      </c>
      <c r="AO98" s="309">
        <v>0</v>
      </c>
      <c r="AP98" s="309">
        <v>0</v>
      </c>
      <c r="AQ98" s="309">
        <v>23309.045257575199</v>
      </c>
      <c r="AR98" s="309">
        <v>0</v>
      </c>
      <c r="AS98" s="309">
        <v>0</v>
      </c>
      <c r="AT98" s="309">
        <v>0</v>
      </c>
      <c r="AU98" s="309">
        <v>0</v>
      </c>
      <c r="AV98" s="309">
        <v>0</v>
      </c>
      <c r="AW98" s="309">
        <v>94146.207140653802</v>
      </c>
      <c r="AX98" s="309">
        <v>0</v>
      </c>
      <c r="AY98" s="309">
        <v>0</v>
      </c>
      <c r="AZ98" s="309">
        <v>257.99399332425401</v>
      </c>
      <c r="BA98" s="309">
        <v>0</v>
      </c>
      <c r="BB98" s="309">
        <v>0</v>
      </c>
      <c r="BC98" s="309">
        <v>0</v>
      </c>
      <c r="BF98" s="307" t="s">
        <v>462</v>
      </c>
      <c r="BG98" s="306">
        <v>0</v>
      </c>
      <c r="BH98" s="306">
        <v>0</v>
      </c>
    </row>
    <row r="99" spans="40:60" x14ac:dyDescent="0.2">
      <c r="AN99" s="307" t="s">
        <v>439</v>
      </c>
      <c r="AO99" s="309">
        <v>0</v>
      </c>
      <c r="AP99" s="309">
        <v>0</v>
      </c>
      <c r="AQ99" s="309">
        <v>0</v>
      </c>
      <c r="AR99" s="309">
        <v>0</v>
      </c>
      <c r="AS99" s="309">
        <v>0</v>
      </c>
      <c r="AT99" s="309">
        <v>0</v>
      </c>
      <c r="AU99" s="309">
        <v>0</v>
      </c>
      <c r="AV99" s="309">
        <v>0</v>
      </c>
      <c r="AW99" s="309">
        <v>0</v>
      </c>
      <c r="AX99" s="309">
        <v>0</v>
      </c>
      <c r="AY99" s="309">
        <v>0</v>
      </c>
      <c r="AZ99" s="309">
        <v>0</v>
      </c>
      <c r="BA99" s="309">
        <v>0</v>
      </c>
      <c r="BB99" s="309">
        <v>88071.706245154506</v>
      </c>
      <c r="BC99" s="309">
        <v>0</v>
      </c>
      <c r="BF99" s="307" t="s">
        <v>439</v>
      </c>
      <c r="BG99" s="306">
        <v>0</v>
      </c>
      <c r="BH99" s="306">
        <v>0</v>
      </c>
    </row>
    <row r="100" spans="40:60" x14ac:dyDescent="0.2">
      <c r="AN100" s="307" t="s">
        <v>442</v>
      </c>
      <c r="AO100" s="309">
        <v>0</v>
      </c>
      <c r="AP100" s="309">
        <v>0</v>
      </c>
      <c r="AQ100" s="309">
        <v>0</v>
      </c>
      <c r="AR100" s="309">
        <v>0</v>
      </c>
      <c r="AS100" s="309">
        <v>0</v>
      </c>
      <c r="AT100" s="309">
        <v>0</v>
      </c>
      <c r="AU100" s="309">
        <v>0</v>
      </c>
      <c r="AV100" s="309">
        <v>0</v>
      </c>
      <c r="AW100" s="309">
        <v>0</v>
      </c>
      <c r="AX100" s="309">
        <v>108184.85967288</v>
      </c>
      <c r="AY100" s="309">
        <v>0</v>
      </c>
      <c r="AZ100" s="309">
        <v>0</v>
      </c>
      <c r="BA100" s="309">
        <v>0</v>
      </c>
      <c r="BB100" s="309">
        <v>0</v>
      </c>
      <c r="BC100" s="309">
        <v>0</v>
      </c>
      <c r="BF100" s="307" t="s">
        <v>442</v>
      </c>
      <c r="BG100" s="306">
        <v>0</v>
      </c>
      <c r="BH100" s="306">
        <v>0</v>
      </c>
    </row>
    <row r="101" spans="40:60" x14ac:dyDescent="0.2">
      <c r="AN101" s="307" t="s">
        <v>441</v>
      </c>
      <c r="AO101" s="309">
        <v>0</v>
      </c>
      <c r="AP101" s="309">
        <v>0</v>
      </c>
      <c r="AQ101" s="309">
        <v>0</v>
      </c>
      <c r="AR101" s="309">
        <v>0</v>
      </c>
      <c r="AS101" s="309">
        <v>0</v>
      </c>
      <c r="AT101" s="309">
        <v>0</v>
      </c>
      <c r="AU101" s="309">
        <v>0</v>
      </c>
      <c r="AV101" s="309">
        <v>108184.85967288</v>
      </c>
      <c r="AW101" s="309">
        <v>0</v>
      </c>
      <c r="AX101" s="309">
        <v>0</v>
      </c>
      <c r="AY101" s="309">
        <v>0</v>
      </c>
      <c r="AZ101" s="309">
        <v>0</v>
      </c>
      <c r="BA101" s="309">
        <v>0</v>
      </c>
      <c r="BB101" s="309">
        <v>0</v>
      </c>
      <c r="BC101" s="309">
        <v>0</v>
      </c>
      <c r="BF101" s="307" t="s">
        <v>441</v>
      </c>
      <c r="BG101" s="306">
        <v>0</v>
      </c>
      <c r="BH101" s="306">
        <v>0</v>
      </c>
    </row>
    <row r="102" spans="40:60" x14ac:dyDescent="0.2">
      <c r="AN102" s="307" t="s">
        <v>333</v>
      </c>
      <c r="AO102" s="309">
        <v>0</v>
      </c>
      <c r="AP102" s="309">
        <v>0</v>
      </c>
      <c r="AQ102" s="309">
        <v>0</v>
      </c>
      <c r="AR102" s="309">
        <v>0</v>
      </c>
      <c r="AS102" s="309">
        <v>0</v>
      </c>
      <c r="AT102" s="309">
        <v>0</v>
      </c>
      <c r="AU102" s="309">
        <v>0</v>
      </c>
      <c r="AV102" s="309">
        <v>0</v>
      </c>
      <c r="AW102" s="309">
        <v>108184.85967288</v>
      </c>
      <c r="AX102" s="309">
        <v>0</v>
      </c>
      <c r="AY102" s="309">
        <v>0</v>
      </c>
      <c r="AZ102" s="309">
        <v>0</v>
      </c>
      <c r="BA102" s="309">
        <v>0</v>
      </c>
      <c r="BB102" s="309">
        <v>0</v>
      </c>
      <c r="BC102" s="309">
        <v>0</v>
      </c>
      <c r="BF102" s="307" t="s">
        <v>333</v>
      </c>
      <c r="BG102" s="306">
        <v>0</v>
      </c>
      <c r="BH102" s="306">
        <v>0</v>
      </c>
    </row>
    <row r="103" spans="40:60" x14ac:dyDescent="0.2">
      <c r="AN103" s="307" t="s">
        <v>438</v>
      </c>
      <c r="AO103" s="309">
        <v>0</v>
      </c>
      <c r="AP103" s="309">
        <v>0</v>
      </c>
      <c r="AQ103" s="309">
        <v>0</v>
      </c>
      <c r="AR103" s="309">
        <v>0</v>
      </c>
      <c r="AS103" s="309">
        <v>0</v>
      </c>
      <c r="AT103" s="309">
        <v>0</v>
      </c>
      <c r="AU103" s="309">
        <v>0</v>
      </c>
      <c r="AV103" s="309">
        <v>0</v>
      </c>
      <c r="AW103" s="309">
        <v>0</v>
      </c>
      <c r="AX103" s="309">
        <v>0</v>
      </c>
      <c r="AY103" s="309">
        <v>0</v>
      </c>
      <c r="AZ103" s="309">
        <v>0</v>
      </c>
      <c r="BA103" s="309">
        <v>0</v>
      </c>
      <c r="BB103" s="309">
        <v>0</v>
      </c>
      <c r="BC103" s="309">
        <v>0</v>
      </c>
      <c r="BF103" s="307" t="s">
        <v>438</v>
      </c>
      <c r="BG103" s="306">
        <v>0</v>
      </c>
      <c r="BH103" s="306">
        <v>21722.892325740399</v>
      </c>
    </row>
    <row r="104" spans="40:60" x14ac:dyDescent="0.2">
      <c r="AN104" s="307" t="s">
        <v>426</v>
      </c>
      <c r="AO104" s="309">
        <v>0</v>
      </c>
      <c r="AP104" s="309">
        <v>0</v>
      </c>
      <c r="AQ104" s="309">
        <v>0</v>
      </c>
      <c r="AR104" s="309">
        <v>0</v>
      </c>
      <c r="AS104" s="309">
        <v>0</v>
      </c>
      <c r="AT104" s="309">
        <v>0</v>
      </c>
      <c r="AU104" s="309">
        <v>0</v>
      </c>
      <c r="AV104" s="309">
        <v>0</v>
      </c>
      <c r="AW104" s="309">
        <v>0</v>
      </c>
      <c r="AX104" s="309">
        <v>0</v>
      </c>
      <c r="AY104" s="309">
        <v>0</v>
      </c>
      <c r="AZ104" s="309">
        <v>0</v>
      </c>
      <c r="BA104" s="309">
        <v>0</v>
      </c>
      <c r="BB104" s="309">
        <v>0</v>
      </c>
      <c r="BC104" s="309">
        <v>0</v>
      </c>
      <c r="BF104" s="307" t="s">
        <v>426</v>
      </c>
      <c r="BG104" s="306">
        <v>0</v>
      </c>
      <c r="BH104" s="306">
        <v>87222.135331413898</v>
      </c>
    </row>
    <row r="105" spans="40:60" x14ac:dyDescent="0.2">
      <c r="AN105" s="307" t="s">
        <v>424</v>
      </c>
      <c r="AO105" s="309">
        <v>0</v>
      </c>
      <c r="AP105" s="309">
        <v>0</v>
      </c>
      <c r="AQ105" s="309">
        <v>0</v>
      </c>
      <c r="AR105" s="309">
        <v>0</v>
      </c>
      <c r="AS105" s="309">
        <v>0</v>
      </c>
      <c r="AT105" s="309">
        <v>0</v>
      </c>
      <c r="AU105" s="309">
        <v>0</v>
      </c>
      <c r="AV105" s="309">
        <v>0</v>
      </c>
      <c r="AW105" s="309">
        <v>0</v>
      </c>
      <c r="AX105" s="309">
        <v>0</v>
      </c>
      <c r="AY105" s="309">
        <v>0</v>
      </c>
      <c r="AZ105" s="309">
        <v>0</v>
      </c>
      <c r="BA105" s="309">
        <v>0</v>
      </c>
      <c r="BB105" s="309">
        <v>0</v>
      </c>
      <c r="BC105" s="309">
        <v>25297.051877142199</v>
      </c>
      <c r="BF105" s="307" t="s">
        <v>424</v>
      </c>
      <c r="BG105" s="306">
        <v>0</v>
      </c>
      <c r="BH105" s="306">
        <v>0</v>
      </c>
    </row>
    <row r="106" spans="40:60" x14ac:dyDescent="0.2">
      <c r="AN106" s="307" t="s">
        <v>412</v>
      </c>
      <c r="AO106" s="309">
        <v>0</v>
      </c>
      <c r="AP106" s="309">
        <v>0</v>
      </c>
      <c r="AQ106" s="309">
        <v>0</v>
      </c>
      <c r="AR106" s="309">
        <v>0</v>
      </c>
      <c r="AS106" s="309">
        <v>0</v>
      </c>
      <c r="AT106" s="309">
        <v>0</v>
      </c>
      <c r="AU106" s="309">
        <v>0</v>
      </c>
      <c r="AV106" s="309">
        <v>0</v>
      </c>
      <c r="AW106" s="309">
        <v>0</v>
      </c>
      <c r="AX106" s="309">
        <v>0</v>
      </c>
      <c r="AY106" s="309">
        <v>0</v>
      </c>
      <c r="AZ106" s="309">
        <v>0</v>
      </c>
      <c r="BA106" s="309">
        <v>25297.051877142199</v>
      </c>
      <c r="BB106" s="309">
        <v>0</v>
      </c>
      <c r="BC106" s="309">
        <v>0</v>
      </c>
      <c r="BF106" s="307" t="s">
        <v>412</v>
      </c>
      <c r="BG106" s="306">
        <v>0</v>
      </c>
      <c r="BH106" s="306">
        <v>0</v>
      </c>
    </row>
    <row r="107" spans="40:60" x14ac:dyDescent="0.2">
      <c r="AN107" s="307" t="s">
        <v>436</v>
      </c>
      <c r="AO107" s="309">
        <v>0</v>
      </c>
      <c r="AP107" s="309">
        <v>0</v>
      </c>
      <c r="AQ107" s="309">
        <v>0</v>
      </c>
      <c r="AR107" s="309">
        <v>0</v>
      </c>
      <c r="AS107" s="309">
        <v>0</v>
      </c>
      <c r="AT107" s="309">
        <v>0</v>
      </c>
      <c r="AU107" s="309">
        <v>0</v>
      </c>
      <c r="AV107" s="309">
        <v>0</v>
      </c>
      <c r="AW107" s="309">
        <v>0</v>
      </c>
      <c r="AX107" s="309">
        <v>0</v>
      </c>
      <c r="AY107" s="309">
        <v>25297.051877142199</v>
      </c>
      <c r="AZ107" s="309">
        <v>0</v>
      </c>
      <c r="BA107" s="309">
        <v>0</v>
      </c>
      <c r="BB107" s="309">
        <v>0</v>
      </c>
      <c r="BC107" s="309">
        <v>0</v>
      </c>
      <c r="BF107" s="307" t="s">
        <v>436</v>
      </c>
      <c r="BG107" s="306">
        <v>0</v>
      </c>
      <c r="BH107" s="306">
        <v>0</v>
      </c>
    </row>
    <row r="108" spans="40:60" x14ac:dyDescent="0.2">
      <c r="AN108" s="307" t="s">
        <v>335</v>
      </c>
      <c r="AO108" s="309">
        <v>0</v>
      </c>
      <c r="AP108" s="309">
        <v>0</v>
      </c>
      <c r="AQ108" s="309">
        <v>0</v>
      </c>
      <c r="AR108" s="309">
        <v>0</v>
      </c>
      <c r="AS108" s="309">
        <v>0</v>
      </c>
      <c r="AT108" s="309">
        <v>0</v>
      </c>
      <c r="AU108" s="309">
        <v>0</v>
      </c>
      <c r="AV108" s="309">
        <v>0</v>
      </c>
      <c r="AW108" s="309">
        <v>0</v>
      </c>
      <c r="AX108" s="309">
        <v>0</v>
      </c>
      <c r="AY108" s="309">
        <v>0</v>
      </c>
      <c r="AZ108" s="309">
        <v>25297.051877142199</v>
      </c>
      <c r="BA108" s="309">
        <v>0</v>
      </c>
      <c r="BB108" s="309">
        <v>0</v>
      </c>
      <c r="BC108" s="309">
        <v>0</v>
      </c>
      <c r="BF108" s="307" t="s">
        <v>335</v>
      </c>
      <c r="BG108" s="306">
        <v>0</v>
      </c>
      <c r="BH108" s="306">
        <v>0</v>
      </c>
    </row>
    <row r="109" spans="40:60" x14ac:dyDescent="0.2">
      <c r="AN109" s="307" t="s">
        <v>427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09">
        <v>0</v>
      </c>
      <c r="BB109" s="309">
        <v>0</v>
      </c>
      <c r="BC109" s="309">
        <v>0</v>
      </c>
      <c r="BF109" s="307" t="s">
        <v>427</v>
      </c>
      <c r="BG109" s="306">
        <v>0</v>
      </c>
      <c r="BH109" s="306">
        <v>7739.25118007116</v>
      </c>
    </row>
    <row r="110" spans="40:60" x14ac:dyDescent="0.2">
      <c r="AN110" s="307" t="s">
        <v>463</v>
      </c>
      <c r="AO110" s="309">
        <v>0</v>
      </c>
      <c r="AP110" s="309">
        <v>0</v>
      </c>
      <c r="AQ110" s="309">
        <v>0</v>
      </c>
      <c r="AR110" s="309">
        <v>0</v>
      </c>
      <c r="AS110" s="309">
        <v>0</v>
      </c>
      <c r="AT110" s="309">
        <v>0</v>
      </c>
      <c r="AU110" s="309">
        <v>0</v>
      </c>
      <c r="AV110" s="309">
        <v>0</v>
      </c>
      <c r="AW110" s="309">
        <v>0</v>
      </c>
      <c r="AX110" s="309">
        <v>0</v>
      </c>
      <c r="AY110" s="309">
        <v>0</v>
      </c>
      <c r="AZ110" s="309">
        <v>24.076233417548501</v>
      </c>
      <c r="BA110" s="309">
        <v>0</v>
      </c>
      <c r="BB110" s="309">
        <v>0</v>
      </c>
      <c r="BC110" s="309">
        <v>0</v>
      </c>
      <c r="BF110" s="307" t="s">
        <v>463</v>
      </c>
      <c r="BG110" s="306">
        <v>0</v>
      </c>
      <c r="BH110" s="306">
        <v>0</v>
      </c>
    </row>
    <row r="111" spans="40:60" x14ac:dyDescent="0.2">
      <c r="AN111" s="307" t="s">
        <v>343</v>
      </c>
      <c r="AO111" s="309">
        <v>2329445.30922601</v>
      </c>
      <c r="AP111" s="309">
        <v>0</v>
      </c>
      <c r="AQ111" s="309">
        <v>0</v>
      </c>
      <c r="AR111" s="309">
        <v>0</v>
      </c>
      <c r="AS111" s="309">
        <v>0</v>
      </c>
      <c r="AT111" s="309">
        <v>0</v>
      </c>
      <c r="AU111" s="309">
        <v>10583778.883576799</v>
      </c>
      <c r="AV111" s="309">
        <v>0</v>
      </c>
      <c r="AW111" s="309">
        <v>0</v>
      </c>
      <c r="AX111" s="309">
        <v>0</v>
      </c>
      <c r="AY111" s="309">
        <v>0</v>
      </c>
      <c r="AZ111" s="309">
        <v>0</v>
      </c>
      <c r="BA111" s="309">
        <v>0</v>
      </c>
      <c r="BB111" s="309">
        <v>0</v>
      </c>
      <c r="BC111" s="309">
        <v>1951076.47558275</v>
      </c>
      <c r="BF111" s="307" t="s">
        <v>343</v>
      </c>
      <c r="BG111" s="306">
        <v>0</v>
      </c>
      <c r="BH111" s="306">
        <v>0</v>
      </c>
    </row>
    <row r="112" spans="40:60" x14ac:dyDescent="0.2">
      <c r="AN112" s="307" t="s">
        <v>446</v>
      </c>
      <c r="AO112" s="309">
        <v>0</v>
      </c>
      <c r="AP112" s="309">
        <v>0</v>
      </c>
      <c r="AQ112" s="309">
        <v>0</v>
      </c>
      <c r="AR112" s="309">
        <v>0</v>
      </c>
      <c r="AS112" s="309">
        <v>0</v>
      </c>
      <c r="AT112" s="309">
        <v>0</v>
      </c>
      <c r="AU112" s="309">
        <v>0</v>
      </c>
      <c r="AV112" s="309">
        <v>0</v>
      </c>
      <c r="AW112" s="309">
        <v>0</v>
      </c>
      <c r="AX112" s="309">
        <v>0</v>
      </c>
      <c r="AY112" s="309">
        <v>0</v>
      </c>
      <c r="AZ112" s="309">
        <v>0</v>
      </c>
      <c r="BA112" s="309">
        <v>0</v>
      </c>
      <c r="BB112" s="309">
        <v>0</v>
      </c>
      <c r="BC112" s="309">
        <v>0</v>
      </c>
      <c r="BF112" s="307" t="s">
        <v>446</v>
      </c>
      <c r="BG112" s="306">
        <v>4157895.2984628798</v>
      </c>
      <c r="BH112" s="306">
        <v>0</v>
      </c>
    </row>
    <row r="113" spans="1:60" x14ac:dyDescent="0.2">
      <c r="AN113" s="307" t="s">
        <v>457</v>
      </c>
      <c r="AO113" s="309">
        <v>0</v>
      </c>
      <c r="AP113" s="309">
        <v>0</v>
      </c>
      <c r="AQ113" s="309">
        <v>0</v>
      </c>
      <c r="AR113" s="309">
        <v>0</v>
      </c>
      <c r="AS113" s="309">
        <v>0</v>
      </c>
      <c r="AT113" s="309">
        <v>0</v>
      </c>
      <c r="AU113" s="309">
        <v>0</v>
      </c>
      <c r="AV113" s="309">
        <v>0</v>
      </c>
      <c r="AW113" s="309">
        <v>0</v>
      </c>
      <c r="AX113" s="309">
        <v>0</v>
      </c>
      <c r="AY113" s="309">
        <v>0</v>
      </c>
      <c r="AZ113" s="309">
        <v>0</v>
      </c>
      <c r="BA113" s="309">
        <v>0</v>
      </c>
      <c r="BB113" s="309">
        <v>0</v>
      </c>
      <c r="BC113" s="309">
        <v>0</v>
      </c>
      <c r="BF113" s="307" t="s">
        <v>457</v>
      </c>
      <c r="BG113" s="306">
        <v>0</v>
      </c>
      <c r="BH113" s="306">
        <v>67875.356217847497</v>
      </c>
    </row>
    <row r="114" spans="1:60" x14ac:dyDescent="0.2">
      <c r="AN114" s="307" t="s">
        <v>425</v>
      </c>
      <c r="AO114" s="309">
        <v>0</v>
      </c>
      <c r="AP114" s="309">
        <v>0</v>
      </c>
      <c r="AQ114" s="309">
        <v>0</v>
      </c>
      <c r="AR114" s="309">
        <v>0</v>
      </c>
      <c r="AS114" s="309">
        <v>0</v>
      </c>
      <c r="AT114" s="309">
        <v>0</v>
      </c>
      <c r="AU114" s="309">
        <v>0</v>
      </c>
      <c r="AV114" s="309">
        <v>0</v>
      </c>
      <c r="AW114" s="309">
        <v>0</v>
      </c>
      <c r="AX114" s="309">
        <v>0</v>
      </c>
      <c r="AY114" s="309">
        <v>0</v>
      </c>
      <c r="AZ114" s="309">
        <v>0</v>
      </c>
      <c r="BA114" s="309">
        <v>0</v>
      </c>
      <c r="BB114" s="309">
        <v>242016.07607977401</v>
      </c>
      <c r="BC114" s="309">
        <v>0</v>
      </c>
      <c r="BF114" s="307" t="s">
        <v>425</v>
      </c>
      <c r="BG114" s="306">
        <v>0</v>
      </c>
      <c r="BH114" s="306">
        <v>0</v>
      </c>
    </row>
    <row r="115" spans="1:60" x14ac:dyDescent="0.2">
      <c r="AN115" s="307" t="s">
        <v>552</v>
      </c>
      <c r="AO115" s="309">
        <v>0</v>
      </c>
      <c r="AP115" s="309">
        <v>0</v>
      </c>
      <c r="AQ115" s="309">
        <v>0</v>
      </c>
      <c r="AR115" s="309">
        <v>0</v>
      </c>
      <c r="AS115" s="309">
        <v>0</v>
      </c>
      <c r="AT115" s="309">
        <v>0</v>
      </c>
      <c r="AU115" s="309">
        <v>0</v>
      </c>
      <c r="AV115" s="309">
        <v>0</v>
      </c>
      <c r="AW115" s="309">
        <v>0</v>
      </c>
      <c r="AX115" s="309">
        <v>0</v>
      </c>
      <c r="AY115" s="309">
        <v>0</v>
      </c>
      <c r="AZ115" s="309">
        <v>0</v>
      </c>
      <c r="BA115" s="309">
        <v>0</v>
      </c>
      <c r="BB115" s="309">
        <v>0</v>
      </c>
      <c r="BC115" s="309">
        <v>0</v>
      </c>
      <c r="BF115" s="307" t="s">
        <v>552</v>
      </c>
      <c r="BG115" s="306">
        <v>0</v>
      </c>
      <c r="BH115" s="306">
        <v>955411.77850757004</v>
      </c>
    </row>
    <row r="116" spans="1:60" x14ac:dyDescent="0.2">
      <c r="AN116" s="307" t="s">
        <v>517</v>
      </c>
      <c r="AO116" s="309">
        <v>2830357.1263978099</v>
      </c>
      <c r="AP116" s="309">
        <v>0</v>
      </c>
      <c r="AQ116" s="309">
        <v>0</v>
      </c>
      <c r="AR116" s="309">
        <v>0</v>
      </c>
      <c r="AS116" s="309">
        <v>0</v>
      </c>
      <c r="AT116" s="309">
        <v>0</v>
      </c>
      <c r="AU116" s="309">
        <v>0</v>
      </c>
      <c r="AV116" s="309">
        <v>0</v>
      </c>
      <c r="AW116" s="309">
        <v>0</v>
      </c>
      <c r="AX116" s="309">
        <v>0</v>
      </c>
      <c r="AY116" s="309">
        <v>0</v>
      </c>
      <c r="AZ116" s="309">
        <v>0</v>
      </c>
      <c r="BA116" s="309">
        <v>0</v>
      </c>
      <c r="BB116" s="309">
        <v>0</v>
      </c>
      <c r="BC116" s="309">
        <v>0</v>
      </c>
      <c r="BF116" s="307" t="s">
        <v>517</v>
      </c>
      <c r="BG116" s="306">
        <v>1213010.1970276299</v>
      </c>
      <c r="BH116" s="306">
        <v>0</v>
      </c>
    </row>
    <row r="117" spans="1:60" x14ac:dyDescent="0.2">
      <c r="AN117" s="307" t="s">
        <v>515</v>
      </c>
      <c r="AO117" s="309">
        <v>0</v>
      </c>
      <c r="AP117" s="309">
        <v>0</v>
      </c>
      <c r="AQ117" s="309">
        <v>0</v>
      </c>
      <c r="AR117" s="309">
        <v>0</v>
      </c>
      <c r="AS117" s="309">
        <v>4043367.3234254499</v>
      </c>
      <c r="AT117" s="309">
        <v>0</v>
      </c>
      <c r="AU117" s="309">
        <v>0</v>
      </c>
      <c r="AV117" s="309">
        <v>0</v>
      </c>
      <c r="AW117" s="309">
        <v>0</v>
      </c>
      <c r="AX117" s="309">
        <v>0</v>
      </c>
      <c r="AY117" s="309">
        <v>0</v>
      </c>
      <c r="AZ117" s="309">
        <v>0</v>
      </c>
      <c r="BA117" s="309">
        <v>0</v>
      </c>
      <c r="BB117" s="309">
        <v>0</v>
      </c>
      <c r="BC117" s="309">
        <v>0</v>
      </c>
      <c r="BF117" s="307" t="s">
        <v>515</v>
      </c>
      <c r="BG117" s="306">
        <v>0</v>
      </c>
      <c r="BH117" s="306">
        <v>0</v>
      </c>
    </row>
    <row r="118" spans="1:60" x14ac:dyDescent="0.2">
      <c r="AO118" s="432" t="s">
        <v>328</v>
      </c>
      <c r="AP118" s="433"/>
      <c r="AQ118" s="433"/>
      <c r="AR118" s="433"/>
      <c r="AS118" s="433"/>
      <c r="AT118" s="433"/>
      <c r="AU118" s="433"/>
      <c r="AV118" s="433"/>
      <c r="AW118" s="433"/>
      <c r="AX118" s="433"/>
      <c r="AY118" s="433"/>
      <c r="AZ118" s="433"/>
      <c r="BA118" s="433"/>
      <c r="BB118" s="433"/>
      <c r="BC118" s="433"/>
      <c r="BG118" s="432" t="s">
        <v>330</v>
      </c>
      <c r="BH118" s="433"/>
    </row>
    <row r="121" spans="1:60" ht="236" x14ac:dyDescent="0.2">
      <c r="B121" s="308" t="s">
        <v>484</v>
      </c>
      <c r="C121" s="308" t="s">
        <v>421</v>
      </c>
      <c r="D121" s="308" t="s">
        <v>447</v>
      </c>
      <c r="E121" s="308" t="s">
        <v>445</v>
      </c>
      <c r="F121" s="308" t="s">
        <v>456</v>
      </c>
      <c r="G121" s="308" t="s">
        <v>430</v>
      </c>
      <c r="H121" s="308" t="s">
        <v>433</v>
      </c>
      <c r="I121" s="308" t="s">
        <v>336</v>
      </c>
      <c r="J121" s="308" t="s">
        <v>422</v>
      </c>
      <c r="K121" s="308" t="s">
        <v>355</v>
      </c>
      <c r="L121" s="308" t="s">
        <v>416</v>
      </c>
      <c r="M121" s="308" t="s">
        <v>423</v>
      </c>
      <c r="N121" s="308" t="s">
        <v>409</v>
      </c>
      <c r="O121" s="308" t="s">
        <v>437</v>
      </c>
      <c r="P121" s="308" t="s">
        <v>342</v>
      </c>
      <c r="Q121" s="308" t="s">
        <v>448</v>
      </c>
      <c r="R121" s="308" t="s">
        <v>462</v>
      </c>
      <c r="S121" s="308" t="s">
        <v>439</v>
      </c>
      <c r="T121" s="308" t="s">
        <v>442</v>
      </c>
      <c r="U121" s="308" t="s">
        <v>441</v>
      </c>
      <c r="V121" s="308" t="s">
        <v>333</v>
      </c>
      <c r="W121" s="308" t="s">
        <v>438</v>
      </c>
      <c r="X121" s="308" t="s">
        <v>426</v>
      </c>
      <c r="Y121" s="308" t="s">
        <v>424</v>
      </c>
      <c r="Z121" s="308" t="s">
        <v>412</v>
      </c>
      <c r="AA121" s="308" t="s">
        <v>436</v>
      </c>
      <c r="AB121" s="308" t="s">
        <v>335</v>
      </c>
      <c r="AC121" s="308" t="s">
        <v>427</v>
      </c>
      <c r="AD121" s="308" t="s">
        <v>463</v>
      </c>
      <c r="AE121" s="308" t="s">
        <v>343</v>
      </c>
      <c r="AF121" s="308" t="s">
        <v>446</v>
      </c>
      <c r="AG121" s="308" t="s">
        <v>457</v>
      </c>
      <c r="AH121" s="308" t="s">
        <v>425</v>
      </c>
      <c r="AI121" s="308" t="s">
        <v>552</v>
      </c>
      <c r="AJ121" s="308" t="s">
        <v>517</v>
      </c>
      <c r="AK121" s="308" t="s">
        <v>515</v>
      </c>
    </row>
    <row r="122" spans="1:60" x14ac:dyDescent="0.2">
      <c r="A122" s="307" t="s">
        <v>337</v>
      </c>
      <c r="B122" s="309">
        <v>0</v>
      </c>
      <c r="C122" s="309">
        <v>0</v>
      </c>
      <c r="D122" s="309">
        <v>404209.15818875801</v>
      </c>
      <c r="E122" s="309">
        <v>0</v>
      </c>
      <c r="F122" s="309">
        <v>0</v>
      </c>
      <c r="G122" s="309">
        <v>0</v>
      </c>
      <c r="H122" s="309">
        <v>0</v>
      </c>
      <c r="I122" s="309">
        <v>0</v>
      </c>
      <c r="J122" s="309">
        <v>0</v>
      </c>
      <c r="K122" s="309">
        <v>0</v>
      </c>
      <c r="L122" s="309">
        <v>0</v>
      </c>
      <c r="M122" s="309">
        <v>0</v>
      </c>
      <c r="N122" s="309">
        <v>0</v>
      </c>
      <c r="O122" s="309">
        <v>0</v>
      </c>
      <c r="P122" s="309">
        <v>0</v>
      </c>
      <c r="Q122" s="309">
        <v>0</v>
      </c>
      <c r="R122" s="309">
        <v>0</v>
      </c>
      <c r="S122" s="309">
        <v>0</v>
      </c>
      <c r="T122" s="309">
        <v>0</v>
      </c>
      <c r="U122" s="309">
        <v>0</v>
      </c>
      <c r="V122" s="309">
        <v>0</v>
      </c>
      <c r="W122" s="309">
        <v>0</v>
      </c>
      <c r="X122" s="309">
        <v>0</v>
      </c>
      <c r="Y122" s="309">
        <v>0</v>
      </c>
      <c r="Z122" s="309">
        <v>0</v>
      </c>
      <c r="AA122" s="309">
        <v>0</v>
      </c>
      <c r="AB122" s="309">
        <v>0</v>
      </c>
      <c r="AC122" s="309">
        <v>0</v>
      </c>
      <c r="AD122" s="309">
        <v>0</v>
      </c>
      <c r="AE122" s="309">
        <v>0</v>
      </c>
      <c r="AF122" s="309">
        <v>4157895.2984628798</v>
      </c>
      <c r="AG122" s="309">
        <v>67875.356217847497</v>
      </c>
      <c r="AH122" s="309">
        <v>0</v>
      </c>
      <c r="AI122" s="309">
        <v>0</v>
      </c>
      <c r="AJ122" s="309">
        <v>0</v>
      </c>
      <c r="AK122" s="309">
        <v>0</v>
      </c>
    </row>
    <row r="123" spans="1:60" x14ac:dyDescent="0.2">
      <c r="A123" s="307" t="s">
        <v>362</v>
      </c>
      <c r="B123" s="309">
        <v>0</v>
      </c>
      <c r="C123" s="309">
        <v>0</v>
      </c>
      <c r="D123" s="309">
        <v>0</v>
      </c>
      <c r="E123" s="309">
        <v>0</v>
      </c>
      <c r="F123" s="309">
        <v>8855804.3203369807</v>
      </c>
      <c r="G123" s="309">
        <v>0</v>
      </c>
      <c r="H123" s="309">
        <v>0</v>
      </c>
      <c r="I123" s="309">
        <v>0</v>
      </c>
      <c r="J123" s="309">
        <v>0</v>
      </c>
      <c r="K123" s="309">
        <v>0</v>
      </c>
      <c r="L123" s="309">
        <v>0</v>
      </c>
      <c r="M123" s="309">
        <v>0</v>
      </c>
      <c r="N123" s="309">
        <v>0</v>
      </c>
      <c r="O123" s="309">
        <v>0</v>
      </c>
      <c r="P123" s="309">
        <v>0</v>
      </c>
      <c r="Q123" s="309">
        <v>0</v>
      </c>
      <c r="R123" s="309">
        <v>0</v>
      </c>
      <c r="S123" s="309">
        <v>0</v>
      </c>
      <c r="T123" s="309">
        <v>0</v>
      </c>
      <c r="U123" s="309">
        <v>0</v>
      </c>
      <c r="V123" s="309">
        <v>0</v>
      </c>
      <c r="W123" s="309">
        <v>0</v>
      </c>
      <c r="X123" s="309">
        <v>0</v>
      </c>
      <c r="Y123" s="309">
        <v>0</v>
      </c>
      <c r="Z123" s="309">
        <v>0</v>
      </c>
      <c r="AA123" s="309">
        <v>0</v>
      </c>
      <c r="AB123" s="309">
        <v>0</v>
      </c>
      <c r="AC123" s="309">
        <v>0</v>
      </c>
      <c r="AD123" s="309">
        <v>0</v>
      </c>
      <c r="AE123" s="309">
        <v>0</v>
      </c>
      <c r="AF123" s="309">
        <v>0</v>
      </c>
      <c r="AG123" s="309">
        <v>0</v>
      </c>
      <c r="AH123" s="309">
        <v>0</v>
      </c>
      <c r="AI123" s="309">
        <v>0</v>
      </c>
      <c r="AJ123" s="309">
        <v>0</v>
      </c>
      <c r="AK123" s="309">
        <v>0</v>
      </c>
    </row>
    <row r="124" spans="1:60" x14ac:dyDescent="0.2">
      <c r="A124" s="307" t="s">
        <v>327</v>
      </c>
      <c r="B124" s="309">
        <v>0</v>
      </c>
      <c r="C124" s="309">
        <v>0</v>
      </c>
      <c r="D124" s="309">
        <v>0</v>
      </c>
      <c r="E124" s="309">
        <v>0</v>
      </c>
      <c r="F124" s="309">
        <v>0</v>
      </c>
      <c r="G124" s="309">
        <v>8855804.3203369807</v>
      </c>
      <c r="H124" s="309">
        <v>0</v>
      </c>
      <c r="I124" s="309">
        <v>0</v>
      </c>
      <c r="J124" s="309">
        <v>0</v>
      </c>
      <c r="K124" s="309">
        <v>0</v>
      </c>
      <c r="L124" s="309">
        <v>555.77441893806395</v>
      </c>
      <c r="M124" s="309">
        <v>0</v>
      </c>
      <c r="N124" s="309">
        <v>0</v>
      </c>
      <c r="O124" s="309">
        <v>0</v>
      </c>
      <c r="P124" s="309">
        <v>0</v>
      </c>
      <c r="Q124" s="309">
        <v>0</v>
      </c>
      <c r="R124" s="309">
        <v>0</v>
      </c>
      <c r="S124" s="309">
        <v>0</v>
      </c>
      <c r="T124" s="309">
        <v>0</v>
      </c>
      <c r="U124" s="309">
        <v>0</v>
      </c>
      <c r="V124" s="309">
        <v>0</v>
      </c>
      <c r="W124" s="309">
        <v>0</v>
      </c>
      <c r="X124" s="309">
        <v>0</v>
      </c>
      <c r="Y124" s="309">
        <v>0</v>
      </c>
      <c r="Z124" s="309">
        <v>0</v>
      </c>
      <c r="AA124" s="309">
        <v>0</v>
      </c>
      <c r="AB124" s="309">
        <v>0</v>
      </c>
      <c r="AC124" s="309">
        <v>0</v>
      </c>
      <c r="AD124" s="309">
        <v>0</v>
      </c>
      <c r="AE124" s="309">
        <v>0</v>
      </c>
      <c r="AF124" s="309">
        <v>0</v>
      </c>
      <c r="AG124" s="309">
        <v>0</v>
      </c>
      <c r="AH124" s="309">
        <v>0</v>
      </c>
      <c r="AI124" s="309">
        <v>0</v>
      </c>
      <c r="AJ124" s="309">
        <v>0</v>
      </c>
      <c r="AK124" s="309">
        <v>0</v>
      </c>
    </row>
    <row r="125" spans="1:60" x14ac:dyDescent="0.2">
      <c r="A125" s="307" t="s">
        <v>434</v>
      </c>
      <c r="B125" s="309">
        <v>0</v>
      </c>
      <c r="C125" s="309">
        <v>0</v>
      </c>
      <c r="D125" s="309">
        <v>0</v>
      </c>
      <c r="E125" s="309">
        <v>0</v>
      </c>
      <c r="F125" s="309">
        <v>0</v>
      </c>
      <c r="G125" s="309">
        <v>0</v>
      </c>
      <c r="H125" s="309">
        <v>8855804.3203369807</v>
      </c>
      <c r="I125" s="309">
        <v>0</v>
      </c>
      <c r="J125" s="309">
        <v>0</v>
      </c>
      <c r="K125" s="309">
        <v>0</v>
      </c>
      <c r="L125" s="309">
        <v>0</v>
      </c>
      <c r="M125" s="309">
        <v>0</v>
      </c>
      <c r="N125" s="309">
        <v>0</v>
      </c>
      <c r="O125" s="309">
        <v>0</v>
      </c>
      <c r="P125" s="309">
        <v>0</v>
      </c>
      <c r="Q125" s="309">
        <v>0</v>
      </c>
      <c r="R125" s="309">
        <v>0</v>
      </c>
      <c r="S125" s="309">
        <v>0</v>
      </c>
      <c r="T125" s="309">
        <v>0</v>
      </c>
      <c r="U125" s="309">
        <v>0</v>
      </c>
      <c r="V125" s="309">
        <v>0</v>
      </c>
      <c r="W125" s="309">
        <v>0</v>
      </c>
      <c r="X125" s="309">
        <v>0</v>
      </c>
      <c r="Y125" s="309">
        <v>0</v>
      </c>
      <c r="Z125" s="309">
        <v>0</v>
      </c>
      <c r="AA125" s="309">
        <v>0</v>
      </c>
      <c r="AB125" s="309">
        <v>0</v>
      </c>
      <c r="AC125" s="309">
        <v>0</v>
      </c>
      <c r="AD125" s="309">
        <v>0</v>
      </c>
      <c r="AE125" s="309">
        <v>0</v>
      </c>
      <c r="AF125" s="309">
        <v>0</v>
      </c>
      <c r="AG125" s="309">
        <v>0</v>
      </c>
      <c r="AH125" s="309">
        <v>0</v>
      </c>
      <c r="AI125" s="309">
        <v>0</v>
      </c>
      <c r="AJ125" s="309">
        <v>0</v>
      </c>
      <c r="AK125" s="309">
        <v>0</v>
      </c>
    </row>
    <row r="126" spans="1:60" x14ac:dyDescent="0.2">
      <c r="A126" s="307" t="s">
        <v>516</v>
      </c>
      <c r="B126" s="309">
        <v>0</v>
      </c>
      <c r="C126" s="309">
        <v>0</v>
      </c>
      <c r="D126" s="309">
        <v>0</v>
      </c>
      <c r="E126" s="309">
        <v>0</v>
      </c>
      <c r="F126" s="309">
        <v>0</v>
      </c>
      <c r="G126" s="309">
        <v>0</v>
      </c>
      <c r="H126" s="309">
        <v>0</v>
      </c>
      <c r="I126" s="309">
        <v>0</v>
      </c>
      <c r="J126" s="309">
        <v>0</v>
      </c>
      <c r="K126" s="309">
        <v>0</v>
      </c>
      <c r="L126" s="309">
        <v>0</v>
      </c>
      <c r="M126" s="309">
        <v>0</v>
      </c>
      <c r="N126" s="309">
        <v>0</v>
      </c>
      <c r="O126" s="309">
        <v>0</v>
      </c>
      <c r="P126" s="309">
        <v>0</v>
      </c>
      <c r="Q126" s="309">
        <v>0</v>
      </c>
      <c r="R126" s="309">
        <v>0</v>
      </c>
      <c r="S126" s="309">
        <v>0</v>
      </c>
      <c r="T126" s="309">
        <v>0</v>
      </c>
      <c r="U126" s="309">
        <v>0</v>
      </c>
      <c r="V126" s="309">
        <v>0</v>
      </c>
      <c r="W126" s="309">
        <v>0</v>
      </c>
      <c r="X126" s="309">
        <v>0</v>
      </c>
      <c r="Y126" s="309">
        <v>0</v>
      </c>
      <c r="Z126" s="309">
        <v>0</v>
      </c>
      <c r="AA126" s="309">
        <v>0</v>
      </c>
      <c r="AB126" s="309">
        <v>0</v>
      </c>
      <c r="AC126" s="309">
        <v>0</v>
      </c>
      <c r="AD126" s="309">
        <v>0</v>
      </c>
      <c r="AE126" s="309">
        <v>0</v>
      </c>
      <c r="AF126" s="309">
        <v>0</v>
      </c>
      <c r="AG126" s="309">
        <v>0</v>
      </c>
      <c r="AH126" s="309">
        <v>0</v>
      </c>
      <c r="AI126" s="309">
        <v>0</v>
      </c>
      <c r="AJ126" s="309">
        <v>4043367.3234254499</v>
      </c>
      <c r="AK126" s="309">
        <v>0</v>
      </c>
    </row>
    <row r="127" spans="1:60" x14ac:dyDescent="0.2">
      <c r="A127" s="307" t="s">
        <v>514</v>
      </c>
      <c r="B127" s="309">
        <v>0</v>
      </c>
      <c r="C127" s="309">
        <v>0</v>
      </c>
      <c r="D127" s="309">
        <v>0</v>
      </c>
      <c r="E127" s="309">
        <v>0</v>
      </c>
      <c r="F127" s="309">
        <v>0</v>
      </c>
      <c r="G127" s="309">
        <v>0</v>
      </c>
      <c r="H127" s="309">
        <v>0</v>
      </c>
      <c r="I127" s="309">
        <v>0</v>
      </c>
      <c r="J127" s="309">
        <v>0</v>
      </c>
      <c r="K127" s="309">
        <v>0</v>
      </c>
      <c r="L127" s="309">
        <v>0</v>
      </c>
      <c r="M127" s="309">
        <v>0</v>
      </c>
      <c r="N127" s="309">
        <v>0</v>
      </c>
      <c r="O127" s="309">
        <v>0</v>
      </c>
      <c r="P127" s="309">
        <v>0</v>
      </c>
      <c r="Q127" s="309">
        <v>0</v>
      </c>
      <c r="R127" s="309">
        <v>0</v>
      </c>
      <c r="S127" s="309">
        <v>0</v>
      </c>
      <c r="T127" s="309">
        <v>0</v>
      </c>
      <c r="U127" s="309">
        <v>0</v>
      </c>
      <c r="V127" s="309">
        <v>0</v>
      </c>
      <c r="W127" s="309">
        <v>0</v>
      </c>
      <c r="X127" s="309">
        <v>0</v>
      </c>
      <c r="Y127" s="309">
        <v>0</v>
      </c>
      <c r="Z127" s="309">
        <v>0</v>
      </c>
      <c r="AA127" s="309">
        <v>0</v>
      </c>
      <c r="AB127" s="309">
        <v>0</v>
      </c>
      <c r="AC127" s="309">
        <v>0</v>
      </c>
      <c r="AD127" s="309">
        <v>0</v>
      </c>
      <c r="AE127" s="309">
        <v>0</v>
      </c>
      <c r="AF127" s="309">
        <v>0</v>
      </c>
      <c r="AG127" s="309">
        <v>0</v>
      </c>
      <c r="AH127" s="309">
        <v>0</v>
      </c>
      <c r="AI127" s="309">
        <v>0</v>
      </c>
      <c r="AJ127" s="309">
        <v>0</v>
      </c>
      <c r="AK127" s="309">
        <v>4043367.3234254499</v>
      </c>
    </row>
    <row r="128" spans="1:60" x14ac:dyDescent="0.2">
      <c r="A128" s="307" t="s">
        <v>344</v>
      </c>
      <c r="B128" s="309">
        <v>6408288.6211381704</v>
      </c>
      <c r="C128" s="309">
        <v>8991.6203231094005</v>
      </c>
      <c r="D128" s="309">
        <v>0</v>
      </c>
      <c r="E128" s="309">
        <v>0</v>
      </c>
      <c r="F128" s="309">
        <v>0</v>
      </c>
      <c r="G128" s="309">
        <v>0</v>
      </c>
      <c r="H128" s="309">
        <v>0</v>
      </c>
      <c r="I128" s="309">
        <v>0</v>
      </c>
      <c r="J128" s="309">
        <v>4026178.1360752499</v>
      </c>
      <c r="K128" s="309">
        <v>0</v>
      </c>
      <c r="L128" s="309">
        <v>0</v>
      </c>
      <c r="M128" s="309">
        <v>303788.26554911397</v>
      </c>
      <c r="N128" s="309">
        <v>0</v>
      </c>
      <c r="O128" s="309">
        <v>0</v>
      </c>
      <c r="P128" s="309">
        <v>0</v>
      </c>
      <c r="Q128" s="309">
        <v>0</v>
      </c>
      <c r="R128" s="309">
        <v>0</v>
      </c>
      <c r="S128" s="309">
        <v>0</v>
      </c>
      <c r="T128" s="309">
        <v>0</v>
      </c>
      <c r="U128" s="309">
        <v>0</v>
      </c>
      <c r="V128" s="309">
        <v>0</v>
      </c>
      <c r="W128" s="309">
        <v>0</v>
      </c>
      <c r="X128" s="309">
        <v>0</v>
      </c>
      <c r="Y128" s="309">
        <v>0</v>
      </c>
      <c r="Z128" s="309">
        <v>0</v>
      </c>
      <c r="AA128" s="309">
        <v>0</v>
      </c>
      <c r="AB128" s="309">
        <v>0</v>
      </c>
      <c r="AC128" s="309">
        <v>0</v>
      </c>
      <c r="AD128" s="309">
        <v>0</v>
      </c>
      <c r="AE128" s="309">
        <v>0</v>
      </c>
      <c r="AF128" s="309">
        <v>0</v>
      </c>
      <c r="AG128" s="309">
        <v>0</v>
      </c>
      <c r="AH128" s="309">
        <v>0</v>
      </c>
      <c r="AI128" s="309">
        <v>955411.77850757004</v>
      </c>
      <c r="AJ128" s="309">
        <v>0</v>
      </c>
      <c r="AK128" s="309">
        <v>0</v>
      </c>
    </row>
    <row r="129" spans="1:37" x14ac:dyDescent="0.2">
      <c r="A129" s="307" t="s">
        <v>351</v>
      </c>
      <c r="B129" s="309">
        <v>0</v>
      </c>
      <c r="C129" s="309">
        <v>0</v>
      </c>
      <c r="D129" s="309">
        <v>0</v>
      </c>
      <c r="E129" s="309">
        <v>0</v>
      </c>
      <c r="F129" s="309">
        <v>0</v>
      </c>
      <c r="G129" s="309">
        <v>0</v>
      </c>
      <c r="H129" s="309">
        <v>0</v>
      </c>
      <c r="I129" s="309">
        <v>0</v>
      </c>
      <c r="J129" s="309">
        <v>0</v>
      </c>
      <c r="K129" s="309">
        <v>0</v>
      </c>
      <c r="L129" s="309">
        <v>0</v>
      </c>
      <c r="M129" s="309">
        <v>0</v>
      </c>
      <c r="N129" s="309">
        <v>0</v>
      </c>
      <c r="O129" s="309">
        <v>0</v>
      </c>
      <c r="P129" s="309">
        <v>0</v>
      </c>
      <c r="Q129" s="309">
        <v>0</v>
      </c>
      <c r="R129" s="309">
        <v>0</v>
      </c>
      <c r="S129" s="309">
        <v>88071.706245154506</v>
      </c>
      <c r="T129" s="309">
        <v>0</v>
      </c>
      <c r="U129" s="309">
        <v>0</v>
      </c>
      <c r="V129" s="309">
        <v>0</v>
      </c>
      <c r="W129" s="309">
        <v>21722.892325740399</v>
      </c>
      <c r="X129" s="309">
        <v>0</v>
      </c>
      <c r="Y129" s="309">
        <v>0</v>
      </c>
      <c r="Z129" s="309">
        <v>0</v>
      </c>
      <c r="AA129" s="309">
        <v>0</v>
      </c>
      <c r="AB129" s="309">
        <v>0</v>
      </c>
      <c r="AC129" s="309">
        <v>0</v>
      </c>
      <c r="AD129" s="309">
        <v>0</v>
      </c>
      <c r="AE129" s="309">
        <v>0</v>
      </c>
      <c r="AF129" s="309">
        <v>0</v>
      </c>
      <c r="AG129" s="309">
        <v>0</v>
      </c>
      <c r="AH129" s="309">
        <v>0</v>
      </c>
      <c r="AI129" s="309">
        <v>0</v>
      </c>
      <c r="AJ129" s="309">
        <v>0</v>
      </c>
      <c r="AK129" s="309">
        <v>0</v>
      </c>
    </row>
    <row r="130" spans="1:37" x14ac:dyDescent="0.2">
      <c r="A130" s="307" t="s">
        <v>325</v>
      </c>
      <c r="B130" s="309">
        <v>0</v>
      </c>
      <c r="C130" s="309">
        <v>0</v>
      </c>
      <c r="D130" s="309">
        <v>0</v>
      </c>
      <c r="E130" s="309">
        <v>0</v>
      </c>
      <c r="F130" s="309">
        <v>0</v>
      </c>
      <c r="G130" s="309">
        <v>0</v>
      </c>
      <c r="H130" s="309">
        <v>0</v>
      </c>
      <c r="I130" s="309">
        <v>0</v>
      </c>
      <c r="J130" s="309">
        <v>0</v>
      </c>
      <c r="K130" s="309">
        <v>0</v>
      </c>
      <c r="L130" s="309">
        <v>0</v>
      </c>
      <c r="M130" s="309">
        <v>0</v>
      </c>
      <c r="N130" s="309">
        <v>2244.7960862667501</v>
      </c>
      <c r="O130" s="309">
        <v>0</v>
      </c>
      <c r="P130" s="309">
        <v>0</v>
      </c>
      <c r="Q130" s="309">
        <v>0</v>
      </c>
      <c r="R130" s="309">
        <v>0</v>
      </c>
      <c r="S130" s="309">
        <v>0</v>
      </c>
      <c r="T130" s="309">
        <v>108184.85967288</v>
      </c>
      <c r="U130" s="309">
        <v>0</v>
      </c>
      <c r="V130" s="309">
        <v>0</v>
      </c>
      <c r="W130" s="309">
        <v>0</v>
      </c>
      <c r="X130" s="309">
        <v>0</v>
      </c>
      <c r="Y130" s="309">
        <v>0</v>
      </c>
      <c r="Z130" s="309">
        <v>0</v>
      </c>
      <c r="AA130" s="309">
        <v>0</v>
      </c>
      <c r="AB130" s="309">
        <v>0</v>
      </c>
      <c r="AC130" s="309">
        <v>0</v>
      </c>
      <c r="AD130" s="309">
        <v>0</v>
      </c>
      <c r="AE130" s="309">
        <v>0</v>
      </c>
      <c r="AF130" s="309">
        <v>0</v>
      </c>
      <c r="AG130" s="309">
        <v>0</v>
      </c>
      <c r="AH130" s="309">
        <v>0</v>
      </c>
      <c r="AI130" s="309">
        <v>0</v>
      </c>
      <c r="AJ130" s="309">
        <v>0</v>
      </c>
      <c r="AK130" s="309">
        <v>0</v>
      </c>
    </row>
    <row r="131" spans="1:37" x14ac:dyDescent="0.2">
      <c r="A131" s="307" t="s">
        <v>455</v>
      </c>
      <c r="B131" s="309">
        <v>0</v>
      </c>
      <c r="C131" s="309">
        <v>0</v>
      </c>
      <c r="D131" s="309">
        <v>0</v>
      </c>
      <c r="E131" s="309">
        <v>0</v>
      </c>
      <c r="F131" s="309">
        <v>0</v>
      </c>
      <c r="G131" s="309">
        <v>0</v>
      </c>
      <c r="H131" s="309">
        <v>0</v>
      </c>
      <c r="I131" s="309">
        <v>0</v>
      </c>
      <c r="J131" s="309">
        <v>0</v>
      </c>
      <c r="K131" s="309">
        <v>0</v>
      </c>
      <c r="L131" s="309">
        <v>0</v>
      </c>
      <c r="M131" s="309">
        <v>0</v>
      </c>
      <c r="N131" s="309">
        <v>0</v>
      </c>
      <c r="O131" s="309">
        <v>0</v>
      </c>
      <c r="P131" s="309">
        <v>0</v>
      </c>
      <c r="Q131" s="309">
        <v>0</v>
      </c>
      <c r="R131" s="309">
        <v>0</v>
      </c>
      <c r="S131" s="309">
        <v>0</v>
      </c>
      <c r="T131" s="309">
        <v>0</v>
      </c>
      <c r="U131" s="309">
        <v>108184.85967288</v>
      </c>
      <c r="V131" s="309">
        <v>0</v>
      </c>
      <c r="W131" s="309">
        <v>0</v>
      </c>
      <c r="X131" s="309">
        <v>0</v>
      </c>
      <c r="Y131" s="309">
        <v>0</v>
      </c>
      <c r="Z131" s="309">
        <v>0</v>
      </c>
      <c r="AA131" s="309">
        <v>0</v>
      </c>
      <c r="AB131" s="309">
        <v>0</v>
      </c>
      <c r="AC131" s="309">
        <v>0</v>
      </c>
      <c r="AD131" s="309">
        <v>0</v>
      </c>
      <c r="AE131" s="309">
        <v>0</v>
      </c>
      <c r="AF131" s="309">
        <v>0</v>
      </c>
      <c r="AG131" s="309">
        <v>0</v>
      </c>
      <c r="AH131" s="309">
        <v>0</v>
      </c>
      <c r="AI131" s="309">
        <v>0</v>
      </c>
      <c r="AJ131" s="309">
        <v>0</v>
      </c>
      <c r="AK131" s="309">
        <v>0</v>
      </c>
    </row>
    <row r="132" spans="1:37" x14ac:dyDescent="0.2">
      <c r="A132" s="307" t="s">
        <v>348</v>
      </c>
      <c r="B132" s="309">
        <v>0</v>
      </c>
      <c r="C132" s="309">
        <v>0</v>
      </c>
      <c r="D132" s="309">
        <v>0</v>
      </c>
      <c r="E132" s="309">
        <v>0</v>
      </c>
      <c r="F132" s="309">
        <v>0</v>
      </c>
      <c r="G132" s="309">
        <v>0</v>
      </c>
      <c r="H132" s="309">
        <v>0</v>
      </c>
      <c r="I132" s="309">
        <v>0</v>
      </c>
      <c r="J132" s="309">
        <v>0</v>
      </c>
      <c r="K132" s="309">
        <v>0</v>
      </c>
      <c r="L132" s="309">
        <v>0</v>
      </c>
      <c r="M132" s="309">
        <v>0</v>
      </c>
      <c r="N132" s="309">
        <v>0</v>
      </c>
      <c r="O132" s="309">
        <v>0</v>
      </c>
      <c r="P132" s="309">
        <v>0</v>
      </c>
      <c r="Q132" s="309">
        <v>0</v>
      </c>
      <c r="R132" s="309">
        <v>0</v>
      </c>
      <c r="S132" s="309">
        <v>0</v>
      </c>
      <c r="T132" s="309">
        <v>0</v>
      </c>
      <c r="U132" s="309">
        <v>0</v>
      </c>
      <c r="V132" s="309">
        <v>0</v>
      </c>
      <c r="W132" s="309">
        <v>0</v>
      </c>
      <c r="X132" s="309">
        <v>0</v>
      </c>
      <c r="Y132" s="309">
        <v>25297.051877142199</v>
      </c>
      <c r="Z132" s="309">
        <v>0</v>
      </c>
      <c r="AA132" s="309">
        <v>0</v>
      </c>
      <c r="AB132" s="309">
        <v>0</v>
      </c>
      <c r="AC132" s="309">
        <v>0</v>
      </c>
      <c r="AD132" s="309">
        <v>0</v>
      </c>
      <c r="AE132" s="309">
        <v>0</v>
      </c>
      <c r="AF132" s="309">
        <v>0</v>
      </c>
      <c r="AG132" s="309">
        <v>0</v>
      </c>
      <c r="AH132" s="309">
        <v>0</v>
      </c>
      <c r="AI132" s="309">
        <v>0</v>
      </c>
      <c r="AJ132" s="309">
        <v>0</v>
      </c>
      <c r="AK132" s="309">
        <v>0</v>
      </c>
    </row>
    <row r="133" spans="1:37" x14ac:dyDescent="0.2">
      <c r="A133" s="307" t="s">
        <v>326</v>
      </c>
      <c r="B133" s="309">
        <v>0</v>
      </c>
      <c r="C133" s="309">
        <v>0</v>
      </c>
      <c r="D133" s="309">
        <v>0</v>
      </c>
      <c r="E133" s="309">
        <v>0</v>
      </c>
      <c r="F133" s="309">
        <v>0</v>
      </c>
      <c r="G133" s="309">
        <v>0</v>
      </c>
      <c r="H133" s="309">
        <v>0</v>
      </c>
      <c r="I133" s="309">
        <v>0</v>
      </c>
      <c r="J133" s="309">
        <v>0</v>
      </c>
      <c r="K133" s="309">
        <v>0</v>
      </c>
      <c r="L133" s="309">
        <v>0</v>
      </c>
      <c r="M133" s="309">
        <v>0</v>
      </c>
      <c r="N133" s="309">
        <v>0</v>
      </c>
      <c r="O133" s="309">
        <v>6.7177820097776797</v>
      </c>
      <c r="P133" s="309">
        <v>0</v>
      </c>
      <c r="Q133" s="309">
        <v>0</v>
      </c>
      <c r="R133" s="309">
        <v>0</v>
      </c>
      <c r="S133" s="309">
        <v>0</v>
      </c>
      <c r="T133" s="309">
        <v>0</v>
      </c>
      <c r="U133" s="309">
        <v>0</v>
      </c>
      <c r="V133" s="309">
        <v>0</v>
      </c>
      <c r="W133" s="309">
        <v>0</v>
      </c>
      <c r="X133" s="309">
        <v>0</v>
      </c>
      <c r="Y133" s="309">
        <v>0</v>
      </c>
      <c r="Z133" s="309">
        <v>25297.051877142199</v>
      </c>
      <c r="AA133" s="309">
        <v>0</v>
      </c>
      <c r="AB133" s="309">
        <v>0</v>
      </c>
      <c r="AC133" s="309">
        <v>0</v>
      </c>
      <c r="AD133" s="309">
        <v>0</v>
      </c>
      <c r="AE133" s="309">
        <v>0</v>
      </c>
      <c r="AF133" s="309">
        <v>0</v>
      </c>
      <c r="AG133" s="309">
        <v>0</v>
      </c>
      <c r="AH133" s="309">
        <v>0</v>
      </c>
      <c r="AI133" s="309">
        <v>0</v>
      </c>
      <c r="AJ133" s="309">
        <v>0</v>
      </c>
      <c r="AK133" s="309">
        <v>0</v>
      </c>
    </row>
    <row r="134" spans="1:37" x14ac:dyDescent="0.2">
      <c r="A134" s="307" t="s">
        <v>435</v>
      </c>
      <c r="B134" s="309">
        <v>0</v>
      </c>
      <c r="C134" s="309">
        <v>0</v>
      </c>
      <c r="D134" s="309">
        <v>0</v>
      </c>
      <c r="E134" s="309">
        <v>0</v>
      </c>
      <c r="F134" s="309">
        <v>0</v>
      </c>
      <c r="G134" s="309">
        <v>0</v>
      </c>
      <c r="H134" s="309">
        <v>0</v>
      </c>
      <c r="I134" s="309">
        <v>0</v>
      </c>
      <c r="J134" s="309">
        <v>0</v>
      </c>
      <c r="K134" s="309">
        <v>0</v>
      </c>
      <c r="L134" s="309">
        <v>0</v>
      </c>
      <c r="M134" s="309">
        <v>0</v>
      </c>
      <c r="N134" s="309">
        <v>0</v>
      </c>
      <c r="O134" s="309">
        <v>0</v>
      </c>
      <c r="P134" s="309">
        <v>0</v>
      </c>
      <c r="Q134" s="309">
        <v>0</v>
      </c>
      <c r="R134" s="309">
        <v>0</v>
      </c>
      <c r="S134" s="309">
        <v>0</v>
      </c>
      <c r="T134" s="309">
        <v>0</v>
      </c>
      <c r="U134" s="309">
        <v>0</v>
      </c>
      <c r="V134" s="309">
        <v>0</v>
      </c>
      <c r="W134" s="309">
        <v>0</v>
      </c>
      <c r="X134" s="309">
        <v>0</v>
      </c>
      <c r="Y134" s="309">
        <v>0</v>
      </c>
      <c r="Z134" s="309">
        <v>0</v>
      </c>
      <c r="AA134" s="309">
        <v>25297.051877142199</v>
      </c>
      <c r="AB134" s="309">
        <v>0</v>
      </c>
      <c r="AC134" s="309">
        <v>0</v>
      </c>
      <c r="AD134" s="309">
        <v>0</v>
      </c>
      <c r="AE134" s="309">
        <v>0</v>
      </c>
      <c r="AF134" s="309">
        <v>0</v>
      </c>
      <c r="AG134" s="309">
        <v>0</v>
      </c>
      <c r="AH134" s="309">
        <v>0</v>
      </c>
      <c r="AI134" s="309">
        <v>0</v>
      </c>
      <c r="AJ134" s="309">
        <v>0</v>
      </c>
      <c r="AK134" s="309">
        <v>0</v>
      </c>
    </row>
    <row r="135" spans="1:37" x14ac:dyDescent="0.2">
      <c r="A135" s="307" t="s">
        <v>76</v>
      </c>
      <c r="B135" s="309">
        <v>0</v>
      </c>
      <c r="C135" s="309">
        <v>0</v>
      </c>
      <c r="D135" s="309">
        <v>0</v>
      </c>
      <c r="E135" s="309">
        <v>6684057.4589463603</v>
      </c>
      <c r="F135" s="309">
        <v>0</v>
      </c>
      <c r="G135" s="309">
        <v>0</v>
      </c>
      <c r="H135" s="309">
        <v>0</v>
      </c>
      <c r="I135" s="309">
        <v>0</v>
      </c>
      <c r="J135" s="309">
        <v>0</v>
      </c>
      <c r="K135" s="309">
        <v>0</v>
      </c>
      <c r="L135" s="309">
        <v>0</v>
      </c>
      <c r="M135" s="309">
        <v>0</v>
      </c>
      <c r="N135" s="309">
        <v>0</v>
      </c>
      <c r="O135" s="309">
        <v>0</v>
      </c>
      <c r="P135" s="309">
        <v>0</v>
      </c>
      <c r="Q135" s="309">
        <v>0</v>
      </c>
      <c r="R135" s="309">
        <v>0</v>
      </c>
      <c r="S135" s="309">
        <v>0</v>
      </c>
      <c r="T135" s="309">
        <v>0</v>
      </c>
      <c r="U135" s="309">
        <v>0</v>
      </c>
      <c r="V135" s="309">
        <v>0</v>
      </c>
      <c r="W135" s="309">
        <v>0</v>
      </c>
      <c r="X135" s="309">
        <v>0</v>
      </c>
      <c r="Y135" s="309">
        <v>0</v>
      </c>
      <c r="Z135" s="309">
        <v>0</v>
      </c>
      <c r="AA135" s="309">
        <v>0</v>
      </c>
      <c r="AB135" s="309">
        <v>0</v>
      </c>
      <c r="AC135" s="309">
        <v>0</v>
      </c>
      <c r="AD135" s="309">
        <v>0</v>
      </c>
      <c r="AE135" s="309">
        <v>0</v>
      </c>
      <c r="AF135" s="309">
        <v>0</v>
      </c>
      <c r="AG135" s="309">
        <v>0</v>
      </c>
      <c r="AH135" s="309">
        <v>0</v>
      </c>
      <c r="AI135" s="309">
        <v>0</v>
      </c>
      <c r="AJ135" s="309">
        <v>0</v>
      </c>
      <c r="AK135" s="309">
        <v>0</v>
      </c>
    </row>
    <row r="136" spans="1:37" x14ac:dyDescent="0.2">
      <c r="A136" s="307" t="s">
        <v>349</v>
      </c>
      <c r="B136" s="309">
        <v>0</v>
      </c>
      <c r="C136" s="309">
        <v>0</v>
      </c>
      <c r="D136" s="309">
        <v>0</v>
      </c>
      <c r="E136" s="309">
        <v>0</v>
      </c>
      <c r="F136" s="309">
        <v>0</v>
      </c>
      <c r="G136" s="309">
        <v>0</v>
      </c>
      <c r="H136" s="309">
        <v>0</v>
      </c>
      <c r="I136" s="309">
        <v>0</v>
      </c>
      <c r="J136" s="309">
        <v>0</v>
      </c>
      <c r="K136" s="309">
        <v>0</v>
      </c>
      <c r="L136" s="309">
        <v>0</v>
      </c>
      <c r="M136" s="309">
        <v>0</v>
      </c>
      <c r="N136" s="309">
        <v>0</v>
      </c>
      <c r="O136" s="309">
        <v>0</v>
      </c>
      <c r="P136" s="309">
        <v>0</v>
      </c>
      <c r="Q136" s="309">
        <v>0</v>
      </c>
      <c r="R136" s="309">
        <v>0</v>
      </c>
      <c r="S136" s="309">
        <v>0</v>
      </c>
      <c r="T136" s="309">
        <v>0</v>
      </c>
      <c r="U136" s="309">
        <v>0</v>
      </c>
      <c r="V136" s="309">
        <v>0</v>
      </c>
      <c r="W136" s="309">
        <v>0</v>
      </c>
      <c r="X136" s="309">
        <v>87222.135331413898</v>
      </c>
      <c r="Y136" s="309">
        <v>0</v>
      </c>
      <c r="Z136" s="309">
        <v>0</v>
      </c>
      <c r="AA136" s="309">
        <v>0</v>
      </c>
      <c r="AB136" s="309">
        <v>0</v>
      </c>
      <c r="AC136" s="309">
        <v>7739.25118007116</v>
      </c>
      <c r="AD136" s="309">
        <v>0</v>
      </c>
      <c r="AE136" s="309">
        <v>0</v>
      </c>
      <c r="AF136" s="309">
        <v>0</v>
      </c>
      <c r="AG136" s="309">
        <v>0</v>
      </c>
      <c r="AH136" s="309">
        <v>242016.07607977401</v>
      </c>
      <c r="AI136" s="309">
        <v>0</v>
      </c>
      <c r="AJ136" s="309">
        <v>0</v>
      </c>
      <c r="AK136" s="309">
        <v>0</v>
      </c>
    </row>
    <row r="137" spans="1:37" x14ac:dyDescent="0.2">
      <c r="B137" s="432" t="s">
        <v>329</v>
      </c>
      <c r="C137" s="433"/>
      <c r="D137" s="433"/>
      <c r="E137" s="433"/>
      <c r="F137" s="433"/>
      <c r="G137" s="433"/>
      <c r="H137" s="433"/>
      <c r="I137" s="433"/>
      <c r="J137" s="433"/>
      <c r="K137" s="433"/>
      <c r="L137" s="433"/>
      <c r="M137" s="433"/>
      <c r="N137" s="433"/>
      <c r="O137" s="433"/>
      <c r="P137" s="433"/>
      <c r="Q137" s="433"/>
      <c r="R137" s="433"/>
      <c r="S137" s="433"/>
      <c r="T137" s="433"/>
      <c r="U137" s="433"/>
      <c r="V137" s="433"/>
      <c r="W137" s="433"/>
      <c r="X137" s="433"/>
      <c r="Y137" s="433"/>
      <c r="Z137" s="433"/>
      <c r="AA137" s="433"/>
      <c r="AB137" s="433"/>
      <c r="AC137" s="433"/>
      <c r="AD137" s="433"/>
      <c r="AE137" s="433"/>
      <c r="AF137" s="433"/>
      <c r="AG137" s="433"/>
      <c r="AH137" s="433"/>
      <c r="AI137" s="433"/>
      <c r="AJ137" s="433"/>
      <c r="AK137" s="433"/>
    </row>
    <row r="140" spans="1:37" ht="236" x14ac:dyDescent="0.2">
      <c r="B140" s="308" t="s">
        <v>484</v>
      </c>
      <c r="C140" s="308" t="s">
        <v>421</v>
      </c>
      <c r="D140" s="308" t="s">
        <v>447</v>
      </c>
      <c r="E140" s="308" t="s">
        <v>445</v>
      </c>
      <c r="F140" s="308" t="s">
        <v>456</v>
      </c>
      <c r="G140" s="308" t="s">
        <v>430</v>
      </c>
      <c r="H140" s="308" t="s">
        <v>433</v>
      </c>
      <c r="I140" s="308" t="s">
        <v>336</v>
      </c>
      <c r="J140" s="308" t="s">
        <v>422</v>
      </c>
      <c r="K140" s="308" t="s">
        <v>355</v>
      </c>
      <c r="L140" s="308" t="s">
        <v>416</v>
      </c>
      <c r="M140" s="308" t="s">
        <v>423</v>
      </c>
      <c r="N140" s="308" t="s">
        <v>409</v>
      </c>
      <c r="O140" s="308" t="s">
        <v>437</v>
      </c>
      <c r="P140" s="308" t="s">
        <v>342</v>
      </c>
      <c r="Q140" s="308" t="s">
        <v>448</v>
      </c>
      <c r="R140" s="308" t="s">
        <v>462</v>
      </c>
      <c r="S140" s="308" t="s">
        <v>439</v>
      </c>
      <c r="T140" s="308" t="s">
        <v>442</v>
      </c>
      <c r="U140" s="308" t="s">
        <v>441</v>
      </c>
      <c r="V140" s="308" t="s">
        <v>333</v>
      </c>
      <c r="W140" s="308" t="s">
        <v>438</v>
      </c>
      <c r="X140" s="308" t="s">
        <v>426</v>
      </c>
      <c r="Y140" s="308" t="s">
        <v>424</v>
      </c>
      <c r="Z140" s="308" t="s">
        <v>412</v>
      </c>
      <c r="AA140" s="308" t="s">
        <v>436</v>
      </c>
      <c r="AB140" s="308" t="s">
        <v>335</v>
      </c>
      <c r="AC140" s="308" t="s">
        <v>427</v>
      </c>
      <c r="AD140" s="308" t="s">
        <v>463</v>
      </c>
      <c r="AE140" s="308" t="s">
        <v>343</v>
      </c>
      <c r="AF140" s="308" t="s">
        <v>446</v>
      </c>
      <c r="AG140" s="308" t="s">
        <v>457</v>
      </c>
      <c r="AH140" s="308" t="s">
        <v>425</v>
      </c>
      <c r="AI140" s="308" t="s">
        <v>552</v>
      </c>
      <c r="AJ140" s="308" t="s">
        <v>517</v>
      </c>
      <c r="AK140" s="308" t="s">
        <v>515</v>
      </c>
    </row>
    <row r="141" spans="1:37" x14ac:dyDescent="0.2">
      <c r="A141" s="307" t="s">
        <v>332</v>
      </c>
      <c r="B141" s="306">
        <v>0</v>
      </c>
      <c r="C141" s="306">
        <v>0</v>
      </c>
      <c r="D141" s="306">
        <v>0</v>
      </c>
      <c r="E141" s="306">
        <v>0</v>
      </c>
      <c r="F141" s="306">
        <v>0</v>
      </c>
      <c r="G141" s="306">
        <v>0</v>
      </c>
      <c r="H141" s="306">
        <v>0</v>
      </c>
      <c r="I141" s="306">
        <v>0</v>
      </c>
      <c r="J141" s="306">
        <v>0</v>
      </c>
      <c r="K141" s="306">
        <v>0</v>
      </c>
      <c r="L141" s="306">
        <v>0</v>
      </c>
      <c r="M141" s="306">
        <v>0</v>
      </c>
      <c r="N141" s="306">
        <v>0</v>
      </c>
      <c r="O141" s="306">
        <v>0</v>
      </c>
      <c r="P141" s="306">
        <v>0</v>
      </c>
      <c r="Q141" s="306">
        <v>0</v>
      </c>
      <c r="R141" s="306">
        <v>0</v>
      </c>
      <c r="S141" s="306">
        <v>0</v>
      </c>
      <c r="T141" s="306">
        <v>0</v>
      </c>
      <c r="U141" s="306">
        <v>0</v>
      </c>
      <c r="V141" s="306">
        <v>108184.85967288</v>
      </c>
      <c r="W141" s="306">
        <v>0</v>
      </c>
      <c r="X141" s="306">
        <v>0</v>
      </c>
      <c r="Y141" s="306">
        <v>0</v>
      </c>
      <c r="Z141" s="306">
        <v>0</v>
      </c>
      <c r="AA141" s="306">
        <v>0</v>
      </c>
      <c r="AB141" s="306">
        <v>0</v>
      </c>
      <c r="AC141" s="306">
        <v>0</v>
      </c>
      <c r="AD141" s="306">
        <v>0</v>
      </c>
      <c r="AE141" s="306">
        <v>0</v>
      </c>
      <c r="AF141" s="306">
        <v>0</v>
      </c>
      <c r="AG141" s="306">
        <v>0</v>
      </c>
      <c r="AH141" s="306">
        <v>0</v>
      </c>
      <c r="AI141" s="306">
        <v>0</v>
      </c>
      <c r="AJ141" s="306">
        <v>0</v>
      </c>
      <c r="AK141" s="306">
        <v>0</v>
      </c>
    </row>
    <row r="142" spans="1:37" x14ac:dyDescent="0.2">
      <c r="A142" s="307" t="s">
        <v>413</v>
      </c>
      <c r="B142" s="306">
        <v>0</v>
      </c>
      <c r="C142" s="306">
        <v>0</v>
      </c>
      <c r="D142" s="306">
        <v>0</v>
      </c>
      <c r="E142" s="306">
        <v>0</v>
      </c>
      <c r="F142" s="306">
        <v>0</v>
      </c>
      <c r="G142" s="306">
        <v>0</v>
      </c>
      <c r="H142" s="306">
        <v>0</v>
      </c>
      <c r="I142" s="306">
        <v>0</v>
      </c>
      <c r="J142" s="306">
        <v>0</v>
      </c>
      <c r="K142" s="306">
        <v>0</v>
      </c>
      <c r="L142" s="306">
        <v>0</v>
      </c>
      <c r="M142" s="306">
        <v>0</v>
      </c>
      <c r="N142" s="306">
        <v>0</v>
      </c>
      <c r="O142" s="306">
        <v>0</v>
      </c>
      <c r="P142" s="306">
        <v>0</v>
      </c>
      <c r="Q142" s="306">
        <v>0</v>
      </c>
      <c r="R142" s="306">
        <v>0</v>
      </c>
      <c r="S142" s="306">
        <v>0</v>
      </c>
      <c r="T142" s="306">
        <v>0</v>
      </c>
      <c r="U142" s="306">
        <v>0</v>
      </c>
      <c r="V142" s="306">
        <v>0</v>
      </c>
      <c r="W142" s="306">
        <v>0</v>
      </c>
      <c r="X142" s="306">
        <v>0</v>
      </c>
      <c r="Y142" s="306">
        <v>0</v>
      </c>
      <c r="Z142" s="306">
        <v>0</v>
      </c>
      <c r="AA142" s="306">
        <v>0</v>
      </c>
      <c r="AB142" s="306">
        <v>25297.051877142199</v>
      </c>
      <c r="AC142" s="306">
        <v>0</v>
      </c>
      <c r="AD142" s="306">
        <v>0</v>
      </c>
      <c r="AE142" s="306">
        <v>0</v>
      </c>
      <c r="AF142" s="306">
        <v>0</v>
      </c>
      <c r="AG142" s="306">
        <v>0</v>
      </c>
      <c r="AH142" s="306">
        <v>0</v>
      </c>
      <c r="AI142" s="306">
        <v>0</v>
      </c>
      <c r="AJ142" s="306">
        <v>0</v>
      </c>
      <c r="AK142" s="306">
        <v>0</v>
      </c>
    </row>
    <row r="143" spans="1:37" x14ac:dyDescent="0.2">
      <c r="A143" s="307" t="s">
        <v>356</v>
      </c>
      <c r="B143" s="306">
        <v>0</v>
      </c>
      <c r="C143" s="306">
        <v>0</v>
      </c>
      <c r="D143" s="306">
        <v>0</v>
      </c>
      <c r="E143" s="306">
        <v>0</v>
      </c>
      <c r="F143" s="306">
        <v>0</v>
      </c>
      <c r="G143" s="306">
        <v>0</v>
      </c>
      <c r="H143" s="306">
        <v>0</v>
      </c>
      <c r="I143" s="306">
        <v>8850991.3601140399</v>
      </c>
      <c r="J143" s="306">
        <v>0</v>
      </c>
      <c r="K143" s="306">
        <v>0</v>
      </c>
      <c r="L143" s="306">
        <v>0</v>
      </c>
      <c r="M143" s="306">
        <v>0</v>
      </c>
      <c r="N143" s="306">
        <v>0</v>
      </c>
      <c r="O143" s="306">
        <v>0</v>
      </c>
      <c r="P143" s="306">
        <v>0</v>
      </c>
      <c r="Q143" s="306">
        <v>0</v>
      </c>
      <c r="R143" s="306">
        <v>0</v>
      </c>
      <c r="S143" s="306">
        <v>0</v>
      </c>
      <c r="T143" s="306">
        <v>0</v>
      </c>
      <c r="U143" s="306">
        <v>0</v>
      </c>
      <c r="V143" s="306">
        <v>0</v>
      </c>
      <c r="W143" s="306">
        <v>0</v>
      </c>
      <c r="X143" s="306">
        <v>0</v>
      </c>
      <c r="Y143" s="306">
        <v>0</v>
      </c>
      <c r="Z143" s="306">
        <v>0</v>
      </c>
      <c r="AA143" s="306">
        <v>0</v>
      </c>
      <c r="AB143" s="306">
        <v>0</v>
      </c>
      <c r="AC143" s="306">
        <v>0</v>
      </c>
      <c r="AD143" s="306">
        <v>0</v>
      </c>
      <c r="AE143" s="306">
        <v>0</v>
      </c>
      <c r="AF143" s="306">
        <v>0</v>
      </c>
      <c r="AG143" s="306">
        <v>0</v>
      </c>
      <c r="AH143" s="306">
        <v>0</v>
      </c>
      <c r="AI143" s="306">
        <v>0</v>
      </c>
      <c r="AJ143" s="306">
        <v>0</v>
      </c>
      <c r="AK143" s="306">
        <v>0</v>
      </c>
    </row>
    <row r="144" spans="1:37" x14ac:dyDescent="0.2">
      <c r="A144" s="307" t="s">
        <v>380</v>
      </c>
      <c r="B144" s="306">
        <v>0</v>
      </c>
      <c r="C144" s="306">
        <v>0</v>
      </c>
      <c r="D144" s="306">
        <v>0</v>
      </c>
      <c r="E144" s="306">
        <v>0</v>
      </c>
      <c r="F144" s="306">
        <v>0</v>
      </c>
      <c r="G144" s="306">
        <v>0</v>
      </c>
      <c r="H144" s="306">
        <v>0</v>
      </c>
      <c r="I144" s="306">
        <v>0</v>
      </c>
      <c r="J144" s="306">
        <v>0</v>
      </c>
      <c r="K144" s="306">
        <v>29146.460466184501</v>
      </c>
      <c r="L144" s="306">
        <v>0</v>
      </c>
      <c r="M144" s="306">
        <v>0</v>
      </c>
      <c r="N144" s="306">
        <v>0</v>
      </c>
      <c r="O144" s="306">
        <v>0</v>
      </c>
      <c r="P144" s="306">
        <v>0</v>
      </c>
      <c r="Q144" s="306">
        <v>0</v>
      </c>
      <c r="R144" s="306">
        <v>0</v>
      </c>
      <c r="S144" s="306">
        <v>0</v>
      </c>
      <c r="T144" s="306">
        <v>0</v>
      </c>
      <c r="U144" s="306">
        <v>0</v>
      </c>
      <c r="V144" s="306">
        <v>0</v>
      </c>
      <c r="W144" s="306">
        <v>0</v>
      </c>
      <c r="X144" s="306">
        <v>0</v>
      </c>
      <c r="Y144" s="306">
        <v>0</v>
      </c>
      <c r="Z144" s="306">
        <v>0</v>
      </c>
      <c r="AA144" s="306">
        <v>0</v>
      </c>
      <c r="AB144" s="306">
        <v>0</v>
      </c>
      <c r="AC144" s="306">
        <v>0</v>
      </c>
      <c r="AD144" s="306">
        <v>0</v>
      </c>
      <c r="AE144" s="306">
        <v>0</v>
      </c>
      <c r="AF144" s="306">
        <v>0</v>
      </c>
      <c r="AG144" s="306">
        <v>0</v>
      </c>
      <c r="AH144" s="306">
        <v>0</v>
      </c>
      <c r="AI144" s="306">
        <v>0</v>
      </c>
      <c r="AJ144" s="306">
        <v>0</v>
      </c>
      <c r="AK144" s="306">
        <v>0</v>
      </c>
    </row>
    <row r="145" spans="2:37" x14ac:dyDescent="0.2">
      <c r="B145" s="432" t="s">
        <v>56</v>
      </c>
      <c r="C145" s="433"/>
      <c r="D145" s="433"/>
      <c r="E145" s="433"/>
      <c r="F145" s="433"/>
      <c r="G145" s="433"/>
      <c r="H145" s="433"/>
      <c r="I145" s="433"/>
      <c r="J145" s="433"/>
      <c r="K145" s="433"/>
      <c r="L145" s="433"/>
      <c r="M145" s="433"/>
      <c r="N145" s="433"/>
      <c r="O145" s="433"/>
      <c r="P145" s="433"/>
      <c r="Q145" s="433"/>
      <c r="R145" s="433"/>
      <c r="S145" s="433"/>
      <c r="T145" s="433"/>
      <c r="U145" s="433"/>
      <c r="V145" s="433"/>
      <c r="W145" s="433"/>
      <c r="X145" s="433"/>
      <c r="Y145" s="433"/>
      <c r="Z145" s="433"/>
      <c r="AA145" s="433"/>
      <c r="AB145" s="433"/>
      <c r="AC145" s="433"/>
      <c r="AD145" s="433"/>
      <c r="AE145" s="433"/>
      <c r="AF145" s="433"/>
      <c r="AG145" s="433"/>
      <c r="AH145" s="433"/>
      <c r="AI145" s="433"/>
      <c r="AJ145" s="433"/>
      <c r="AK145" s="433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topLeftCell="H152" workbookViewId="0">
      <selection activeCell="P167" sqref="P167"/>
    </sheetView>
  </sheetViews>
  <sheetFormatPr baseColWidth="10" defaultColWidth="8.83203125" defaultRowHeight="15" x14ac:dyDescent="0.2"/>
  <cols>
    <col min="1" max="1" width="43.6640625" bestFit="1" customWidth="1"/>
    <col min="2" max="29" width="8.5"/>
    <col min="30" max="30" width="42.6640625" bestFit="1" customWidth="1"/>
    <col min="31" max="72" width="8.5"/>
    <col min="73" max="73" width="42.6640625" bestFit="1" customWidth="1"/>
  </cols>
  <sheetData>
    <row r="1" spans="1:113" ht="185" x14ac:dyDescent="0.2">
      <c r="B1" s="308" t="s">
        <v>474</v>
      </c>
      <c r="AE1" s="308" t="s">
        <v>673</v>
      </c>
      <c r="AF1" s="308" t="s">
        <v>641</v>
      </c>
      <c r="AG1" s="308" t="s">
        <v>642</v>
      </c>
      <c r="AH1" s="308" t="s">
        <v>674</v>
      </c>
      <c r="AI1" s="308" t="s">
        <v>675</v>
      </c>
      <c r="AJ1" s="308" t="s">
        <v>676</v>
      </c>
      <c r="AK1" s="308" t="s">
        <v>342</v>
      </c>
      <c r="AL1" s="308" t="s">
        <v>448</v>
      </c>
      <c r="AM1" s="308" t="s">
        <v>643</v>
      </c>
      <c r="AN1" s="308" t="s">
        <v>462</v>
      </c>
      <c r="AO1" s="308" t="s">
        <v>677</v>
      </c>
      <c r="AP1" s="308" t="s">
        <v>678</v>
      </c>
      <c r="AQ1" s="308" t="s">
        <v>644</v>
      </c>
      <c r="AR1" s="308" t="s">
        <v>645</v>
      </c>
      <c r="AS1" s="308" t="s">
        <v>646</v>
      </c>
      <c r="AT1" s="308" t="s">
        <v>647</v>
      </c>
      <c r="AU1" s="308" t="s">
        <v>648</v>
      </c>
      <c r="AV1" s="308" t="s">
        <v>649</v>
      </c>
      <c r="AW1" s="308" t="s">
        <v>463</v>
      </c>
      <c r="AX1" s="308" t="s">
        <v>343</v>
      </c>
      <c r="AY1" s="308" t="s">
        <v>679</v>
      </c>
      <c r="AZ1" s="308" t="s">
        <v>650</v>
      </c>
      <c r="BA1" s="308" t="s">
        <v>680</v>
      </c>
      <c r="BB1" s="308" t="s">
        <v>681</v>
      </c>
      <c r="BC1" s="308" t="s">
        <v>682</v>
      </c>
      <c r="BD1" s="308" t="s">
        <v>683</v>
      </c>
      <c r="BE1" s="308" t="s">
        <v>651</v>
      </c>
      <c r="BF1" s="308" t="s">
        <v>652</v>
      </c>
      <c r="BG1" s="308" t="s">
        <v>653</v>
      </c>
      <c r="BH1" s="308" t="s">
        <v>684</v>
      </c>
      <c r="BI1" s="308" t="s">
        <v>685</v>
      </c>
      <c r="BJ1" s="308" t="s">
        <v>686</v>
      </c>
      <c r="BK1" s="308" t="s">
        <v>687</v>
      </c>
      <c r="BL1" s="308" t="s">
        <v>688</v>
      </c>
      <c r="BM1" s="308" t="s">
        <v>689</v>
      </c>
      <c r="BN1" s="308" t="s">
        <v>690</v>
      </c>
      <c r="BO1" s="308" t="s">
        <v>691</v>
      </c>
      <c r="BP1" s="308" t="s">
        <v>654</v>
      </c>
      <c r="BQ1" s="308" t="s">
        <v>692</v>
      </c>
      <c r="BR1" s="308" t="s">
        <v>693</v>
      </c>
      <c r="BV1" s="308" t="s">
        <v>673</v>
      </c>
      <c r="BW1" s="308" t="s">
        <v>641</v>
      </c>
      <c r="BX1" s="308" t="s">
        <v>642</v>
      </c>
      <c r="BY1" s="308" t="s">
        <v>674</v>
      </c>
      <c r="BZ1" s="308" t="s">
        <v>675</v>
      </c>
      <c r="CA1" s="308" t="s">
        <v>676</v>
      </c>
      <c r="CB1" s="308" t="s">
        <v>342</v>
      </c>
      <c r="CC1" s="308" t="s">
        <v>448</v>
      </c>
      <c r="CD1" s="308" t="s">
        <v>643</v>
      </c>
      <c r="CE1" s="308" t="s">
        <v>462</v>
      </c>
      <c r="CF1" s="308" t="s">
        <v>677</v>
      </c>
      <c r="CG1" s="308" t="s">
        <v>678</v>
      </c>
      <c r="CH1" s="308" t="s">
        <v>644</v>
      </c>
      <c r="CI1" s="308" t="s">
        <v>645</v>
      </c>
      <c r="CJ1" s="308" t="s">
        <v>646</v>
      </c>
      <c r="CK1" s="308" t="s">
        <v>647</v>
      </c>
      <c r="CL1" s="308" t="s">
        <v>648</v>
      </c>
      <c r="CM1" s="308" t="s">
        <v>649</v>
      </c>
      <c r="CN1" s="308" t="s">
        <v>463</v>
      </c>
      <c r="CO1" s="308" t="s">
        <v>343</v>
      </c>
      <c r="CP1" s="308" t="s">
        <v>679</v>
      </c>
      <c r="CQ1" s="308" t="s">
        <v>650</v>
      </c>
      <c r="CR1" s="308" t="s">
        <v>680</v>
      </c>
      <c r="CS1" s="308" t="s">
        <v>681</v>
      </c>
      <c r="CT1" s="308" t="s">
        <v>682</v>
      </c>
      <c r="CU1" s="308" t="s">
        <v>683</v>
      </c>
      <c r="CV1" s="308" t="s">
        <v>651</v>
      </c>
      <c r="CW1" s="308" t="s">
        <v>652</v>
      </c>
      <c r="CX1" s="308" t="s">
        <v>653</v>
      </c>
      <c r="CY1" s="308" t="s">
        <v>684</v>
      </c>
      <c r="CZ1" s="308" t="s">
        <v>685</v>
      </c>
      <c r="DA1" s="308" t="s">
        <v>686</v>
      </c>
      <c r="DB1" s="308" t="s">
        <v>687</v>
      </c>
      <c r="DC1" s="308" t="s">
        <v>688</v>
      </c>
      <c r="DD1" s="308" t="s">
        <v>689</v>
      </c>
      <c r="DE1" s="308" t="s">
        <v>690</v>
      </c>
      <c r="DF1" s="308" t="s">
        <v>691</v>
      </c>
      <c r="DG1" s="308" t="s">
        <v>654</v>
      </c>
      <c r="DH1" s="308" t="s">
        <v>692</v>
      </c>
      <c r="DI1" s="308" t="s">
        <v>693</v>
      </c>
    </row>
    <row r="2" spans="1:113" x14ac:dyDescent="0.2">
      <c r="A2" s="307" t="s">
        <v>694</v>
      </c>
      <c r="B2" s="310">
        <v>1</v>
      </c>
      <c r="AD2" s="307" t="s">
        <v>673</v>
      </c>
      <c r="AE2" s="310">
        <v>0</v>
      </c>
      <c r="AF2" s="310">
        <v>0</v>
      </c>
      <c r="AG2" s="310">
        <v>0</v>
      </c>
      <c r="AH2" s="310">
        <v>0</v>
      </c>
      <c r="AI2" s="310">
        <v>0</v>
      </c>
      <c r="AJ2" s="310">
        <v>0</v>
      </c>
      <c r="AK2" s="310">
        <v>0</v>
      </c>
      <c r="AL2" s="310">
        <v>0</v>
      </c>
      <c r="AM2" s="310">
        <v>0</v>
      </c>
      <c r="AN2" s="310">
        <v>0</v>
      </c>
      <c r="AO2" s="310">
        <v>0</v>
      </c>
      <c r="AP2" s="310">
        <v>0</v>
      </c>
      <c r="AQ2" s="310">
        <v>0</v>
      </c>
      <c r="AR2" s="310">
        <v>0</v>
      </c>
      <c r="AS2" s="310">
        <v>0</v>
      </c>
      <c r="AT2" s="310">
        <v>0</v>
      </c>
      <c r="AU2" s="310">
        <v>0</v>
      </c>
      <c r="AV2" s="310">
        <v>0</v>
      </c>
      <c r="AW2" s="310">
        <v>0</v>
      </c>
      <c r="AX2" s="310">
        <v>0</v>
      </c>
      <c r="AY2" s="310">
        <v>0</v>
      </c>
      <c r="AZ2" s="310">
        <v>0</v>
      </c>
      <c r="BA2" s="310">
        <v>0</v>
      </c>
      <c r="BB2" s="310">
        <v>0</v>
      </c>
      <c r="BC2" s="310">
        <v>0</v>
      </c>
      <c r="BD2" s="310">
        <v>0</v>
      </c>
      <c r="BE2" s="310">
        <v>0</v>
      </c>
      <c r="BF2" s="310">
        <v>0</v>
      </c>
      <c r="BG2" s="310">
        <v>0</v>
      </c>
      <c r="BH2" s="310">
        <v>0</v>
      </c>
      <c r="BI2" s="310">
        <v>0</v>
      </c>
      <c r="BJ2" s="310">
        <v>0</v>
      </c>
      <c r="BK2" s="310">
        <v>0</v>
      </c>
      <c r="BL2" s="310">
        <v>0</v>
      </c>
      <c r="BM2" s="310">
        <v>0</v>
      </c>
      <c r="BN2" s="310">
        <v>0</v>
      </c>
      <c r="BO2" s="310">
        <v>0</v>
      </c>
      <c r="BP2" s="310">
        <v>0</v>
      </c>
      <c r="BQ2" s="310">
        <v>0</v>
      </c>
      <c r="BR2" s="310">
        <v>0</v>
      </c>
      <c r="BU2" s="307" t="s">
        <v>673</v>
      </c>
      <c r="BV2" s="310">
        <v>0</v>
      </c>
      <c r="BW2" s="310">
        <v>0</v>
      </c>
      <c r="BX2" s="310">
        <v>0</v>
      </c>
      <c r="BY2" s="310">
        <v>0</v>
      </c>
      <c r="BZ2" s="310">
        <v>0</v>
      </c>
      <c r="CA2" s="310">
        <v>0</v>
      </c>
      <c r="CB2" s="310">
        <v>0</v>
      </c>
      <c r="CC2" s="310">
        <v>0</v>
      </c>
      <c r="CD2" s="310">
        <v>0</v>
      </c>
      <c r="CE2" s="310">
        <v>0</v>
      </c>
      <c r="CF2" s="310">
        <v>0</v>
      </c>
      <c r="CG2" s="310">
        <v>0</v>
      </c>
      <c r="CH2" s="310">
        <v>0</v>
      </c>
      <c r="CI2" s="310">
        <v>0</v>
      </c>
      <c r="CJ2" s="310">
        <v>0</v>
      </c>
      <c r="CK2" s="310">
        <v>0</v>
      </c>
      <c r="CL2" s="310">
        <v>0</v>
      </c>
      <c r="CM2" s="310">
        <v>0</v>
      </c>
      <c r="CN2" s="310">
        <v>0</v>
      </c>
      <c r="CO2" s="310">
        <v>0</v>
      </c>
      <c r="CP2" s="310">
        <v>0</v>
      </c>
      <c r="CQ2" s="310">
        <v>0</v>
      </c>
      <c r="CR2" s="310">
        <v>0</v>
      </c>
      <c r="CS2" s="310">
        <v>0</v>
      </c>
      <c r="CT2" s="310">
        <v>0</v>
      </c>
      <c r="CU2" s="310">
        <v>0</v>
      </c>
      <c r="CV2" s="310">
        <v>0</v>
      </c>
      <c r="CW2" s="310">
        <v>0</v>
      </c>
      <c r="CX2" s="310">
        <v>0</v>
      </c>
      <c r="CY2" s="310">
        <v>0</v>
      </c>
      <c r="CZ2" s="310">
        <v>0</v>
      </c>
      <c r="DA2" s="310">
        <v>0</v>
      </c>
      <c r="DB2" s="310">
        <v>0</v>
      </c>
      <c r="DC2" s="310">
        <v>0</v>
      </c>
      <c r="DD2" s="310">
        <v>0</v>
      </c>
      <c r="DE2" s="310">
        <v>0</v>
      </c>
      <c r="DF2" s="310">
        <v>0</v>
      </c>
      <c r="DG2" s="310">
        <v>0</v>
      </c>
      <c r="DH2" s="310">
        <v>0</v>
      </c>
      <c r="DI2" s="310">
        <v>0</v>
      </c>
    </row>
    <row r="3" spans="1:113" x14ac:dyDescent="0.2">
      <c r="A3" s="307" t="s">
        <v>673</v>
      </c>
      <c r="B3" s="310">
        <v>1</v>
      </c>
      <c r="AD3" s="307" t="s">
        <v>641</v>
      </c>
      <c r="AE3" s="310">
        <v>0</v>
      </c>
      <c r="AF3" s="310">
        <v>0</v>
      </c>
      <c r="AG3" s="310">
        <v>0</v>
      </c>
      <c r="AH3" s="310">
        <v>0</v>
      </c>
      <c r="AI3" s="310">
        <v>0</v>
      </c>
      <c r="AJ3" s="310">
        <v>0</v>
      </c>
      <c r="AK3" s="310">
        <v>0</v>
      </c>
      <c r="AL3" s="310">
        <v>0</v>
      </c>
      <c r="AM3" s="310">
        <v>0</v>
      </c>
      <c r="AN3" s="310">
        <v>0</v>
      </c>
      <c r="AO3" s="310">
        <v>0</v>
      </c>
      <c r="AP3" s="310">
        <v>0</v>
      </c>
      <c r="AQ3" s="310">
        <v>0</v>
      </c>
      <c r="AR3" s="310">
        <v>0</v>
      </c>
      <c r="AS3" s="310">
        <v>0</v>
      </c>
      <c r="AT3" s="310">
        <v>0</v>
      </c>
      <c r="AU3" s="310">
        <v>0</v>
      </c>
      <c r="AV3" s="310">
        <v>0</v>
      </c>
      <c r="AW3" s="310">
        <v>0</v>
      </c>
      <c r="AX3" s="310">
        <v>0</v>
      </c>
      <c r="AY3" s="310">
        <v>0</v>
      </c>
      <c r="AZ3" s="310">
        <v>0</v>
      </c>
      <c r="BA3" s="310">
        <v>0</v>
      </c>
      <c r="BB3" s="310">
        <v>0</v>
      </c>
      <c r="BC3" s="310">
        <v>0</v>
      </c>
      <c r="BD3" s="310">
        <v>0</v>
      </c>
      <c r="BE3" s="310">
        <v>0</v>
      </c>
      <c r="BF3" s="310">
        <v>0</v>
      </c>
      <c r="BG3" s="310">
        <v>0</v>
      </c>
      <c r="BH3" s="310">
        <v>0</v>
      </c>
      <c r="BI3" s="310">
        <v>0</v>
      </c>
      <c r="BJ3" s="310">
        <v>0</v>
      </c>
      <c r="BK3" s="310">
        <v>0</v>
      </c>
      <c r="BL3" s="310">
        <v>0</v>
      </c>
      <c r="BM3" s="310">
        <v>0</v>
      </c>
      <c r="BN3" s="310">
        <v>0</v>
      </c>
      <c r="BO3" s="310">
        <v>0</v>
      </c>
      <c r="BP3" s="310">
        <v>0</v>
      </c>
      <c r="BQ3" s="310">
        <v>0</v>
      </c>
      <c r="BR3" s="310">
        <v>0</v>
      </c>
      <c r="BU3" s="307" t="s">
        <v>641</v>
      </c>
      <c r="BV3" s="310">
        <v>0</v>
      </c>
      <c r="BW3" s="310">
        <v>0</v>
      </c>
      <c r="BX3" s="310">
        <v>0</v>
      </c>
      <c r="BY3" s="310">
        <v>0</v>
      </c>
      <c r="BZ3" s="310">
        <v>0</v>
      </c>
      <c r="CA3" s="310">
        <v>0</v>
      </c>
      <c r="CB3" s="310">
        <v>0</v>
      </c>
      <c r="CC3" s="310">
        <v>0</v>
      </c>
      <c r="CD3" s="310">
        <v>0</v>
      </c>
      <c r="CE3" s="310">
        <v>0</v>
      </c>
      <c r="CF3" s="310">
        <v>0</v>
      </c>
      <c r="CG3" s="310">
        <v>0</v>
      </c>
      <c r="CH3" s="310">
        <v>0</v>
      </c>
      <c r="CI3" s="310">
        <v>0</v>
      </c>
      <c r="CJ3" s="310">
        <v>0</v>
      </c>
      <c r="CK3" s="310">
        <v>0</v>
      </c>
      <c r="CL3" s="310">
        <v>0</v>
      </c>
      <c r="CM3" s="310">
        <v>0</v>
      </c>
      <c r="CN3" s="310">
        <v>0</v>
      </c>
      <c r="CO3" s="310">
        <v>0</v>
      </c>
      <c r="CP3" s="310">
        <v>0</v>
      </c>
      <c r="CQ3" s="310">
        <v>0</v>
      </c>
      <c r="CR3" s="310">
        <v>0</v>
      </c>
      <c r="CS3" s="310">
        <v>0</v>
      </c>
      <c r="CT3" s="310">
        <v>0</v>
      </c>
      <c r="CU3" s="310">
        <v>0</v>
      </c>
      <c r="CV3" s="310">
        <v>0</v>
      </c>
      <c r="CW3" s="310">
        <v>0</v>
      </c>
      <c r="CX3" s="310">
        <v>0</v>
      </c>
      <c r="CY3" s="310">
        <v>0</v>
      </c>
      <c r="CZ3" s="310">
        <v>0</v>
      </c>
      <c r="DA3" s="310">
        <v>0</v>
      </c>
      <c r="DB3" s="310">
        <v>0</v>
      </c>
      <c r="DC3" s="310">
        <v>0</v>
      </c>
      <c r="DD3" s="310">
        <v>0</v>
      </c>
      <c r="DE3" s="310">
        <v>0</v>
      </c>
      <c r="DF3" s="310">
        <v>0</v>
      </c>
      <c r="DG3" s="310">
        <v>0</v>
      </c>
      <c r="DH3" s="310">
        <v>0</v>
      </c>
      <c r="DI3" s="310">
        <v>0</v>
      </c>
    </row>
    <row r="4" spans="1:113" x14ac:dyDescent="0.2">
      <c r="A4" s="307" t="s">
        <v>695</v>
      </c>
      <c r="B4" s="310">
        <v>1</v>
      </c>
      <c r="AD4" s="307" t="s">
        <v>642</v>
      </c>
      <c r="AE4" s="310">
        <v>0</v>
      </c>
      <c r="AF4" s="310">
        <v>0</v>
      </c>
      <c r="AG4" s="310">
        <v>0</v>
      </c>
      <c r="AH4" s="310">
        <v>0</v>
      </c>
      <c r="AI4" s="310">
        <v>0</v>
      </c>
      <c r="AJ4" s="310">
        <v>0</v>
      </c>
      <c r="AK4" s="310">
        <v>0</v>
      </c>
      <c r="AL4" s="310">
        <v>0</v>
      </c>
      <c r="AM4" s="310">
        <v>0</v>
      </c>
      <c r="AN4" s="310">
        <v>0</v>
      </c>
      <c r="AO4" s="310">
        <v>0</v>
      </c>
      <c r="AP4" s="310">
        <v>0</v>
      </c>
      <c r="AQ4" s="310">
        <v>0</v>
      </c>
      <c r="AR4" s="310">
        <v>0</v>
      </c>
      <c r="AS4" s="310">
        <v>0</v>
      </c>
      <c r="AT4" s="310">
        <v>0</v>
      </c>
      <c r="AU4" s="310">
        <v>0</v>
      </c>
      <c r="AV4" s="310">
        <v>0</v>
      </c>
      <c r="AW4" s="310">
        <v>0</v>
      </c>
      <c r="AX4" s="310">
        <v>0</v>
      </c>
      <c r="AY4" s="310">
        <v>0</v>
      </c>
      <c r="AZ4" s="310">
        <v>0</v>
      </c>
      <c r="BA4" s="310">
        <v>0</v>
      </c>
      <c r="BB4" s="310">
        <v>0</v>
      </c>
      <c r="BC4" s="310">
        <v>0</v>
      </c>
      <c r="BD4" s="310">
        <v>0</v>
      </c>
      <c r="BE4" s="310">
        <v>0</v>
      </c>
      <c r="BF4" s="310">
        <v>0</v>
      </c>
      <c r="BG4" s="310">
        <v>0</v>
      </c>
      <c r="BH4" s="310">
        <v>0</v>
      </c>
      <c r="BI4" s="310">
        <v>0</v>
      </c>
      <c r="BJ4" s="310">
        <v>0</v>
      </c>
      <c r="BK4" s="310">
        <v>0</v>
      </c>
      <c r="BL4" s="310">
        <v>0</v>
      </c>
      <c r="BM4" s="310">
        <v>0</v>
      </c>
      <c r="BN4" s="310">
        <v>0</v>
      </c>
      <c r="BO4" s="310">
        <v>0</v>
      </c>
      <c r="BP4" s="310">
        <v>0</v>
      </c>
      <c r="BQ4" s="310">
        <v>0</v>
      </c>
      <c r="BR4" s="310">
        <v>0</v>
      </c>
      <c r="BU4" s="307" t="s">
        <v>642</v>
      </c>
      <c r="BV4" s="310">
        <v>0</v>
      </c>
      <c r="BW4" s="310">
        <v>0</v>
      </c>
      <c r="BX4" s="310">
        <v>0</v>
      </c>
      <c r="BY4" s="310">
        <v>0</v>
      </c>
      <c r="BZ4" s="310">
        <v>0</v>
      </c>
      <c r="CA4" s="310">
        <v>0</v>
      </c>
      <c r="CB4" s="310">
        <v>0</v>
      </c>
      <c r="CC4" s="310">
        <v>0</v>
      </c>
      <c r="CD4" s="310">
        <v>0</v>
      </c>
      <c r="CE4" s="310">
        <v>0</v>
      </c>
      <c r="CF4" s="310">
        <v>0</v>
      </c>
      <c r="CG4" s="310">
        <v>0</v>
      </c>
      <c r="CH4" s="310">
        <v>0</v>
      </c>
      <c r="CI4" s="310">
        <v>0</v>
      </c>
      <c r="CJ4" s="310">
        <v>0</v>
      </c>
      <c r="CK4" s="310">
        <v>0</v>
      </c>
      <c r="CL4" s="310">
        <v>0</v>
      </c>
      <c r="CM4" s="310">
        <v>0</v>
      </c>
      <c r="CN4" s="310">
        <v>0</v>
      </c>
      <c r="CO4" s="310">
        <v>0</v>
      </c>
      <c r="CP4" s="310">
        <v>0</v>
      </c>
      <c r="CQ4" s="310">
        <v>0</v>
      </c>
      <c r="CR4" s="310">
        <v>0</v>
      </c>
      <c r="CS4" s="310">
        <v>0</v>
      </c>
      <c r="CT4" s="310">
        <v>0</v>
      </c>
      <c r="CU4" s="310">
        <v>0</v>
      </c>
      <c r="CV4" s="310">
        <v>0</v>
      </c>
      <c r="CW4" s="310">
        <v>0</v>
      </c>
      <c r="CX4" s="310">
        <v>0</v>
      </c>
      <c r="CY4" s="310">
        <v>0</v>
      </c>
      <c r="CZ4" s="310">
        <v>0</v>
      </c>
      <c r="DA4" s="310">
        <v>0</v>
      </c>
      <c r="DB4" s="310">
        <v>0</v>
      </c>
      <c r="DC4" s="310">
        <v>0</v>
      </c>
      <c r="DD4" s="310">
        <v>0</v>
      </c>
      <c r="DE4" s="310">
        <v>0</v>
      </c>
      <c r="DF4" s="310">
        <v>0</v>
      </c>
      <c r="DG4" s="310">
        <v>0</v>
      </c>
      <c r="DH4" s="310">
        <v>0</v>
      </c>
      <c r="DI4" s="310">
        <v>0</v>
      </c>
    </row>
    <row r="5" spans="1:113" x14ac:dyDescent="0.2">
      <c r="A5" s="307" t="s">
        <v>696</v>
      </c>
      <c r="B5" s="310">
        <v>1</v>
      </c>
      <c r="AD5" s="307" t="s">
        <v>674</v>
      </c>
      <c r="AE5" s="310">
        <v>0</v>
      </c>
      <c r="AF5" s="310">
        <v>0</v>
      </c>
      <c r="AG5" s="310">
        <v>0</v>
      </c>
      <c r="AH5" s="310">
        <v>0</v>
      </c>
      <c r="AI5" s="310">
        <v>0</v>
      </c>
      <c r="AJ5" s="310">
        <v>0</v>
      </c>
      <c r="AK5" s="310">
        <v>0</v>
      </c>
      <c r="AL5" s="310">
        <v>0</v>
      </c>
      <c r="AM5" s="310">
        <v>0</v>
      </c>
      <c r="AN5" s="310">
        <v>0</v>
      </c>
      <c r="AO5" s="310">
        <v>0</v>
      </c>
      <c r="AP5" s="310">
        <v>0</v>
      </c>
      <c r="AQ5" s="310">
        <v>0</v>
      </c>
      <c r="AR5" s="310">
        <v>0</v>
      </c>
      <c r="AS5" s="310">
        <v>0</v>
      </c>
      <c r="AT5" s="310">
        <v>0</v>
      </c>
      <c r="AU5" s="310">
        <v>0</v>
      </c>
      <c r="AV5" s="310">
        <v>0</v>
      </c>
      <c r="AW5" s="310">
        <v>0</v>
      </c>
      <c r="AX5" s="310">
        <v>0</v>
      </c>
      <c r="AY5" s="310">
        <v>0</v>
      </c>
      <c r="AZ5" s="310">
        <v>0</v>
      </c>
      <c r="BA5" s="310">
        <v>0</v>
      </c>
      <c r="BB5" s="310">
        <v>0</v>
      </c>
      <c r="BC5" s="310">
        <v>0</v>
      </c>
      <c r="BD5" s="310">
        <v>0</v>
      </c>
      <c r="BE5" s="310">
        <v>0</v>
      </c>
      <c r="BF5" s="310">
        <v>0</v>
      </c>
      <c r="BG5" s="310">
        <v>0</v>
      </c>
      <c r="BH5" s="310">
        <v>0</v>
      </c>
      <c r="BI5" s="310">
        <v>0</v>
      </c>
      <c r="BJ5" s="310">
        <v>0</v>
      </c>
      <c r="BK5" s="310">
        <v>0</v>
      </c>
      <c r="BL5" s="310">
        <v>0</v>
      </c>
      <c r="BM5" s="310">
        <v>0</v>
      </c>
      <c r="BN5" s="310">
        <v>0</v>
      </c>
      <c r="BO5" s="310">
        <v>0</v>
      </c>
      <c r="BP5" s="310">
        <v>0</v>
      </c>
      <c r="BQ5" s="310">
        <v>0</v>
      </c>
      <c r="BR5" s="310">
        <v>0</v>
      </c>
      <c r="BU5" s="307" t="s">
        <v>674</v>
      </c>
      <c r="BV5" s="310">
        <v>0</v>
      </c>
      <c r="BW5" s="310">
        <v>0</v>
      </c>
      <c r="BX5" s="310">
        <v>0</v>
      </c>
      <c r="BY5" s="310">
        <v>0</v>
      </c>
      <c r="BZ5" s="310">
        <v>0</v>
      </c>
      <c r="CA5" s="310">
        <v>0</v>
      </c>
      <c r="CB5" s="310">
        <v>0</v>
      </c>
      <c r="CC5" s="310">
        <v>0</v>
      </c>
      <c r="CD5" s="310">
        <v>0</v>
      </c>
      <c r="CE5" s="310">
        <v>0</v>
      </c>
      <c r="CF5" s="310">
        <v>0</v>
      </c>
      <c r="CG5" s="310">
        <v>0</v>
      </c>
      <c r="CH5" s="310">
        <v>0</v>
      </c>
      <c r="CI5" s="310">
        <v>0</v>
      </c>
      <c r="CJ5" s="310">
        <v>0</v>
      </c>
      <c r="CK5" s="310">
        <v>0</v>
      </c>
      <c r="CL5" s="310">
        <v>0</v>
      </c>
      <c r="CM5" s="310">
        <v>0</v>
      </c>
      <c r="CN5" s="310">
        <v>0</v>
      </c>
      <c r="CO5" s="310">
        <v>0</v>
      </c>
      <c r="CP5" s="310">
        <v>0</v>
      </c>
      <c r="CQ5" s="310">
        <v>0</v>
      </c>
      <c r="CR5" s="310">
        <v>0</v>
      </c>
      <c r="CS5" s="310">
        <v>0</v>
      </c>
      <c r="CT5" s="310">
        <v>0</v>
      </c>
      <c r="CU5" s="310">
        <v>0</v>
      </c>
      <c r="CV5" s="310">
        <v>0</v>
      </c>
      <c r="CW5" s="310">
        <v>0</v>
      </c>
      <c r="CX5" s="310">
        <v>0</v>
      </c>
      <c r="CY5" s="310">
        <v>0</v>
      </c>
      <c r="CZ5" s="310">
        <v>0</v>
      </c>
      <c r="DA5" s="310">
        <v>0</v>
      </c>
      <c r="DB5" s="310">
        <v>0</v>
      </c>
      <c r="DC5" s="310">
        <v>0</v>
      </c>
      <c r="DD5" s="310">
        <v>0</v>
      </c>
      <c r="DE5" s="310">
        <v>0</v>
      </c>
      <c r="DF5" s="310">
        <v>0</v>
      </c>
      <c r="DG5" s="310">
        <v>0</v>
      </c>
      <c r="DH5" s="310">
        <v>0</v>
      </c>
      <c r="DI5" s="310">
        <v>0</v>
      </c>
    </row>
    <row r="6" spans="1:113" x14ac:dyDescent="0.2">
      <c r="A6" s="307" t="s">
        <v>697</v>
      </c>
      <c r="B6" s="310">
        <v>1</v>
      </c>
      <c r="AD6" s="307" t="s">
        <v>675</v>
      </c>
      <c r="AE6" s="310">
        <v>0</v>
      </c>
      <c r="AF6" s="310">
        <v>0</v>
      </c>
      <c r="AG6" s="310">
        <v>0</v>
      </c>
      <c r="AH6" s="310">
        <v>0</v>
      </c>
      <c r="AI6" s="310">
        <v>0</v>
      </c>
      <c r="AJ6" s="310">
        <v>0</v>
      </c>
      <c r="AK6" s="310">
        <v>0</v>
      </c>
      <c r="AL6" s="310">
        <v>0</v>
      </c>
      <c r="AM6" s="310">
        <v>0</v>
      </c>
      <c r="AN6" s="310">
        <v>0</v>
      </c>
      <c r="AO6" s="310">
        <v>0</v>
      </c>
      <c r="AP6" s="310">
        <v>0</v>
      </c>
      <c r="AQ6" s="310">
        <v>0</v>
      </c>
      <c r="AR6" s="310">
        <v>0</v>
      </c>
      <c r="AS6" s="310">
        <v>0</v>
      </c>
      <c r="AT6" s="310">
        <v>0</v>
      </c>
      <c r="AU6" s="310">
        <v>0</v>
      </c>
      <c r="AV6" s="310">
        <v>0</v>
      </c>
      <c r="AW6" s="310">
        <v>0</v>
      </c>
      <c r="AX6" s="310">
        <v>0</v>
      </c>
      <c r="AY6" s="310">
        <v>0</v>
      </c>
      <c r="AZ6" s="310">
        <v>0</v>
      </c>
      <c r="BA6" s="310">
        <v>0</v>
      </c>
      <c r="BB6" s="310">
        <v>0</v>
      </c>
      <c r="BC6" s="310">
        <v>0</v>
      </c>
      <c r="BD6" s="310">
        <v>0</v>
      </c>
      <c r="BE6" s="310">
        <v>0</v>
      </c>
      <c r="BF6" s="310">
        <v>0</v>
      </c>
      <c r="BG6" s="310">
        <v>0</v>
      </c>
      <c r="BH6" s="310">
        <v>0</v>
      </c>
      <c r="BI6" s="310">
        <v>0</v>
      </c>
      <c r="BJ6" s="310">
        <v>0</v>
      </c>
      <c r="BK6" s="310">
        <v>0</v>
      </c>
      <c r="BL6" s="310">
        <v>0</v>
      </c>
      <c r="BM6" s="310">
        <v>0</v>
      </c>
      <c r="BN6" s="310">
        <v>0</v>
      </c>
      <c r="BO6" s="310">
        <v>0</v>
      </c>
      <c r="BP6" s="310">
        <v>0</v>
      </c>
      <c r="BQ6" s="310">
        <v>0</v>
      </c>
      <c r="BR6" s="310">
        <v>0</v>
      </c>
      <c r="BU6" s="307" t="s">
        <v>675</v>
      </c>
      <c r="BV6" s="310">
        <v>0</v>
      </c>
      <c r="BW6" s="310">
        <v>0</v>
      </c>
      <c r="BX6" s="310">
        <v>0</v>
      </c>
      <c r="BY6" s="310">
        <v>0</v>
      </c>
      <c r="BZ6" s="310">
        <v>0</v>
      </c>
      <c r="CA6" s="310">
        <v>0</v>
      </c>
      <c r="CB6" s="310">
        <v>0</v>
      </c>
      <c r="CC6" s="310">
        <v>0</v>
      </c>
      <c r="CD6" s="310">
        <v>0</v>
      </c>
      <c r="CE6" s="310">
        <v>0</v>
      </c>
      <c r="CF6" s="310">
        <v>0</v>
      </c>
      <c r="CG6" s="310">
        <v>0</v>
      </c>
      <c r="CH6" s="310">
        <v>0</v>
      </c>
      <c r="CI6" s="310">
        <v>0</v>
      </c>
      <c r="CJ6" s="310">
        <v>0</v>
      </c>
      <c r="CK6" s="310">
        <v>0</v>
      </c>
      <c r="CL6" s="310">
        <v>0</v>
      </c>
      <c r="CM6" s="310">
        <v>0</v>
      </c>
      <c r="CN6" s="310">
        <v>0</v>
      </c>
      <c r="CO6" s="310">
        <v>0</v>
      </c>
      <c r="CP6" s="310">
        <v>0</v>
      </c>
      <c r="CQ6" s="310">
        <v>0</v>
      </c>
      <c r="CR6" s="310">
        <v>0</v>
      </c>
      <c r="CS6" s="310">
        <v>0</v>
      </c>
      <c r="CT6" s="310">
        <v>0</v>
      </c>
      <c r="CU6" s="310">
        <v>0</v>
      </c>
      <c r="CV6" s="310">
        <v>0</v>
      </c>
      <c r="CW6" s="310">
        <v>0</v>
      </c>
      <c r="CX6" s="310">
        <v>0</v>
      </c>
      <c r="CY6" s="310">
        <v>0</v>
      </c>
      <c r="CZ6" s="310">
        <v>0</v>
      </c>
      <c r="DA6" s="310">
        <v>0</v>
      </c>
      <c r="DB6" s="310">
        <v>0</v>
      </c>
      <c r="DC6" s="310">
        <v>0</v>
      </c>
      <c r="DD6" s="310">
        <v>0</v>
      </c>
      <c r="DE6" s="310">
        <v>0</v>
      </c>
      <c r="DF6" s="310">
        <v>0</v>
      </c>
      <c r="DG6" s="310">
        <v>0</v>
      </c>
      <c r="DH6" s="310">
        <v>0</v>
      </c>
      <c r="DI6" s="310">
        <v>0</v>
      </c>
    </row>
    <row r="7" spans="1:113" x14ac:dyDescent="0.2">
      <c r="A7" s="307" t="s">
        <v>698</v>
      </c>
      <c r="B7" s="310">
        <v>1</v>
      </c>
      <c r="AD7" s="307" t="s">
        <v>676</v>
      </c>
      <c r="AE7" s="310">
        <v>0</v>
      </c>
      <c r="AF7" s="310">
        <v>0</v>
      </c>
      <c r="AG7" s="310">
        <v>0</v>
      </c>
      <c r="AH7" s="310">
        <v>0</v>
      </c>
      <c r="AI7" s="310">
        <v>0</v>
      </c>
      <c r="AJ7" s="310">
        <v>0</v>
      </c>
      <c r="AK7" s="310">
        <v>0</v>
      </c>
      <c r="AL7" s="310">
        <v>0</v>
      </c>
      <c r="AM7" s="310">
        <v>0</v>
      </c>
      <c r="AN7" s="310">
        <v>0</v>
      </c>
      <c r="AO7" s="310">
        <v>0</v>
      </c>
      <c r="AP7" s="310">
        <v>0</v>
      </c>
      <c r="AQ7" s="310">
        <v>0</v>
      </c>
      <c r="AR7" s="310">
        <v>0</v>
      </c>
      <c r="AS7" s="310">
        <v>0</v>
      </c>
      <c r="AT7" s="310">
        <v>0</v>
      </c>
      <c r="AU7" s="310">
        <v>0</v>
      </c>
      <c r="AV7" s="310">
        <v>0</v>
      </c>
      <c r="AW7" s="310">
        <v>0</v>
      </c>
      <c r="AX7" s="310">
        <v>0</v>
      </c>
      <c r="AY7" s="310">
        <v>0</v>
      </c>
      <c r="AZ7" s="310">
        <v>0</v>
      </c>
      <c r="BA7" s="310">
        <v>0</v>
      </c>
      <c r="BB7" s="310">
        <v>0</v>
      </c>
      <c r="BC7" s="310">
        <v>0</v>
      </c>
      <c r="BD7" s="310">
        <v>0</v>
      </c>
      <c r="BE7" s="310">
        <v>0</v>
      </c>
      <c r="BF7" s="310">
        <v>0</v>
      </c>
      <c r="BG7" s="310">
        <v>0</v>
      </c>
      <c r="BH7" s="310">
        <v>0</v>
      </c>
      <c r="BI7" s="310">
        <v>0</v>
      </c>
      <c r="BJ7" s="310">
        <v>0</v>
      </c>
      <c r="BK7" s="310">
        <v>0</v>
      </c>
      <c r="BL7" s="310">
        <v>0</v>
      </c>
      <c r="BM7" s="310">
        <v>0</v>
      </c>
      <c r="BN7" s="310">
        <v>0</v>
      </c>
      <c r="BO7" s="310">
        <v>0</v>
      </c>
      <c r="BP7" s="310">
        <v>0</v>
      </c>
      <c r="BQ7" s="310">
        <v>0</v>
      </c>
      <c r="BR7" s="310">
        <v>0</v>
      </c>
      <c r="BU7" s="307" t="s">
        <v>676</v>
      </c>
      <c r="BV7" s="310">
        <v>0</v>
      </c>
      <c r="BW7" s="310">
        <v>0</v>
      </c>
      <c r="BX7" s="310">
        <v>0</v>
      </c>
      <c r="BY7" s="310">
        <v>0</v>
      </c>
      <c r="BZ7" s="310">
        <v>0</v>
      </c>
      <c r="CA7" s="310">
        <v>0</v>
      </c>
      <c r="CB7" s="310">
        <v>0</v>
      </c>
      <c r="CC7" s="310">
        <v>0</v>
      </c>
      <c r="CD7" s="310">
        <v>0</v>
      </c>
      <c r="CE7" s="310">
        <v>0</v>
      </c>
      <c r="CF7" s="310">
        <v>0</v>
      </c>
      <c r="CG7" s="310">
        <v>0</v>
      </c>
      <c r="CH7" s="310">
        <v>0</v>
      </c>
      <c r="CI7" s="310">
        <v>0</v>
      </c>
      <c r="CJ7" s="310">
        <v>0</v>
      </c>
      <c r="CK7" s="310">
        <v>0</v>
      </c>
      <c r="CL7" s="310">
        <v>0</v>
      </c>
      <c r="CM7" s="310">
        <v>0</v>
      </c>
      <c r="CN7" s="310">
        <v>0</v>
      </c>
      <c r="CO7" s="310">
        <v>0</v>
      </c>
      <c r="CP7" s="310">
        <v>0</v>
      </c>
      <c r="CQ7" s="310">
        <v>0</v>
      </c>
      <c r="CR7" s="310">
        <v>0</v>
      </c>
      <c r="CS7" s="310">
        <v>0</v>
      </c>
      <c r="CT7" s="310">
        <v>0</v>
      </c>
      <c r="CU7" s="310">
        <v>0</v>
      </c>
      <c r="CV7" s="310">
        <v>0</v>
      </c>
      <c r="CW7" s="310">
        <v>0</v>
      </c>
      <c r="CX7" s="310">
        <v>0</v>
      </c>
      <c r="CY7" s="310">
        <v>0</v>
      </c>
      <c r="CZ7" s="310">
        <v>0</v>
      </c>
      <c r="DA7" s="310">
        <v>0</v>
      </c>
      <c r="DB7" s="310">
        <v>0</v>
      </c>
      <c r="DC7" s="310">
        <v>0</v>
      </c>
      <c r="DD7" s="310">
        <v>0</v>
      </c>
      <c r="DE7" s="310">
        <v>0</v>
      </c>
      <c r="DF7" s="310">
        <v>0</v>
      </c>
      <c r="DG7" s="310">
        <v>0</v>
      </c>
      <c r="DH7" s="310">
        <v>0</v>
      </c>
      <c r="DI7" s="310">
        <v>0</v>
      </c>
    </row>
    <row r="8" spans="1:113" x14ac:dyDescent="0.2">
      <c r="A8" s="307" t="s">
        <v>641</v>
      </c>
      <c r="B8" s="310">
        <v>0</v>
      </c>
      <c r="AD8" s="307" t="s">
        <v>342</v>
      </c>
      <c r="AE8" s="310">
        <v>0</v>
      </c>
      <c r="AF8" s="310">
        <v>0</v>
      </c>
      <c r="AG8" s="310">
        <v>5820.7321553561396</v>
      </c>
      <c r="AH8" s="310">
        <v>0</v>
      </c>
      <c r="AI8" s="310">
        <v>0</v>
      </c>
      <c r="AJ8" s="310">
        <v>0</v>
      </c>
      <c r="AK8" s="310">
        <v>0</v>
      </c>
      <c r="AL8" s="310">
        <v>0</v>
      </c>
      <c r="AM8" s="310">
        <v>0</v>
      </c>
      <c r="AN8" s="310">
        <v>0</v>
      </c>
      <c r="AO8" s="310">
        <v>0</v>
      </c>
      <c r="AP8" s="310">
        <v>0</v>
      </c>
      <c r="AQ8" s="310">
        <v>67354.020465940004</v>
      </c>
      <c r="AR8" s="310">
        <v>0</v>
      </c>
      <c r="AS8" s="310">
        <v>0</v>
      </c>
      <c r="AT8" s="310">
        <v>0</v>
      </c>
      <c r="AU8" s="310">
        <v>0</v>
      </c>
      <c r="AV8" s="310">
        <v>0</v>
      </c>
      <c r="AW8" s="310">
        <v>0</v>
      </c>
      <c r="AX8" s="310">
        <v>0</v>
      </c>
      <c r="AY8" s="310">
        <v>0</v>
      </c>
      <c r="AZ8" s="310">
        <v>0</v>
      </c>
      <c r="BA8" s="310">
        <v>0</v>
      </c>
      <c r="BB8" s="310">
        <v>0</v>
      </c>
      <c r="BC8" s="310">
        <v>0</v>
      </c>
      <c r="BD8" s="310">
        <v>0</v>
      </c>
      <c r="BE8" s="310">
        <v>0</v>
      </c>
      <c r="BF8" s="310">
        <v>0</v>
      </c>
      <c r="BG8" s="310">
        <v>3155.63573488975</v>
      </c>
      <c r="BH8" s="310">
        <v>0</v>
      </c>
      <c r="BI8" s="310">
        <v>0</v>
      </c>
      <c r="BJ8" s="310">
        <v>0</v>
      </c>
      <c r="BK8" s="310">
        <v>0</v>
      </c>
      <c r="BL8" s="310">
        <v>0</v>
      </c>
      <c r="BM8" s="310">
        <v>0</v>
      </c>
      <c r="BN8" s="310">
        <v>0</v>
      </c>
      <c r="BO8" s="310">
        <v>0</v>
      </c>
      <c r="BP8" s="310">
        <v>0</v>
      </c>
      <c r="BQ8" s="310">
        <v>0</v>
      </c>
      <c r="BR8" s="310">
        <v>0</v>
      </c>
      <c r="BU8" s="307" t="s">
        <v>342</v>
      </c>
      <c r="BV8" s="310">
        <v>0</v>
      </c>
      <c r="BW8" s="310">
        <v>0</v>
      </c>
      <c r="BX8" s="310">
        <v>1</v>
      </c>
      <c r="BY8" s="310">
        <v>0</v>
      </c>
      <c r="BZ8" s="310">
        <v>0</v>
      </c>
      <c r="CA8" s="310">
        <v>0</v>
      </c>
      <c r="CB8" s="310">
        <v>0</v>
      </c>
      <c r="CC8" s="310">
        <v>0</v>
      </c>
      <c r="CD8" s="310">
        <v>0</v>
      </c>
      <c r="CE8" s="310">
        <v>0</v>
      </c>
      <c r="CF8" s="310">
        <v>0</v>
      </c>
      <c r="CG8" s="310">
        <v>0</v>
      </c>
      <c r="CH8" s="310">
        <v>1</v>
      </c>
      <c r="CI8" s="310">
        <v>0</v>
      </c>
      <c r="CJ8" s="310">
        <v>0</v>
      </c>
      <c r="CK8" s="310">
        <v>0</v>
      </c>
      <c r="CL8" s="310">
        <v>0</v>
      </c>
      <c r="CM8" s="310">
        <v>0</v>
      </c>
      <c r="CN8" s="310">
        <v>0</v>
      </c>
      <c r="CO8" s="310">
        <v>0</v>
      </c>
      <c r="CP8" s="310">
        <v>0</v>
      </c>
      <c r="CQ8" s="310">
        <v>0</v>
      </c>
      <c r="CR8" s="310">
        <v>0</v>
      </c>
      <c r="CS8" s="310">
        <v>0</v>
      </c>
      <c r="CT8" s="310">
        <v>0</v>
      </c>
      <c r="CU8" s="310">
        <v>0</v>
      </c>
      <c r="CV8" s="310">
        <v>0</v>
      </c>
      <c r="CW8" s="310">
        <v>0</v>
      </c>
      <c r="CX8" s="310">
        <v>1</v>
      </c>
      <c r="CY8" s="310">
        <v>0</v>
      </c>
      <c r="CZ8" s="310">
        <v>0</v>
      </c>
      <c r="DA8" s="310">
        <v>0</v>
      </c>
      <c r="DB8" s="310">
        <v>0</v>
      </c>
      <c r="DC8" s="310">
        <v>0</v>
      </c>
      <c r="DD8" s="310">
        <v>0</v>
      </c>
      <c r="DE8" s="310">
        <v>0</v>
      </c>
      <c r="DF8" s="310">
        <v>0</v>
      </c>
      <c r="DG8" s="310">
        <v>0</v>
      </c>
      <c r="DH8" s="310">
        <v>0</v>
      </c>
      <c r="DI8" s="310">
        <v>0</v>
      </c>
    </row>
    <row r="9" spans="1:113" x14ac:dyDescent="0.2">
      <c r="A9" s="307" t="s">
        <v>642</v>
      </c>
      <c r="B9" s="310">
        <v>0</v>
      </c>
      <c r="AD9" s="307" t="s">
        <v>448</v>
      </c>
      <c r="AE9" s="310">
        <v>0</v>
      </c>
      <c r="AF9" s="310">
        <v>0</v>
      </c>
      <c r="AG9" s="310">
        <v>0</v>
      </c>
      <c r="AH9" s="310">
        <v>0</v>
      </c>
      <c r="AI9" s="310">
        <v>0</v>
      </c>
      <c r="AJ9" s="310">
        <v>0</v>
      </c>
      <c r="AK9" s="310">
        <v>0</v>
      </c>
      <c r="AL9" s="310">
        <v>0</v>
      </c>
      <c r="AM9" s="310">
        <v>0</v>
      </c>
      <c r="AN9" s="310">
        <v>0</v>
      </c>
      <c r="AO9" s="310">
        <v>0</v>
      </c>
      <c r="AP9" s="310">
        <v>0</v>
      </c>
      <c r="AQ9" s="310">
        <v>0</v>
      </c>
      <c r="AR9" s="310">
        <v>0</v>
      </c>
      <c r="AS9" s="310">
        <v>0</v>
      </c>
      <c r="AT9" s="310">
        <v>0</v>
      </c>
      <c r="AU9" s="310">
        <v>0</v>
      </c>
      <c r="AV9" s="310">
        <v>0</v>
      </c>
      <c r="AW9" s="310">
        <v>0</v>
      </c>
      <c r="AX9" s="310">
        <v>0</v>
      </c>
      <c r="AY9" s="310">
        <v>0</v>
      </c>
      <c r="AZ9" s="310">
        <v>0</v>
      </c>
      <c r="BA9" s="310">
        <v>0</v>
      </c>
      <c r="BB9" s="310">
        <v>0</v>
      </c>
      <c r="BC9" s="310">
        <v>0</v>
      </c>
      <c r="BD9" s="310">
        <v>0</v>
      </c>
      <c r="BE9" s="310">
        <v>0</v>
      </c>
      <c r="BF9" s="310">
        <v>0</v>
      </c>
      <c r="BG9" s="310">
        <v>0</v>
      </c>
      <c r="BH9" s="310">
        <v>0</v>
      </c>
      <c r="BI9" s="310">
        <v>0</v>
      </c>
      <c r="BJ9" s="310">
        <v>0</v>
      </c>
      <c r="BK9" s="310">
        <v>0</v>
      </c>
      <c r="BL9" s="310">
        <v>0</v>
      </c>
      <c r="BM9" s="310">
        <v>0</v>
      </c>
      <c r="BN9" s="310">
        <v>0</v>
      </c>
      <c r="BO9" s="310">
        <v>0</v>
      </c>
      <c r="BP9" s="310">
        <v>0</v>
      </c>
      <c r="BQ9" s="310">
        <v>0</v>
      </c>
      <c r="BR9" s="310">
        <v>0</v>
      </c>
      <c r="BU9" s="307" t="s">
        <v>448</v>
      </c>
      <c r="BV9" s="310">
        <v>0</v>
      </c>
      <c r="BW9" s="310">
        <v>0</v>
      </c>
      <c r="BX9" s="310">
        <v>0</v>
      </c>
      <c r="BY9" s="310">
        <v>0</v>
      </c>
      <c r="BZ9" s="310">
        <v>0</v>
      </c>
      <c r="CA9" s="310">
        <v>0</v>
      </c>
      <c r="CB9" s="310">
        <v>0</v>
      </c>
      <c r="CC9" s="310">
        <v>0</v>
      </c>
      <c r="CD9" s="310">
        <v>0</v>
      </c>
      <c r="CE9" s="310">
        <v>0</v>
      </c>
      <c r="CF9" s="310">
        <v>0</v>
      </c>
      <c r="CG9" s="310">
        <v>0</v>
      </c>
      <c r="CH9" s="310">
        <v>0</v>
      </c>
      <c r="CI9" s="310">
        <v>0</v>
      </c>
      <c r="CJ9" s="310">
        <v>0</v>
      </c>
      <c r="CK9" s="310">
        <v>0</v>
      </c>
      <c r="CL9" s="310">
        <v>0</v>
      </c>
      <c r="CM9" s="310">
        <v>0</v>
      </c>
      <c r="CN9" s="310">
        <v>0</v>
      </c>
      <c r="CO9" s="310">
        <v>0</v>
      </c>
      <c r="CP9" s="310">
        <v>0</v>
      </c>
      <c r="CQ9" s="310">
        <v>0</v>
      </c>
      <c r="CR9" s="310">
        <v>0</v>
      </c>
      <c r="CS9" s="310">
        <v>0</v>
      </c>
      <c r="CT9" s="310">
        <v>0</v>
      </c>
      <c r="CU9" s="310">
        <v>0</v>
      </c>
      <c r="CV9" s="310">
        <v>0</v>
      </c>
      <c r="CW9" s="310">
        <v>0</v>
      </c>
      <c r="CX9" s="310">
        <v>0</v>
      </c>
      <c r="CY9" s="310">
        <v>0</v>
      </c>
      <c r="CZ9" s="310">
        <v>0</v>
      </c>
      <c r="DA9" s="310">
        <v>0</v>
      </c>
      <c r="DB9" s="310">
        <v>0</v>
      </c>
      <c r="DC9" s="310">
        <v>0</v>
      </c>
      <c r="DD9" s="310">
        <v>0</v>
      </c>
      <c r="DE9" s="310">
        <v>0</v>
      </c>
      <c r="DF9" s="310">
        <v>0</v>
      </c>
      <c r="DG9" s="310">
        <v>0</v>
      </c>
      <c r="DH9" s="310">
        <v>0</v>
      </c>
      <c r="DI9" s="310">
        <v>0</v>
      </c>
    </row>
    <row r="10" spans="1:113" x14ac:dyDescent="0.2">
      <c r="A10" s="307" t="s">
        <v>699</v>
      </c>
      <c r="B10" s="310">
        <v>1</v>
      </c>
      <c r="AD10" s="307" t="s">
        <v>643</v>
      </c>
      <c r="AE10" s="310">
        <v>0</v>
      </c>
      <c r="AF10" s="310">
        <v>0</v>
      </c>
      <c r="AG10" s="310">
        <v>0</v>
      </c>
      <c r="AH10" s="310">
        <v>0</v>
      </c>
      <c r="AI10" s="310">
        <v>0</v>
      </c>
      <c r="AJ10" s="310">
        <v>0</v>
      </c>
      <c r="AK10" s="310">
        <v>0</v>
      </c>
      <c r="AL10" s="310">
        <v>0</v>
      </c>
      <c r="AM10" s="310">
        <v>0</v>
      </c>
      <c r="AN10" s="310">
        <v>0</v>
      </c>
      <c r="AO10" s="310">
        <v>0</v>
      </c>
      <c r="AP10" s="310">
        <v>0</v>
      </c>
      <c r="AQ10" s="310">
        <v>0</v>
      </c>
      <c r="AR10" s="310">
        <v>0</v>
      </c>
      <c r="AS10" s="310">
        <v>0</v>
      </c>
      <c r="AT10" s="310">
        <v>0</v>
      </c>
      <c r="AU10" s="310">
        <v>0</v>
      </c>
      <c r="AV10" s="310">
        <v>0</v>
      </c>
      <c r="AW10" s="310">
        <v>0</v>
      </c>
      <c r="AX10" s="310">
        <v>0</v>
      </c>
      <c r="AY10" s="310">
        <v>0</v>
      </c>
      <c r="AZ10" s="310">
        <v>0</v>
      </c>
      <c r="BA10" s="310">
        <v>0</v>
      </c>
      <c r="BB10" s="310">
        <v>0</v>
      </c>
      <c r="BC10" s="310">
        <v>0</v>
      </c>
      <c r="BD10" s="310">
        <v>0</v>
      </c>
      <c r="BE10" s="310">
        <v>0</v>
      </c>
      <c r="BF10" s="310">
        <v>0</v>
      </c>
      <c r="BG10" s="310">
        <v>0</v>
      </c>
      <c r="BH10" s="310">
        <v>0</v>
      </c>
      <c r="BI10" s="310">
        <v>0</v>
      </c>
      <c r="BJ10" s="310">
        <v>0</v>
      </c>
      <c r="BK10" s="310">
        <v>0</v>
      </c>
      <c r="BL10" s="310">
        <v>0</v>
      </c>
      <c r="BM10" s="310">
        <v>0</v>
      </c>
      <c r="BN10" s="310">
        <v>0</v>
      </c>
      <c r="BO10" s="310">
        <v>0</v>
      </c>
      <c r="BP10" s="310">
        <v>0</v>
      </c>
      <c r="BQ10" s="310">
        <v>0</v>
      </c>
      <c r="BR10" s="310">
        <v>0</v>
      </c>
      <c r="BU10" s="307" t="s">
        <v>643</v>
      </c>
      <c r="BV10" s="310">
        <v>0</v>
      </c>
      <c r="BW10" s="310">
        <v>0</v>
      </c>
      <c r="BX10" s="310">
        <v>0</v>
      </c>
      <c r="BY10" s="310">
        <v>0</v>
      </c>
      <c r="BZ10" s="310">
        <v>0</v>
      </c>
      <c r="CA10" s="310">
        <v>0</v>
      </c>
      <c r="CB10" s="310">
        <v>0</v>
      </c>
      <c r="CC10" s="310">
        <v>0</v>
      </c>
      <c r="CD10" s="310">
        <v>0</v>
      </c>
      <c r="CE10" s="310">
        <v>0</v>
      </c>
      <c r="CF10" s="310">
        <v>0</v>
      </c>
      <c r="CG10" s="310">
        <v>0</v>
      </c>
      <c r="CH10" s="310">
        <v>0</v>
      </c>
      <c r="CI10" s="310">
        <v>0</v>
      </c>
      <c r="CJ10" s="310">
        <v>0</v>
      </c>
      <c r="CK10" s="310">
        <v>0</v>
      </c>
      <c r="CL10" s="310">
        <v>0</v>
      </c>
      <c r="CM10" s="310">
        <v>0</v>
      </c>
      <c r="CN10" s="310">
        <v>0</v>
      </c>
      <c r="CO10" s="310">
        <v>0</v>
      </c>
      <c r="CP10" s="310">
        <v>0</v>
      </c>
      <c r="CQ10" s="310">
        <v>0</v>
      </c>
      <c r="CR10" s="310">
        <v>0</v>
      </c>
      <c r="CS10" s="310">
        <v>0</v>
      </c>
      <c r="CT10" s="310">
        <v>0</v>
      </c>
      <c r="CU10" s="310">
        <v>0</v>
      </c>
      <c r="CV10" s="310">
        <v>0</v>
      </c>
      <c r="CW10" s="310">
        <v>0</v>
      </c>
      <c r="CX10" s="310">
        <v>0</v>
      </c>
      <c r="CY10" s="310">
        <v>0</v>
      </c>
      <c r="CZ10" s="310">
        <v>0</v>
      </c>
      <c r="DA10" s="310">
        <v>0</v>
      </c>
      <c r="DB10" s="310">
        <v>0</v>
      </c>
      <c r="DC10" s="310">
        <v>0</v>
      </c>
      <c r="DD10" s="310">
        <v>0</v>
      </c>
      <c r="DE10" s="310">
        <v>0</v>
      </c>
      <c r="DF10" s="310">
        <v>0</v>
      </c>
      <c r="DG10" s="310">
        <v>0</v>
      </c>
      <c r="DH10" s="310">
        <v>0</v>
      </c>
      <c r="DI10" s="310">
        <v>0</v>
      </c>
    </row>
    <row r="11" spans="1:113" x14ac:dyDescent="0.2">
      <c r="A11" s="307" t="s">
        <v>700</v>
      </c>
      <c r="B11" s="310">
        <v>1</v>
      </c>
      <c r="AD11" s="307" t="s">
        <v>462</v>
      </c>
      <c r="AE11" s="310">
        <v>0</v>
      </c>
      <c r="AF11" s="310">
        <v>0</v>
      </c>
      <c r="AG11" s="310">
        <v>0</v>
      </c>
      <c r="AH11" s="310">
        <v>0</v>
      </c>
      <c r="AI11" s="310">
        <v>0</v>
      </c>
      <c r="AJ11" s="310">
        <v>0</v>
      </c>
      <c r="AK11" s="310">
        <v>0</v>
      </c>
      <c r="AL11" s="310">
        <v>0</v>
      </c>
      <c r="AM11" s="310">
        <v>0</v>
      </c>
      <c r="AN11" s="310">
        <v>0</v>
      </c>
      <c r="AO11" s="310">
        <v>0</v>
      </c>
      <c r="AP11" s="310">
        <v>0</v>
      </c>
      <c r="AQ11" s="310">
        <v>0</v>
      </c>
      <c r="AR11" s="310">
        <v>0</v>
      </c>
      <c r="AS11" s="310">
        <v>0</v>
      </c>
      <c r="AT11" s="310">
        <v>0</v>
      </c>
      <c r="AU11" s="310">
        <v>0</v>
      </c>
      <c r="AV11" s="310">
        <v>0</v>
      </c>
      <c r="AW11" s="310">
        <v>0</v>
      </c>
      <c r="AX11" s="310">
        <v>0</v>
      </c>
      <c r="AY11" s="310">
        <v>0</v>
      </c>
      <c r="AZ11" s="310">
        <v>0</v>
      </c>
      <c r="BA11" s="310">
        <v>0</v>
      </c>
      <c r="BB11" s="310">
        <v>0</v>
      </c>
      <c r="BC11" s="310">
        <v>0</v>
      </c>
      <c r="BD11" s="310">
        <v>0</v>
      </c>
      <c r="BE11" s="310">
        <v>0</v>
      </c>
      <c r="BF11" s="310">
        <v>0</v>
      </c>
      <c r="BG11" s="310">
        <v>0</v>
      </c>
      <c r="BH11" s="310">
        <v>0</v>
      </c>
      <c r="BI11" s="310">
        <v>0</v>
      </c>
      <c r="BJ11" s="310">
        <v>0</v>
      </c>
      <c r="BK11" s="310">
        <v>0</v>
      </c>
      <c r="BL11" s="310">
        <v>0</v>
      </c>
      <c r="BM11" s="310">
        <v>0</v>
      </c>
      <c r="BN11" s="310">
        <v>0</v>
      </c>
      <c r="BO11" s="310">
        <v>0</v>
      </c>
      <c r="BP11" s="310">
        <v>0</v>
      </c>
      <c r="BQ11" s="310">
        <v>0</v>
      </c>
      <c r="BR11" s="310">
        <v>0</v>
      </c>
      <c r="BU11" s="307" t="s">
        <v>462</v>
      </c>
      <c r="BV11" s="310">
        <v>0</v>
      </c>
      <c r="BW11" s="310">
        <v>0</v>
      </c>
      <c r="BX11" s="310">
        <v>0</v>
      </c>
      <c r="BY11" s="310">
        <v>0</v>
      </c>
      <c r="BZ11" s="310">
        <v>0</v>
      </c>
      <c r="CA11" s="310">
        <v>0</v>
      </c>
      <c r="CB11" s="310">
        <v>0</v>
      </c>
      <c r="CC11" s="310">
        <v>0</v>
      </c>
      <c r="CD11" s="310">
        <v>0</v>
      </c>
      <c r="CE11" s="310">
        <v>0</v>
      </c>
      <c r="CF11" s="310">
        <v>0</v>
      </c>
      <c r="CG11" s="310">
        <v>0</v>
      </c>
      <c r="CH11" s="310">
        <v>0</v>
      </c>
      <c r="CI11" s="310">
        <v>0</v>
      </c>
      <c r="CJ11" s="310">
        <v>0</v>
      </c>
      <c r="CK11" s="310">
        <v>0</v>
      </c>
      <c r="CL11" s="310">
        <v>0</v>
      </c>
      <c r="CM11" s="310">
        <v>0</v>
      </c>
      <c r="CN11" s="310">
        <v>0</v>
      </c>
      <c r="CO11" s="310">
        <v>0</v>
      </c>
      <c r="CP11" s="310">
        <v>0</v>
      </c>
      <c r="CQ11" s="310">
        <v>0</v>
      </c>
      <c r="CR11" s="310">
        <v>0</v>
      </c>
      <c r="CS11" s="310">
        <v>0</v>
      </c>
      <c r="CT11" s="310">
        <v>0</v>
      </c>
      <c r="CU11" s="310">
        <v>0</v>
      </c>
      <c r="CV11" s="310">
        <v>0</v>
      </c>
      <c r="CW11" s="310">
        <v>0</v>
      </c>
      <c r="CX11" s="310">
        <v>0</v>
      </c>
      <c r="CY11" s="310">
        <v>0</v>
      </c>
      <c r="CZ11" s="310">
        <v>0</v>
      </c>
      <c r="DA11" s="310">
        <v>0</v>
      </c>
      <c r="DB11" s="310">
        <v>0</v>
      </c>
      <c r="DC11" s="310">
        <v>0</v>
      </c>
      <c r="DD11" s="310">
        <v>0</v>
      </c>
      <c r="DE11" s="310">
        <v>0</v>
      </c>
      <c r="DF11" s="310">
        <v>0</v>
      </c>
      <c r="DG11" s="310">
        <v>0</v>
      </c>
      <c r="DH11" s="310">
        <v>0</v>
      </c>
      <c r="DI11" s="310">
        <v>0</v>
      </c>
    </row>
    <row r="12" spans="1:113" x14ac:dyDescent="0.2">
      <c r="A12" s="307" t="s">
        <v>701</v>
      </c>
      <c r="B12" s="310">
        <v>1</v>
      </c>
      <c r="AD12" s="307" t="s">
        <v>677</v>
      </c>
      <c r="AE12" s="310">
        <v>0</v>
      </c>
      <c r="AF12" s="310">
        <v>0</v>
      </c>
      <c r="AG12" s="310">
        <v>0</v>
      </c>
      <c r="AH12" s="310">
        <v>0</v>
      </c>
      <c r="AI12" s="310">
        <v>0</v>
      </c>
      <c r="AJ12" s="310">
        <v>0</v>
      </c>
      <c r="AK12" s="310">
        <v>0</v>
      </c>
      <c r="AL12" s="310">
        <v>0</v>
      </c>
      <c r="AM12" s="310">
        <v>0</v>
      </c>
      <c r="AN12" s="310">
        <v>0</v>
      </c>
      <c r="AO12" s="310">
        <v>0</v>
      </c>
      <c r="AP12" s="310">
        <v>0</v>
      </c>
      <c r="AQ12" s="310">
        <v>0</v>
      </c>
      <c r="AR12" s="310">
        <v>0</v>
      </c>
      <c r="AS12" s="310">
        <v>0</v>
      </c>
      <c r="AT12" s="310">
        <v>0</v>
      </c>
      <c r="AU12" s="310">
        <v>0</v>
      </c>
      <c r="AV12" s="310">
        <v>0</v>
      </c>
      <c r="AW12" s="310">
        <v>0</v>
      </c>
      <c r="AX12" s="310">
        <v>0</v>
      </c>
      <c r="AY12" s="310">
        <v>0</v>
      </c>
      <c r="AZ12" s="310">
        <v>0</v>
      </c>
      <c r="BA12" s="310">
        <v>0</v>
      </c>
      <c r="BB12" s="310">
        <v>0</v>
      </c>
      <c r="BC12" s="310">
        <v>0</v>
      </c>
      <c r="BD12" s="310">
        <v>0</v>
      </c>
      <c r="BE12" s="310">
        <v>0</v>
      </c>
      <c r="BF12" s="310">
        <v>0</v>
      </c>
      <c r="BG12" s="310">
        <v>0</v>
      </c>
      <c r="BH12" s="310">
        <v>0</v>
      </c>
      <c r="BI12" s="310">
        <v>0</v>
      </c>
      <c r="BJ12" s="310">
        <v>0</v>
      </c>
      <c r="BK12" s="310">
        <v>0</v>
      </c>
      <c r="BL12" s="310">
        <v>0</v>
      </c>
      <c r="BM12" s="310">
        <v>0</v>
      </c>
      <c r="BN12" s="310">
        <v>0</v>
      </c>
      <c r="BO12" s="310">
        <v>0</v>
      </c>
      <c r="BP12" s="310">
        <v>0</v>
      </c>
      <c r="BQ12" s="310">
        <v>0</v>
      </c>
      <c r="BR12" s="310">
        <v>0</v>
      </c>
      <c r="BU12" s="307" t="s">
        <v>677</v>
      </c>
      <c r="BV12" s="310">
        <v>0</v>
      </c>
      <c r="BW12" s="310">
        <v>0</v>
      </c>
      <c r="BX12" s="310">
        <v>0</v>
      </c>
      <c r="BY12" s="310">
        <v>0</v>
      </c>
      <c r="BZ12" s="310">
        <v>0</v>
      </c>
      <c r="CA12" s="310">
        <v>0</v>
      </c>
      <c r="CB12" s="310">
        <v>0</v>
      </c>
      <c r="CC12" s="310">
        <v>0</v>
      </c>
      <c r="CD12" s="310">
        <v>0</v>
      </c>
      <c r="CE12" s="310">
        <v>0</v>
      </c>
      <c r="CF12" s="310">
        <v>0</v>
      </c>
      <c r="CG12" s="310">
        <v>0</v>
      </c>
      <c r="CH12" s="310">
        <v>0</v>
      </c>
      <c r="CI12" s="310">
        <v>0</v>
      </c>
      <c r="CJ12" s="310">
        <v>0</v>
      </c>
      <c r="CK12" s="310">
        <v>0</v>
      </c>
      <c r="CL12" s="310">
        <v>0</v>
      </c>
      <c r="CM12" s="310">
        <v>0</v>
      </c>
      <c r="CN12" s="310">
        <v>0</v>
      </c>
      <c r="CO12" s="310">
        <v>0</v>
      </c>
      <c r="CP12" s="310">
        <v>0</v>
      </c>
      <c r="CQ12" s="310">
        <v>0</v>
      </c>
      <c r="CR12" s="310">
        <v>0</v>
      </c>
      <c r="CS12" s="310">
        <v>0</v>
      </c>
      <c r="CT12" s="310">
        <v>0</v>
      </c>
      <c r="CU12" s="310">
        <v>0</v>
      </c>
      <c r="CV12" s="310">
        <v>0</v>
      </c>
      <c r="CW12" s="310">
        <v>0</v>
      </c>
      <c r="CX12" s="310">
        <v>0</v>
      </c>
      <c r="CY12" s="310">
        <v>0</v>
      </c>
      <c r="CZ12" s="310">
        <v>0</v>
      </c>
      <c r="DA12" s="310">
        <v>0</v>
      </c>
      <c r="DB12" s="310">
        <v>0</v>
      </c>
      <c r="DC12" s="310">
        <v>0</v>
      </c>
      <c r="DD12" s="310">
        <v>0</v>
      </c>
      <c r="DE12" s="310">
        <v>0</v>
      </c>
      <c r="DF12" s="310">
        <v>0</v>
      </c>
      <c r="DG12" s="310">
        <v>0</v>
      </c>
      <c r="DH12" s="310">
        <v>0</v>
      </c>
      <c r="DI12" s="310">
        <v>0</v>
      </c>
    </row>
    <row r="13" spans="1:113" x14ac:dyDescent="0.2">
      <c r="A13" s="307" t="s">
        <v>674</v>
      </c>
      <c r="B13" s="310">
        <v>1</v>
      </c>
      <c r="AD13" s="307" t="s">
        <v>678</v>
      </c>
      <c r="AE13" s="310">
        <v>0</v>
      </c>
      <c r="AF13" s="310">
        <v>0</v>
      </c>
      <c r="AG13" s="310">
        <v>0</v>
      </c>
      <c r="AH13" s="310">
        <v>0</v>
      </c>
      <c r="AI13" s="310">
        <v>0</v>
      </c>
      <c r="AJ13" s="310">
        <v>0</v>
      </c>
      <c r="AK13" s="310">
        <v>0</v>
      </c>
      <c r="AL13" s="310">
        <v>0</v>
      </c>
      <c r="AM13" s="310">
        <v>0</v>
      </c>
      <c r="AN13" s="310">
        <v>0</v>
      </c>
      <c r="AO13" s="310">
        <v>0</v>
      </c>
      <c r="AP13" s="310">
        <v>0</v>
      </c>
      <c r="AQ13" s="310">
        <v>0</v>
      </c>
      <c r="AR13" s="310">
        <v>0</v>
      </c>
      <c r="AS13" s="310">
        <v>0</v>
      </c>
      <c r="AT13" s="310">
        <v>0</v>
      </c>
      <c r="AU13" s="310">
        <v>0</v>
      </c>
      <c r="AV13" s="310">
        <v>0</v>
      </c>
      <c r="AW13" s="310">
        <v>0</v>
      </c>
      <c r="AX13" s="310">
        <v>0</v>
      </c>
      <c r="AY13" s="310">
        <v>0</v>
      </c>
      <c r="AZ13" s="310">
        <v>0</v>
      </c>
      <c r="BA13" s="310">
        <v>0</v>
      </c>
      <c r="BB13" s="310">
        <v>0</v>
      </c>
      <c r="BC13" s="310">
        <v>0</v>
      </c>
      <c r="BD13" s="310">
        <v>0</v>
      </c>
      <c r="BE13" s="310">
        <v>0</v>
      </c>
      <c r="BF13" s="310">
        <v>0</v>
      </c>
      <c r="BG13" s="310">
        <v>0</v>
      </c>
      <c r="BH13" s="310">
        <v>0</v>
      </c>
      <c r="BI13" s="310">
        <v>0</v>
      </c>
      <c r="BJ13" s="310">
        <v>0</v>
      </c>
      <c r="BK13" s="310">
        <v>0</v>
      </c>
      <c r="BL13" s="310">
        <v>0</v>
      </c>
      <c r="BM13" s="310">
        <v>0</v>
      </c>
      <c r="BN13" s="310">
        <v>0</v>
      </c>
      <c r="BO13" s="310">
        <v>0</v>
      </c>
      <c r="BP13" s="310">
        <v>0</v>
      </c>
      <c r="BQ13" s="310">
        <v>0</v>
      </c>
      <c r="BR13" s="310">
        <v>0</v>
      </c>
      <c r="BU13" s="307" t="s">
        <v>678</v>
      </c>
      <c r="BV13" s="310">
        <v>0</v>
      </c>
      <c r="BW13" s="310">
        <v>0</v>
      </c>
      <c r="BX13" s="310">
        <v>0</v>
      </c>
      <c r="BY13" s="310">
        <v>0</v>
      </c>
      <c r="BZ13" s="310">
        <v>0</v>
      </c>
      <c r="CA13" s="310">
        <v>0</v>
      </c>
      <c r="CB13" s="310">
        <v>0</v>
      </c>
      <c r="CC13" s="310">
        <v>0</v>
      </c>
      <c r="CD13" s="310">
        <v>0</v>
      </c>
      <c r="CE13" s="310">
        <v>0</v>
      </c>
      <c r="CF13" s="310">
        <v>0</v>
      </c>
      <c r="CG13" s="310">
        <v>0</v>
      </c>
      <c r="CH13" s="310">
        <v>0</v>
      </c>
      <c r="CI13" s="310">
        <v>0</v>
      </c>
      <c r="CJ13" s="310">
        <v>0</v>
      </c>
      <c r="CK13" s="310">
        <v>0</v>
      </c>
      <c r="CL13" s="310">
        <v>0</v>
      </c>
      <c r="CM13" s="310">
        <v>0</v>
      </c>
      <c r="CN13" s="310">
        <v>0</v>
      </c>
      <c r="CO13" s="310">
        <v>0</v>
      </c>
      <c r="CP13" s="310">
        <v>0</v>
      </c>
      <c r="CQ13" s="310">
        <v>0</v>
      </c>
      <c r="CR13" s="310">
        <v>0</v>
      </c>
      <c r="CS13" s="310">
        <v>0</v>
      </c>
      <c r="CT13" s="310">
        <v>0</v>
      </c>
      <c r="CU13" s="310">
        <v>0</v>
      </c>
      <c r="CV13" s="310">
        <v>0</v>
      </c>
      <c r="CW13" s="310">
        <v>0</v>
      </c>
      <c r="CX13" s="310">
        <v>0</v>
      </c>
      <c r="CY13" s="310">
        <v>0</v>
      </c>
      <c r="CZ13" s="310">
        <v>0</v>
      </c>
      <c r="DA13" s="310">
        <v>0</v>
      </c>
      <c r="DB13" s="310">
        <v>0</v>
      </c>
      <c r="DC13" s="310">
        <v>0</v>
      </c>
      <c r="DD13" s="310">
        <v>0</v>
      </c>
      <c r="DE13" s="310">
        <v>0</v>
      </c>
      <c r="DF13" s="310">
        <v>0</v>
      </c>
      <c r="DG13" s="310">
        <v>0</v>
      </c>
      <c r="DH13" s="310">
        <v>0</v>
      </c>
      <c r="DI13" s="310">
        <v>0</v>
      </c>
    </row>
    <row r="14" spans="1:113" x14ac:dyDescent="0.2">
      <c r="A14" s="307" t="s">
        <v>675</v>
      </c>
      <c r="B14" s="310">
        <v>1</v>
      </c>
      <c r="AD14" s="307" t="s">
        <v>644</v>
      </c>
      <c r="AE14" s="310">
        <v>0</v>
      </c>
      <c r="AF14" s="310">
        <v>0</v>
      </c>
      <c r="AG14" s="310">
        <v>0</v>
      </c>
      <c r="AH14" s="310">
        <v>0</v>
      </c>
      <c r="AI14" s="310">
        <v>0</v>
      </c>
      <c r="AJ14" s="310">
        <v>0</v>
      </c>
      <c r="AK14" s="310">
        <v>0</v>
      </c>
      <c r="AL14" s="310">
        <v>0</v>
      </c>
      <c r="AM14" s="310">
        <v>0</v>
      </c>
      <c r="AN14" s="310">
        <v>0</v>
      </c>
      <c r="AO14" s="310">
        <v>0</v>
      </c>
      <c r="AP14" s="310">
        <v>0</v>
      </c>
      <c r="AQ14" s="310">
        <v>0</v>
      </c>
      <c r="AR14" s="310">
        <v>0</v>
      </c>
      <c r="AS14" s="310">
        <v>0</v>
      </c>
      <c r="AT14" s="310">
        <v>0</v>
      </c>
      <c r="AU14" s="310">
        <v>0</v>
      </c>
      <c r="AV14" s="310">
        <v>0</v>
      </c>
      <c r="AW14" s="310">
        <v>0</v>
      </c>
      <c r="AX14" s="310">
        <v>0</v>
      </c>
      <c r="AY14" s="310">
        <v>0</v>
      </c>
      <c r="AZ14" s="310">
        <v>0</v>
      </c>
      <c r="BA14" s="310">
        <v>0</v>
      </c>
      <c r="BB14" s="310">
        <v>0</v>
      </c>
      <c r="BC14" s="310">
        <v>0</v>
      </c>
      <c r="BD14" s="310">
        <v>0</v>
      </c>
      <c r="BE14" s="310">
        <v>0</v>
      </c>
      <c r="BF14" s="310">
        <v>0</v>
      </c>
      <c r="BG14" s="310">
        <v>0</v>
      </c>
      <c r="BH14" s="310">
        <v>0</v>
      </c>
      <c r="BI14" s="310">
        <v>0</v>
      </c>
      <c r="BJ14" s="310">
        <v>0</v>
      </c>
      <c r="BK14" s="310">
        <v>0</v>
      </c>
      <c r="BL14" s="310">
        <v>0</v>
      </c>
      <c r="BM14" s="310">
        <v>0</v>
      </c>
      <c r="BN14" s="310">
        <v>0</v>
      </c>
      <c r="BO14" s="310">
        <v>0</v>
      </c>
      <c r="BP14" s="310">
        <v>0</v>
      </c>
      <c r="BQ14" s="310">
        <v>0</v>
      </c>
      <c r="BR14" s="310">
        <v>0</v>
      </c>
      <c r="BU14" s="307" t="s">
        <v>644</v>
      </c>
      <c r="BV14" s="310">
        <v>0</v>
      </c>
      <c r="BW14" s="310">
        <v>0</v>
      </c>
      <c r="BX14" s="310">
        <v>0</v>
      </c>
      <c r="BY14" s="310">
        <v>0</v>
      </c>
      <c r="BZ14" s="310">
        <v>0</v>
      </c>
      <c r="CA14" s="310">
        <v>0</v>
      </c>
      <c r="CB14" s="310">
        <v>0</v>
      </c>
      <c r="CC14" s="310">
        <v>0</v>
      </c>
      <c r="CD14" s="310">
        <v>0</v>
      </c>
      <c r="CE14" s="310">
        <v>0</v>
      </c>
      <c r="CF14" s="310">
        <v>0</v>
      </c>
      <c r="CG14" s="310">
        <v>0</v>
      </c>
      <c r="CH14" s="310">
        <v>0</v>
      </c>
      <c r="CI14" s="310">
        <v>0</v>
      </c>
      <c r="CJ14" s="310">
        <v>0</v>
      </c>
      <c r="CK14" s="310">
        <v>0</v>
      </c>
      <c r="CL14" s="310">
        <v>0</v>
      </c>
      <c r="CM14" s="310">
        <v>0</v>
      </c>
      <c r="CN14" s="310">
        <v>0</v>
      </c>
      <c r="CO14" s="310">
        <v>0</v>
      </c>
      <c r="CP14" s="310">
        <v>0</v>
      </c>
      <c r="CQ14" s="310">
        <v>0</v>
      </c>
      <c r="CR14" s="310">
        <v>0</v>
      </c>
      <c r="CS14" s="310">
        <v>0</v>
      </c>
      <c r="CT14" s="310">
        <v>0</v>
      </c>
      <c r="CU14" s="310">
        <v>0</v>
      </c>
      <c r="CV14" s="310">
        <v>0</v>
      </c>
      <c r="CW14" s="310">
        <v>0</v>
      </c>
      <c r="CX14" s="310">
        <v>0</v>
      </c>
      <c r="CY14" s="310">
        <v>0</v>
      </c>
      <c r="CZ14" s="310">
        <v>0</v>
      </c>
      <c r="DA14" s="310">
        <v>0</v>
      </c>
      <c r="DB14" s="310">
        <v>0</v>
      </c>
      <c r="DC14" s="310">
        <v>0</v>
      </c>
      <c r="DD14" s="310">
        <v>0</v>
      </c>
      <c r="DE14" s="310">
        <v>0</v>
      </c>
      <c r="DF14" s="310">
        <v>0</v>
      </c>
      <c r="DG14" s="310">
        <v>0</v>
      </c>
      <c r="DH14" s="310">
        <v>0</v>
      </c>
      <c r="DI14" s="310">
        <v>0</v>
      </c>
    </row>
    <row r="15" spans="1:113" x14ac:dyDescent="0.2">
      <c r="A15" s="307" t="s">
        <v>676</v>
      </c>
      <c r="B15" s="310">
        <v>1</v>
      </c>
      <c r="AD15" s="307" t="s">
        <v>645</v>
      </c>
      <c r="AE15" s="310">
        <v>0</v>
      </c>
      <c r="AF15" s="310">
        <v>0</v>
      </c>
      <c r="AG15" s="310">
        <v>0</v>
      </c>
      <c r="AH15" s="310">
        <v>0</v>
      </c>
      <c r="AI15" s="310">
        <v>0</v>
      </c>
      <c r="AJ15" s="310">
        <v>0</v>
      </c>
      <c r="AK15" s="310">
        <v>0</v>
      </c>
      <c r="AL15" s="310">
        <v>0</v>
      </c>
      <c r="AM15" s="310">
        <v>0</v>
      </c>
      <c r="AN15" s="310">
        <v>0</v>
      </c>
      <c r="AO15" s="310">
        <v>0</v>
      </c>
      <c r="AP15" s="310">
        <v>0</v>
      </c>
      <c r="AQ15" s="310">
        <v>0</v>
      </c>
      <c r="AR15" s="310">
        <v>0</v>
      </c>
      <c r="AS15" s="310">
        <v>0</v>
      </c>
      <c r="AT15" s="310">
        <v>0</v>
      </c>
      <c r="AU15" s="310">
        <v>0</v>
      </c>
      <c r="AV15" s="310">
        <v>0</v>
      </c>
      <c r="AW15" s="310">
        <v>0</v>
      </c>
      <c r="AX15" s="310">
        <v>0</v>
      </c>
      <c r="AY15" s="310">
        <v>0</v>
      </c>
      <c r="AZ15" s="310">
        <v>0</v>
      </c>
      <c r="BA15" s="310">
        <v>0</v>
      </c>
      <c r="BB15" s="310">
        <v>0</v>
      </c>
      <c r="BC15" s="310">
        <v>0</v>
      </c>
      <c r="BD15" s="310">
        <v>0</v>
      </c>
      <c r="BE15" s="310">
        <v>0</v>
      </c>
      <c r="BF15" s="310">
        <v>0</v>
      </c>
      <c r="BG15" s="310">
        <v>0</v>
      </c>
      <c r="BH15" s="310">
        <v>0</v>
      </c>
      <c r="BI15" s="310">
        <v>0</v>
      </c>
      <c r="BJ15" s="310">
        <v>0</v>
      </c>
      <c r="BK15" s="310">
        <v>0</v>
      </c>
      <c r="BL15" s="310">
        <v>0</v>
      </c>
      <c r="BM15" s="310">
        <v>0</v>
      </c>
      <c r="BN15" s="310">
        <v>0</v>
      </c>
      <c r="BO15" s="310">
        <v>0</v>
      </c>
      <c r="BP15" s="310">
        <v>0</v>
      </c>
      <c r="BQ15" s="310">
        <v>0</v>
      </c>
      <c r="BR15" s="310">
        <v>0</v>
      </c>
      <c r="BU15" s="307" t="s">
        <v>645</v>
      </c>
      <c r="BV15" s="310">
        <v>0</v>
      </c>
      <c r="BW15" s="310">
        <v>0</v>
      </c>
      <c r="BX15" s="310">
        <v>0</v>
      </c>
      <c r="BY15" s="310">
        <v>0</v>
      </c>
      <c r="BZ15" s="310">
        <v>0</v>
      </c>
      <c r="CA15" s="310">
        <v>0</v>
      </c>
      <c r="CB15" s="310">
        <v>0</v>
      </c>
      <c r="CC15" s="310">
        <v>0</v>
      </c>
      <c r="CD15" s="310">
        <v>0</v>
      </c>
      <c r="CE15" s="310">
        <v>0</v>
      </c>
      <c r="CF15" s="310">
        <v>0</v>
      </c>
      <c r="CG15" s="310">
        <v>0</v>
      </c>
      <c r="CH15" s="310">
        <v>0</v>
      </c>
      <c r="CI15" s="310">
        <v>0</v>
      </c>
      <c r="CJ15" s="310">
        <v>0</v>
      </c>
      <c r="CK15" s="310">
        <v>0</v>
      </c>
      <c r="CL15" s="310">
        <v>0</v>
      </c>
      <c r="CM15" s="310">
        <v>0</v>
      </c>
      <c r="CN15" s="310">
        <v>0</v>
      </c>
      <c r="CO15" s="310">
        <v>0</v>
      </c>
      <c r="CP15" s="310">
        <v>0</v>
      </c>
      <c r="CQ15" s="310">
        <v>0</v>
      </c>
      <c r="CR15" s="310">
        <v>0</v>
      </c>
      <c r="CS15" s="310">
        <v>0</v>
      </c>
      <c r="CT15" s="310">
        <v>0</v>
      </c>
      <c r="CU15" s="310">
        <v>0</v>
      </c>
      <c r="CV15" s="310">
        <v>0</v>
      </c>
      <c r="CW15" s="310">
        <v>0</v>
      </c>
      <c r="CX15" s="310">
        <v>0</v>
      </c>
      <c r="CY15" s="310">
        <v>0</v>
      </c>
      <c r="CZ15" s="310">
        <v>0</v>
      </c>
      <c r="DA15" s="310">
        <v>0</v>
      </c>
      <c r="DB15" s="310">
        <v>0</v>
      </c>
      <c r="DC15" s="310">
        <v>0</v>
      </c>
      <c r="DD15" s="310">
        <v>0</v>
      </c>
      <c r="DE15" s="310">
        <v>0</v>
      </c>
      <c r="DF15" s="310">
        <v>0</v>
      </c>
      <c r="DG15" s="310">
        <v>0</v>
      </c>
      <c r="DH15" s="310">
        <v>0</v>
      </c>
      <c r="DI15" s="310">
        <v>0</v>
      </c>
    </row>
    <row r="16" spans="1:113" x14ac:dyDescent="0.2">
      <c r="A16" s="307" t="s">
        <v>342</v>
      </c>
      <c r="B16" s="310">
        <v>1</v>
      </c>
      <c r="AD16" s="307" t="s">
        <v>646</v>
      </c>
      <c r="AE16" s="310">
        <v>0</v>
      </c>
      <c r="AF16" s="310">
        <v>0</v>
      </c>
      <c r="AG16" s="310">
        <v>0</v>
      </c>
      <c r="AH16" s="310">
        <v>0</v>
      </c>
      <c r="AI16" s="310">
        <v>0</v>
      </c>
      <c r="AJ16" s="310">
        <v>0</v>
      </c>
      <c r="AK16" s="310">
        <v>0</v>
      </c>
      <c r="AL16" s="310">
        <v>0</v>
      </c>
      <c r="AM16" s="310">
        <v>0</v>
      </c>
      <c r="AN16" s="310">
        <v>0</v>
      </c>
      <c r="AO16" s="310">
        <v>0</v>
      </c>
      <c r="AP16" s="310">
        <v>0</v>
      </c>
      <c r="AQ16" s="310">
        <v>0</v>
      </c>
      <c r="AR16" s="310">
        <v>0</v>
      </c>
      <c r="AS16" s="310">
        <v>0</v>
      </c>
      <c r="AT16" s="310">
        <v>0</v>
      </c>
      <c r="AU16" s="310">
        <v>0</v>
      </c>
      <c r="AV16" s="310">
        <v>0</v>
      </c>
      <c r="AW16" s="310">
        <v>0</v>
      </c>
      <c r="AX16" s="310">
        <v>0</v>
      </c>
      <c r="AY16" s="310">
        <v>0</v>
      </c>
      <c r="AZ16" s="310">
        <v>0</v>
      </c>
      <c r="BA16" s="310">
        <v>0</v>
      </c>
      <c r="BB16" s="310">
        <v>0</v>
      </c>
      <c r="BC16" s="310">
        <v>0</v>
      </c>
      <c r="BD16" s="310">
        <v>0</v>
      </c>
      <c r="BE16" s="310">
        <v>0</v>
      </c>
      <c r="BF16" s="310">
        <v>0</v>
      </c>
      <c r="BG16" s="310">
        <v>0</v>
      </c>
      <c r="BH16" s="310">
        <v>0</v>
      </c>
      <c r="BI16" s="310">
        <v>0</v>
      </c>
      <c r="BJ16" s="310">
        <v>0</v>
      </c>
      <c r="BK16" s="310">
        <v>0</v>
      </c>
      <c r="BL16" s="310">
        <v>0</v>
      </c>
      <c r="BM16" s="310">
        <v>0</v>
      </c>
      <c r="BN16" s="310">
        <v>0</v>
      </c>
      <c r="BO16" s="310">
        <v>0</v>
      </c>
      <c r="BP16" s="310">
        <v>0</v>
      </c>
      <c r="BQ16" s="310">
        <v>0</v>
      </c>
      <c r="BR16" s="310">
        <v>0</v>
      </c>
      <c r="BU16" s="307" t="s">
        <v>646</v>
      </c>
      <c r="BV16" s="310">
        <v>0</v>
      </c>
      <c r="BW16" s="310">
        <v>0</v>
      </c>
      <c r="BX16" s="310">
        <v>0</v>
      </c>
      <c r="BY16" s="310">
        <v>0</v>
      </c>
      <c r="BZ16" s="310">
        <v>0</v>
      </c>
      <c r="CA16" s="310">
        <v>0</v>
      </c>
      <c r="CB16" s="310">
        <v>0</v>
      </c>
      <c r="CC16" s="310">
        <v>0</v>
      </c>
      <c r="CD16" s="310">
        <v>0</v>
      </c>
      <c r="CE16" s="310">
        <v>0</v>
      </c>
      <c r="CF16" s="310">
        <v>0</v>
      </c>
      <c r="CG16" s="310">
        <v>0</v>
      </c>
      <c r="CH16" s="310">
        <v>0</v>
      </c>
      <c r="CI16" s="310">
        <v>0</v>
      </c>
      <c r="CJ16" s="310">
        <v>0</v>
      </c>
      <c r="CK16" s="310">
        <v>0</v>
      </c>
      <c r="CL16" s="310">
        <v>0</v>
      </c>
      <c r="CM16" s="310">
        <v>0</v>
      </c>
      <c r="CN16" s="310">
        <v>0</v>
      </c>
      <c r="CO16" s="310">
        <v>0</v>
      </c>
      <c r="CP16" s="310">
        <v>0</v>
      </c>
      <c r="CQ16" s="310">
        <v>0</v>
      </c>
      <c r="CR16" s="310">
        <v>0</v>
      </c>
      <c r="CS16" s="310">
        <v>0</v>
      </c>
      <c r="CT16" s="310">
        <v>0</v>
      </c>
      <c r="CU16" s="310">
        <v>0</v>
      </c>
      <c r="CV16" s="310">
        <v>0</v>
      </c>
      <c r="CW16" s="310">
        <v>0</v>
      </c>
      <c r="CX16" s="310">
        <v>0</v>
      </c>
      <c r="CY16" s="310">
        <v>0</v>
      </c>
      <c r="CZ16" s="310">
        <v>0</v>
      </c>
      <c r="DA16" s="310">
        <v>0</v>
      </c>
      <c r="DB16" s="310">
        <v>0</v>
      </c>
      <c r="DC16" s="310">
        <v>0</v>
      </c>
      <c r="DD16" s="310">
        <v>0</v>
      </c>
      <c r="DE16" s="310">
        <v>0</v>
      </c>
      <c r="DF16" s="310">
        <v>0</v>
      </c>
      <c r="DG16" s="310">
        <v>0</v>
      </c>
      <c r="DH16" s="310">
        <v>0</v>
      </c>
      <c r="DI16" s="310">
        <v>0</v>
      </c>
    </row>
    <row r="17" spans="1:113" x14ac:dyDescent="0.2">
      <c r="A17" s="307" t="s">
        <v>448</v>
      </c>
      <c r="B17" s="310">
        <v>1</v>
      </c>
      <c r="AD17" s="307" t="s">
        <v>647</v>
      </c>
      <c r="AE17" s="310">
        <v>0</v>
      </c>
      <c r="AF17" s="310">
        <v>0</v>
      </c>
      <c r="AG17" s="310">
        <v>0</v>
      </c>
      <c r="AH17" s="310">
        <v>0</v>
      </c>
      <c r="AI17" s="310">
        <v>0</v>
      </c>
      <c r="AJ17" s="310">
        <v>0</v>
      </c>
      <c r="AK17" s="310">
        <v>0</v>
      </c>
      <c r="AL17" s="310">
        <v>0</v>
      </c>
      <c r="AM17" s="310">
        <v>0</v>
      </c>
      <c r="AN17" s="310">
        <v>0</v>
      </c>
      <c r="AO17" s="310">
        <v>0</v>
      </c>
      <c r="AP17" s="310">
        <v>0</v>
      </c>
      <c r="AQ17" s="310">
        <v>0</v>
      </c>
      <c r="AR17" s="310">
        <v>0</v>
      </c>
      <c r="AS17" s="310">
        <v>0</v>
      </c>
      <c r="AT17" s="310">
        <v>0</v>
      </c>
      <c r="AU17" s="310">
        <v>0</v>
      </c>
      <c r="AV17" s="310">
        <v>0</v>
      </c>
      <c r="AW17" s="310">
        <v>0</v>
      </c>
      <c r="AX17" s="310">
        <v>0</v>
      </c>
      <c r="AY17" s="310">
        <v>0</v>
      </c>
      <c r="AZ17" s="310">
        <v>0</v>
      </c>
      <c r="BA17" s="310">
        <v>0</v>
      </c>
      <c r="BB17" s="310">
        <v>0</v>
      </c>
      <c r="BC17" s="310">
        <v>0</v>
      </c>
      <c r="BD17" s="310">
        <v>0</v>
      </c>
      <c r="BE17" s="310">
        <v>0</v>
      </c>
      <c r="BF17" s="310">
        <v>0</v>
      </c>
      <c r="BG17" s="310">
        <v>0</v>
      </c>
      <c r="BH17" s="310">
        <v>0</v>
      </c>
      <c r="BI17" s="310">
        <v>0</v>
      </c>
      <c r="BJ17" s="310">
        <v>0</v>
      </c>
      <c r="BK17" s="310">
        <v>0</v>
      </c>
      <c r="BL17" s="310">
        <v>0</v>
      </c>
      <c r="BM17" s="310">
        <v>0</v>
      </c>
      <c r="BN17" s="310">
        <v>0</v>
      </c>
      <c r="BO17" s="310">
        <v>0</v>
      </c>
      <c r="BP17" s="310">
        <v>0</v>
      </c>
      <c r="BQ17" s="310">
        <v>0</v>
      </c>
      <c r="BR17" s="310">
        <v>0</v>
      </c>
      <c r="BU17" s="307" t="s">
        <v>647</v>
      </c>
      <c r="BV17" s="310">
        <v>0</v>
      </c>
      <c r="BW17" s="310">
        <v>0</v>
      </c>
      <c r="BX17" s="310">
        <v>0</v>
      </c>
      <c r="BY17" s="310">
        <v>0</v>
      </c>
      <c r="BZ17" s="310">
        <v>0</v>
      </c>
      <c r="CA17" s="310">
        <v>0</v>
      </c>
      <c r="CB17" s="310">
        <v>0</v>
      </c>
      <c r="CC17" s="310">
        <v>0</v>
      </c>
      <c r="CD17" s="310">
        <v>0</v>
      </c>
      <c r="CE17" s="310">
        <v>0</v>
      </c>
      <c r="CF17" s="310">
        <v>0</v>
      </c>
      <c r="CG17" s="310">
        <v>0</v>
      </c>
      <c r="CH17" s="310">
        <v>0</v>
      </c>
      <c r="CI17" s="310">
        <v>0</v>
      </c>
      <c r="CJ17" s="310">
        <v>0</v>
      </c>
      <c r="CK17" s="310">
        <v>0</v>
      </c>
      <c r="CL17" s="310">
        <v>0</v>
      </c>
      <c r="CM17" s="310">
        <v>0</v>
      </c>
      <c r="CN17" s="310">
        <v>0</v>
      </c>
      <c r="CO17" s="310">
        <v>0</v>
      </c>
      <c r="CP17" s="310">
        <v>0</v>
      </c>
      <c r="CQ17" s="310">
        <v>0</v>
      </c>
      <c r="CR17" s="310">
        <v>0</v>
      </c>
      <c r="CS17" s="310">
        <v>0</v>
      </c>
      <c r="CT17" s="310">
        <v>0</v>
      </c>
      <c r="CU17" s="310">
        <v>0</v>
      </c>
      <c r="CV17" s="310">
        <v>0</v>
      </c>
      <c r="CW17" s="310">
        <v>0</v>
      </c>
      <c r="CX17" s="310">
        <v>0</v>
      </c>
      <c r="CY17" s="310">
        <v>0</v>
      </c>
      <c r="CZ17" s="310">
        <v>0</v>
      </c>
      <c r="DA17" s="310">
        <v>0</v>
      </c>
      <c r="DB17" s="310">
        <v>0</v>
      </c>
      <c r="DC17" s="310">
        <v>0</v>
      </c>
      <c r="DD17" s="310">
        <v>0</v>
      </c>
      <c r="DE17" s="310">
        <v>0</v>
      </c>
      <c r="DF17" s="310">
        <v>0</v>
      </c>
      <c r="DG17" s="310">
        <v>0</v>
      </c>
      <c r="DH17" s="310">
        <v>0</v>
      </c>
      <c r="DI17" s="310">
        <v>0</v>
      </c>
    </row>
    <row r="18" spans="1:113" x14ac:dyDescent="0.2">
      <c r="A18" s="307" t="s">
        <v>702</v>
      </c>
      <c r="B18" s="310">
        <v>1</v>
      </c>
      <c r="AD18" s="307" t="s">
        <v>648</v>
      </c>
      <c r="AE18" s="310">
        <v>0</v>
      </c>
      <c r="AF18" s="310">
        <v>0</v>
      </c>
      <c r="AG18" s="310">
        <v>0</v>
      </c>
      <c r="AH18" s="310">
        <v>0</v>
      </c>
      <c r="AI18" s="310">
        <v>0</v>
      </c>
      <c r="AJ18" s="310">
        <v>0</v>
      </c>
      <c r="AK18" s="310">
        <v>0</v>
      </c>
      <c r="AL18" s="310">
        <v>0</v>
      </c>
      <c r="AM18" s="310">
        <v>0</v>
      </c>
      <c r="AN18" s="310">
        <v>0</v>
      </c>
      <c r="AO18" s="310">
        <v>0</v>
      </c>
      <c r="AP18" s="310">
        <v>0</v>
      </c>
      <c r="AQ18" s="310">
        <v>0</v>
      </c>
      <c r="AR18" s="310">
        <v>0</v>
      </c>
      <c r="AS18" s="310">
        <v>0</v>
      </c>
      <c r="AT18" s="310">
        <v>0</v>
      </c>
      <c r="AU18" s="310">
        <v>0</v>
      </c>
      <c r="AV18" s="310">
        <v>0</v>
      </c>
      <c r="AW18" s="310">
        <v>0</v>
      </c>
      <c r="AX18" s="310">
        <v>0</v>
      </c>
      <c r="AY18" s="310">
        <v>0</v>
      </c>
      <c r="AZ18" s="310">
        <v>0</v>
      </c>
      <c r="BA18" s="310">
        <v>0</v>
      </c>
      <c r="BB18" s="310">
        <v>0</v>
      </c>
      <c r="BC18" s="310">
        <v>0</v>
      </c>
      <c r="BD18" s="310">
        <v>0</v>
      </c>
      <c r="BE18" s="310">
        <v>0</v>
      </c>
      <c r="BF18" s="310">
        <v>0</v>
      </c>
      <c r="BG18" s="310">
        <v>0</v>
      </c>
      <c r="BH18" s="310">
        <v>0</v>
      </c>
      <c r="BI18" s="310">
        <v>0</v>
      </c>
      <c r="BJ18" s="310">
        <v>0</v>
      </c>
      <c r="BK18" s="310">
        <v>0</v>
      </c>
      <c r="BL18" s="310">
        <v>0</v>
      </c>
      <c r="BM18" s="310">
        <v>0</v>
      </c>
      <c r="BN18" s="310">
        <v>0</v>
      </c>
      <c r="BO18" s="310">
        <v>0</v>
      </c>
      <c r="BP18" s="310">
        <v>0</v>
      </c>
      <c r="BQ18" s="310">
        <v>0</v>
      </c>
      <c r="BR18" s="310">
        <v>0</v>
      </c>
      <c r="BU18" s="307" t="s">
        <v>648</v>
      </c>
      <c r="BV18" s="310">
        <v>0</v>
      </c>
      <c r="BW18" s="310">
        <v>0</v>
      </c>
      <c r="BX18" s="310">
        <v>0</v>
      </c>
      <c r="BY18" s="310">
        <v>0</v>
      </c>
      <c r="BZ18" s="310">
        <v>0</v>
      </c>
      <c r="CA18" s="310">
        <v>0</v>
      </c>
      <c r="CB18" s="310">
        <v>0</v>
      </c>
      <c r="CC18" s="310">
        <v>0</v>
      </c>
      <c r="CD18" s="310">
        <v>0</v>
      </c>
      <c r="CE18" s="310">
        <v>0</v>
      </c>
      <c r="CF18" s="310">
        <v>0</v>
      </c>
      <c r="CG18" s="310">
        <v>0</v>
      </c>
      <c r="CH18" s="310">
        <v>0</v>
      </c>
      <c r="CI18" s="310">
        <v>0</v>
      </c>
      <c r="CJ18" s="310">
        <v>0</v>
      </c>
      <c r="CK18" s="310">
        <v>0</v>
      </c>
      <c r="CL18" s="310">
        <v>0</v>
      </c>
      <c r="CM18" s="310">
        <v>0</v>
      </c>
      <c r="CN18" s="310">
        <v>0</v>
      </c>
      <c r="CO18" s="310">
        <v>0</v>
      </c>
      <c r="CP18" s="310">
        <v>0</v>
      </c>
      <c r="CQ18" s="310">
        <v>0</v>
      </c>
      <c r="CR18" s="310">
        <v>0</v>
      </c>
      <c r="CS18" s="310">
        <v>0</v>
      </c>
      <c r="CT18" s="310">
        <v>0</v>
      </c>
      <c r="CU18" s="310">
        <v>0</v>
      </c>
      <c r="CV18" s="310">
        <v>0</v>
      </c>
      <c r="CW18" s="310">
        <v>0</v>
      </c>
      <c r="CX18" s="310">
        <v>0</v>
      </c>
      <c r="CY18" s="310">
        <v>0</v>
      </c>
      <c r="CZ18" s="310">
        <v>0</v>
      </c>
      <c r="DA18" s="310">
        <v>0</v>
      </c>
      <c r="DB18" s="310">
        <v>0</v>
      </c>
      <c r="DC18" s="310">
        <v>0</v>
      </c>
      <c r="DD18" s="310">
        <v>0</v>
      </c>
      <c r="DE18" s="310">
        <v>0</v>
      </c>
      <c r="DF18" s="310">
        <v>0</v>
      </c>
      <c r="DG18" s="310">
        <v>0</v>
      </c>
      <c r="DH18" s="310">
        <v>0</v>
      </c>
      <c r="DI18" s="310">
        <v>0</v>
      </c>
    </row>
    <row r="19" spans="1:113" x14ac:dyDescent="0.2">
      <c r="A19" s="307" t="s">
        <v>643</v>
      </c>
      <c r="B19" s="310">
        <v>0</v>
      </c>
      <c r="AD19" s="307" t="s">
        <v>649</v>
      </c>
      <c r="AE19" s="310">
        <v>0</v>
      </c>
      <c r="AF19" s="310">
        <v>0</v>
      </c>
      <c r="AG19" s="310">
        <v>0</v>
      </c>
      <c r="AH19" s="310">
        <v>0</v>
      </c>
      <c r="AI19" s="310">
        <v>0</v>
      </c>
      <c r="AJ19" s="310">
        <v>0</v>
      </c>
      <c r="AK19" s="310">
        <v>0</v>
      </c>
      <c r="AL19" s="310">
        <v>0</v>
      </c>
      <c r="AM19" s="310">
        <v>0</v>
      </c>
      <c r="AN19" s="310">
        <v>0</v>
      </c>
      <c r="AO19" s="310">
        <v>0</v>
      </c>
      <c r="AP19" s="310">
        <v>0</v>
      </c>
      <c r="AQ19" s="310">
        <v>0</v>
      </c>
      <c r="AR19" s="310">
        <v>0</v>
      </c>
      <c r="AS19" s="310">
        <v>0</v>
      </c>
      <c r="AT19" s="310">
        <v>0</v>
      </c>
      <c r="AU19" s="310">
        <v>0</v>
      </c>
      <c r="AV19" s="310">
        <v>0</v>
      </c>
      <c r="AW19" s="310">
        <v>0</v>
      </c>
      <c r="AX19" s="310">
        <v>0</v>
      </c>
      <c r="AY19" s="310">
        <v>0</v>
      </c>
      <c r="AZ19" s="310">
        <v>0</v>
      </c>
      <c r="BA19" s="310">
        <v>0</v>
      </c>
      <c r="BB19" s="310">
        <v>0</v>
      </c>
      <c r="BC19" s="310">
        <v>0</v>
      </c>
      <c r="BD19" s="310">
        <v>0</v>
      </c>
      <c r="BE19" s="310">
        <v>0</v>
      </c>
      <c r="BF19" s="310">
        <v>0</v>
      </c>
      <c r="BG19" s="310">
        <v>0</v>
      </c>
      <c r="BH19" s="310">
        <v>0</v>
      </c>
      <c r="BI19" s="310">
        <v>0</v>
      </c>
      <c r="BJ19" s="310">
        <v>0</v>
      </c>
      <c r="BK19" s="310">
        <v>0</v>
      </c>
      <c r="BL19" s="310">
        <v>0</v>
      </c>
      <c r="BM19" s="310">
        <v>0</v>
      </c>
      <c r="BN19" s="310">
        <v>0</v>
      </c>
      <c r="BO19" s="310">
        <v>0</v>
      </c>
      <c r="BP19" s="310">
        <v>0</v>
      </c>
      <c r="BQ19" s="310">
        <v>0</v>
      </c>
      <c r="BR19" s="310">
        <v>0</v>
      </c>
      <c r="BU19" s="307" t="s">
        <v>649</v>
      </c>
      <c r="BV19" s="310">
        <v>0</v>
      </c>
      <c r="BW19" s="310">
        <v>0</v>
      </c>
      <c r="BX19" s="310">
        <v>0</v>
      </c>
      <c r="BY19" s="310">
        <v>0</v>
      </c>
      <c r="BZ19" s="310">
        <v>0</v>
      </c>
      <c r="CA19" s="310">
        <v>0</v>
      </c>
      <c r="CB19" s="310">
        <v>0</v>
      </c>
      <c r="CC19" s="310">
        <v>0</v>
      </c>
      <c r="CD19" s="310">
        <v>0</v>
      </c>
      <c r="CE19" s="310">
        <v>0</v>
      </c>
      <c r="CF19" s="310">
        <v>0</v>
      </c>
      <c r="CG19" s="310">
        <v>0</v>
      </c>
      <c r="CH19" s="310">
        <v>0</v>
      </c>
      <c r="CI19" s="310">
        <v>0</v>
      </c>
      <c r="CJ19" s="310">
        <v>0</v>
      </c>
      <c r="CK19" s="310">
        <v>0</v>
      </c>
      <c r="CL19" s="310">
        <v>0</v>
      </c>
      <c r="CM19" s="310">
        <v>0</v>
      </c>
      <c r="CN19" s="310">
        <v>0</v>
      </c>
      <c r="CO19" s="310">
        <v>0</v>
      </c>
      <c r="CP19" s="310">
        <v>0</v>
      </c>
      <c r="CQ19" s="310">
        <v>0</v>
      </c>
      <c r="CR19" s="310">
        <v>0</v>
      </c>
      <c r="CS19" s="310">
        <v>0</v>
      </c>
      <c r="CT19" s="310">
        <v>0</v>
      </c>
      <c r="CU19" s="310">
        <v>0</v>
      </c>
      <c r="CV19" s="310">
        <v>0</v>
      </c>
      <c r="CW19" s="310">
        <v>0</v>
      </c>
      <c r="CX19" s="310">
        <v>0</v>
      </c>
      <c r="CY19" s="310">
        <v>0</v>
      </c>
      <c r="CZ19" s="310">
        <v>0</v>
      </c>
      <c r="DA19" s="310">
        <v>0</v>
      </c>
      <c r="DB19" s="310">
        <v>0</v>
      </c>
      <c r="DC19" s="310">
        <v>0</v>
      </c>
      <c r="DD19" s="310">
        <v>0</v>
      </c>
      <c r="DE19" s="310">
        <v>0</v>
      </c>
      <c r="DF19" s="310">
        <v>0</v>
      </c>
      <c r="DG19" s="310">
        <v>0</v>
      </c>
      <c r="DH19" s="310">
        <v>0</v>
      </c>
      <c r="DI19" s="310">
        <v>0</v>
      </c>
    </row>
    <row r="20" spans="1:113" x14ac:dyDescent="0.2">
      <c r="A20" s="307" t="s">
        <v>462</v>
      </c>
      <c r="B20" s="310">
        <v>1</v>
      </c>
      <c r="AD20" s="307" t="s">
        <v>463</v>
      </c>
      <c r="AE20" s="310">
        <v>0</v>
      </c>
      <c r="AF20" s="310">
        <v>0</v>
      </c>
      <c r="AG20" s="310">
        <v>0</v>
      </c>
      <c r="AH20" s="310">
        <v>0</v>
      </c>
      <c r="AI20" s="310">
        <v>0</v>
      </c>
      <c r="AJ20" s="310">
        <v>0</v>
      </c>
      <c r="AK20" s="310">
        <v>0</v>
      </c>
      <c r="AL20" s="310">
        <v>0</v>
      </c>
      <c r="AM20" s="310">
        <v>0</v>
      </c>
      <c r="AN20" s="310">
        <v>0</v>
      </c>
      <c r="AO20" s="310">
        <v>0</v>
      </c>
      <c r="AP20" s="310">
        <v>0</v>
      </c>
      <c r="AQ20" s="310">
        <v>0</v>
      </c>
      <c r="AR20" s="310">
        <v>0</v>
      </c>
      <c r="AS20" s="310">
        <v>0</v>
      </c>
      <c r="AT20" s="310">
        <v>0</v>
      </c>
      <c r="AU20" s="310">
        <v>0</v>
      </c>
      <c r="AV20" s="310">
        <v>0</v>
      </c>
      <c r="AW20" s="310">
        <v>0</v>
      </c>
      <c r="AX20" s="310">
        <v>0</v>
      </c>
      <c r="AY20" s="310">
        <v>0</v>
      </c>
      <c r="AZ20" s="310">
        <v>0</v>
      </c>
      <c r="BA20" s="310">
        <v>0</v>
      </c>
      <c r="BB20" s="310">
        <v>0</v>
      </c>
      <c r="BC20" s="310">
        <v>0</v>
      </c>
      <c r="BD20" s="310">
        <v>0</v>
      </c>
      <c r="BE20" s="310">
        <v>0</v>
      </c>
      <c r="BF20" s="310">
        <v>0</v>
      </c>
      <c r="BG20" s="310">
        <v>0</v>
      </c>
      <c r="BH20" s="310">
        <v>0</v>
      </c>
      <c r="BI20" s="310">
        <v>0</v>
      </c>
      <c r="BJ20" s="310">
        <v>0</v>
      </c>
      <c r="BK20" s="310">
        <v>0</v>
      </c>
      <c r="BL20" s="310">
        <v>0</v>
      </c>
      <c r="BM20" s="310">
        <v>0</v>
      </c>
      <c r="BN20" s="310">
        <v>0</v>
      </c>
      <c r="BO20" s="310">
        <v>0</v>
      </c>
      <c r="BP20" s="310">
        <v>0</v>
      </c>
      <c r="BQ20" s="310">
        <v>0</v>
      </c>
      <c r="BR20" s="310">
        <v>0</v>
      </c>
      <c r="BU20" s="307" t="s">
        <v>463</v>
      </c>
      <c r="BV20" s="310">
        <v>0</v>
      </c>
      <c r="BW20" s="310">
        <v>0</v>
      </c>
      <c r="BX20" s="310">
        <v>0</v>
      </c>
      <c r="BY20" s="310">
        <v>0</v>
      </c>
      <c r="BZ20" s="310">
        <v>0</v>
      </c>
      <c r="CA20" s="310">
        <v>0</v>
      </c>
      <c r="CB20" s="310">
        <v>0</v>
      </c>
      <c r="CC20" s="310">
        <v>0</v>
      </c>
      <c r="CD20" s="310">
        <v>0</v>
      </c>
      <c r="CE20" s="310">
        <v>0</v>
      </c>
      <c r="CF20" s="310">
        <v>0</v>
      </c>
      <c r="CG20" s="310">
        <v>0</v>
      </c>
      <c r="CH20" s="310">
        <v>0</v>
      </c>
      <c r="CI20" s="310">
        <v>0</v>
      </c>
      <c r="CJ20" s="310">
        <v>0</v>
      </c>
      <c r="CK20" s="310">
        <v>0</v>
      </c>
      <c r="CL20" s="310">
        <v>0</v>
      </c>
      <c r="CM20" s="310">
        <v>0</v>
      </c>
      <c r="CN20" s="310">
        <v>0</v>
      </c>
      <c r="CO20" s="310">
        <v>0</v>
      </c>
      <c r="CP20" s="310">
        <v>0</v>
      </c>
      <c r="CQ20" s="310">
        <v>0</v>
      </c>
      <c r="CR20" s="310">
        <v>0</v>
      </c>
      <c r="CS20" s="310">
        <v>0</v>
      </c>
      <c r="CT20" s="310">
        <v>0</v>
      </c>
      <c r="CU20" s="310">
        <v>0</v>
      </c>
      <c r="CV20" s="310">
        <v>0</v>
      </c>
      <c r="CW20" s="310">
        <v>0</v>
      </c>
      <c r="CX20" s="310">
        <v>0</v>
      </c>
      <c r="CY20" s="310">
        <v>0</v>
      </c>
      <c r="CZ20" s="310">
        <v>0</v>
      </c>
      <c r="DA20" s="310">
        <v>0</v>
      </c>
      <c r="DB20" s="310">
        <v>0</v>
      </c>
      <c r="DC20" s="310">
        <v>0</v>
      </c>
      <c r="DD20" s="310">
        <v>0</v>
      </c>
      <c r="DE20" s="310">
        <v>0</v>
      </c>
      <c r="DF20" s="310">
        <v>0</v>
      </c>
      <c r="DG20" s="310">
        <v>0</v>
      </c>
      <c r="DH20" s="310">
        <v>0</v>
      </c>
      <c r="DI20" s="310">
        <v>0</v>
      </c>
    </row>
    <row r="21" spans="1:113" x14ac:dyDescent="0.2">
      <c r="A21" s="307" t="s">
        <v>677</v>
      </c>
      <c r="B21" s="310">
        <v>1</v>
      </c>
      <c r="AD21" s="307" t="s">
        <v>343</v>
      </c>
      <c r="AE21" s="310">
        <v>0</v>
      </c>
      <c r="AF21" s="310">
        <v>0</v>
      </c>
      <c r="AG21" s="310">
        <v>0</v>
      </c>
      <c r="AH21" s="310">
        <v>0</v>
      </c>
      <c r="AI21" s="310">
        <v>0</v>
      </c>
      <c r="AJ21" s="310">
        <v>0</v>
      </c>
      <c r="AK21" s="310">
        <v>0</v>
      </c>
      <c r="AL21" s="310">
        <v>0</v>
      </c>
      <c r="AM21" s="310">
        <v>0</v>
      </c>
      <c r="AN21" s="310">
        <v>0</v>
      </c>
      <c r="AO21" s="310">
        <v>0</v>
      </c>
      <c r="AP21" s="310">
        <v>0</v>
      </c>
      <c r="AQ21" s="310">
        <v>0</v>
      </c>
      <c r="AR21" s="310">
        <v>0</v>
      </c>
      <c r="AS21" s="310">
        <v>0</v>
      </c>
      <c r="AT21" s="310">
        <v>0</v>
      </c>
      <c r="AU21" s="310">
        <v>0</v>
      </c>
      <c r="AV21" s="310">
        <v>0</v>
      </c>
      <c r="AW21" s="310">
        <v>0</v>
      </c>
      <c r="AX21" s="310">
        <v>0</v>
      </c>
      <c r="AY21" s="310">
        <v>0</v>
      </c>
      <c r="AZ21" s="310">
        <v>0</v>
      </c>
      <c r="BA21" s="310">
        <v>0</v>
      </c>
      <c r="BB21" s="310">
        <v>0</v>
      </c>
      <c r="BC21" s="310">
        <v>0</v>
      </c>
      <c r="BD21" s="310">
        <v>0</v>
      </c>
      <c r="BE21" s="310">
        <v>0</v>
      </c>
      <c r="BF21" s="310">
        <v>0</v>
      </c>
      <c r="BG21" s="310">
        <v>0</v>
      </c>
      <c r="BH21" s="310">
        <v>0</v>
      </c>
      <c r="BI21" s="310">
        <v>0</v>
      </c>
      <c r="BJ21" s="310">
        <v>0</v>
      </c>
      <c r="BK21" s="310">
        <v>0</v>
      </c>
      <c r="BL21" s="310">
        <v>0</v>
      </c>
      <c r="BM21" s="310">
        <v>0</v>
      </c>
      <c r="BN21" s="310">
        <v>0</v>
      </c>
      <c r="BO21" s="310">
        <v>0</v>
      </c>
      <c r="BP21" s="310">
        <v>0</v>
      </c>
      <c r="BQ21" s="310">
        <v>0</v>
      </c>
      <c r="BR21" s="310">
        <v>0</v>
      </c>
      <c r="BU21" s="307" t="s">
        <v>343</v>
      </c>
      <c r="BV21" s="310">
        <v>0</v>
      </c>
      <c r="BW21" s="310">
        <v>0</v>
      </c>
      <c r="BX21" s="310">
        <v>0</v>
      </c>
      <c r="BY21" s="310">
        <v>0</v>
      </c>
      <c r="BZ21" s="310">
        <v>0</v>
      </c>
      <c r="CA21" s="310">
        <v>0</v>
      </c>
      <c r="CB21" s="310">
        <v>0</v>
      </c>
      <c r="CC21" s="310">
        <v>0</v>
      </c>
      <c r="CD21" s="310">
        <v>0</v>
      </c>
      <c r="CE21" s="310">
        <v>0</v>
      </c>
      <c r="CF21" s="310">
        <v>0</v>
      </c>
      <c r="CG21" s="310">
        <v>0</v>
      </c>
      <c r="CH21" s="310">
        <v>0</v>
      </c>
      <c r="CI21" s="310">
        <v>0</v>
      </c>
      <c r="CJ21" s="310">
        <v>0</v>
      </c>
      <c r="CK21" s="310">
        <v>0</v>
      </c>
      <c r="CL21" s="310">
        <v>0</v>
      </c>
      <c r="CM21" s="310">
        <v>0</v>
      </c>
      <c r="CN21" s="310">
        <v>0</v>
      </c>
      <c r="CO21" s="310">
        <v>0</v>
      </c>
      <c r="CP21" s="310">
        <v>0</v>
      </c>
      <c r="CQ21" s="310">
        <v>0</v>
      </c>
      <c r="CR21" s="310">
        <v>0</v>
      </c>
      <c r="CS21" s="310">
        <v>0</v>
      </c>
      <c r="CT21" s="310">
        <v>0</v>
      </c>
      <c r="CU21" s="310">
        <v>0</v>
      </c>
      <c r="CV21" s="310">
        <v>0</v>
      </c>
      <c r="CW21" s="310">
        <v>0</v>
      </c>
      <c r="CX21" s="310">
        <v>0</v>
      </c>
      <c r="CY21" s="310">
        <v>0</v>
      </c>
      <c r="CZ21" s="310">
        <v>0</v>
      </c>
      <c r="DA21" s="310">
        <v>0</v>
      </c>
      <c r="DB21" s="310">
        <v>0</v>
      </c>
      <c r="DC21" s="310">
        <v>0</v>
      </c>
      <c r="DD21" s="310">
        <v>0</v>
      </c>
      <c r="DE21" s="310">
        <v>0</v>
      </c>
      <c r="DF21" s="310">
        <v>0</v>
      </c>
      <c r="DG21" s="310">
        <v>0</v>
      </c>
      <c r="DH21" s="310">
        <v>0</v>
      </c>
      <c r="DI21" s="310">
        <v>0</v>
      </c>
    </row>
    <row r="22" spans="1:113" x14ac:dyDescent="0.2">
      <c r="A22" s="307" t="s">
        <v>678</v>
      </c>
      <c r="B22" s="310">
        <v>1</v>
      </c>
      <c r="AD22" s="307" t="s">
        <v>679</v>
      </c>
      <c r="AE22" s="310">
        <v>0</v>
      </c>
      <c r="AF22" s="310">
        <v>0</v>
      </c>
      <c r="AG22" s="310">
        <v>0</v>
      </c>
      <c r="AH22" s="310">
        <v>0</v>
      </c>
      <c r="AI22" s="310">
        <v>0</v>
      </c>
      <c r="AJ22" s="310">
        <v>0</v>
      </c>
      <c r="AK22" s="310">
        <v>0</v>
      </c>
      <c r="AL22" s="310">
        <v>0</v>
      </c>
      <c r="AM22" s="310">
        <v>0</v>
      </c>
      <c r="AN22" s="310">
        <v>0</v>
      </c>
      <c r="AO22" s="310">
        <v>0</v>
      </c>
      <c r="AP22" s="310">
        <v>0</v>
      </c>
      <c r="AQ22" s="310">
        <v>0</v>
      </c>
      <c r="AR22" s="310">
        <v>0</v>
      </c>
      <c r="AS22" s="310">
        <v>0</v>
      </c>
      <c r="AT22" s="310">
        <v>0</v>
      </c>
      <c r="AU22" s="310">
        <v>0</v>
      </c>
      <c r="AV22" s="310">
        <v>0</v>
      </c>
      <c r="AW22" s="310">
        <v>0</v>
      </c>
      <c r="AX22" s="310">
        <v>0</v>
      </c>
      <c r="AY22" s="310">
        <v>0</v>
      </c>
      <c r="AZ22" s="310">
        <v>0</v>
      </c>
      <c r="BA22" s="310">
        <v>0</v>
      </c>
      <c r="BB22" s="310">
        <v>0</v>
      </c>
      <c r="BC22" s="310">
        <v>0</v>
      </c>
      <c r="BD22" s="310">
        <v>0</v>
      </c>
      <c r="BE22" s="310">
        <v>0</v>
      </c>
      <c r="BF22" s="310">
        <v>0</v>
      </c>
      <c r="BG22" s="310">
        <v>0</v>
      </c>
      <c r="BH22" s="310">
        <v>0</v>
      </c>
      <c r="BI22" s="310">
        <v>0</v>
      </c>
      <c r="BJ22" s="310">
        <v>0</v>
      </c>
      <c r="BK22" s="310">
        <v>0</v>
      </c>
      <c r="BL22" s="310">
        <v>0</v>
      </c>
      <c r="BM22" s="310">
        <v>0</v>
      </c>
      <c r="BN22" s="310">
        <v>0</v>
      </c>
      <c r="BO22" s="310">
        <v>0</v>
      </c>
      <c r="BP22" s="310">
        <v>0</v>
      </c>
      <c r="BQ22" s="310">
        <v>0</v>
      </c>
      <c r="BR22" s="310">
        <v>0</v>
      </c>
      <c r="BU22" s="307" t="s">
        <v>679</v>
      </c>
      <c r="BV22" s="310">
        <v>0</v>
      </c>
      <c r="BW22" s="310">
        <v>0</v>
      </c>
      <c r="BX22" s="310">
        <v>0</v>
      </c>
      <c r="BY22" s="310">
        <v>0</v>
      </c>
      <c r="BZ22" s="310">
        <v>0</v>
      </c>
      <c r="CA22" s="310">
        <v>0</v>
      </c>
      <c r="CB22" s="310">
        <v>0</v>
      </c>
      <c r="CC22" s="310">
        <v>0</v>
      </c>
      <c r="CD22" s="310">
        <v>0</v>
      </c>
      <c r="CE22" s="310">
        <v>0</v>
      </c>
      <c r="CF22" s="310">
        <v>0</v>
      </c>
      <c r="CG22" s="310">
        <v>0</v>
      </c>
      <c r="CH22" s="310">
        <v>0</v>
      </c>
      <c r="CI22" s="310">
        <v>0</v>
      </c>
      <c r="CJ22" s="310">
        <v>0</v>
      </c>
      <c r="CK22" s="310">
        <v>0</v>
      </c>
      <c r="CL22" s="310">
        <v>0</v>
      </c>
      <c r="CM22" s="310">
        <v>0</v>
      </c>
      <c r="CN22" s="310">
        <v>0</v>
      </c>
      <c r="CO22" s="310">
        <v>0</v>
      </c>
      <c r="CP22" s="310">
        <v>0</v>
      </c>
      <c r="CQ22" s="310">
        <v>0</v>
      </c>
      <c r="CR22" s="310">
        <v>0</v>
      </c>
      <c r="CS22" s="310">
        <v>0</v>
      </c>
      <c r="CT22" s="310">
        <v>0</v>
      </c>
      <c r="CU22" s="310">
        <v>0</v>
      </c>
      <c r="CV22" s="310">
        <v>0</v>
      </c>
      <c r="CW22" s="310">
        <v>0</v>
      </c>
      <c r="CX22" s="310">
        <v>0</v>
      </c>
      <c r="CY22" s="310">
        <v>0</v>
      </c>
      <c r="CZ22" s="310">
        <v>0</v>
      </c>
      <c r="DA22" s="310">
        <v>0</v>
      </c>
      <c r="DB22" s="310">
        <v>0</v>
      </c>
      <c r="DC22" s="310">
        <v>0</v>
      </c>
      <c r="DD22" s="310">
        <v>0</v>
      </c>
      <c r="DE22" s="310">
        <v>0</v>
      </c>
      <c r="DF22" s="310">
        <v>0</v>
      </c>
      <c r="DG22" s="310">
        <v>0</v>
      </c>
      <c r="DH22" s="310">
        <v>0</v>
      </c>
      <c r="DI22" s="310">
        <v>0</v>
      </c>
    </row>
    <row r="23" spans="1:113" x14ac:dyDescent="0.2">
      <c r="A23" s="307" t="s">
        <v>703</v>
      </c>
      <c r="B23" s="310">
        <v>1</v>
      </c>
      <c r="AD23" s="307" t="s">
        <v>650</v>
      </c>
      <c r="AE23" s="310">
        <v>0</v>
      </c>
      <c r="AF23" s="310">
        <v>0</v>
      </c>
      <c r="AG23" s="310">
        <v>0</v>
      </c>
      <c r="AH23" s="310">
        <v>0</v>
      </c>
      <c r="AI23" s="310">
        <v>0</v>
      </c>
      <c r="AJ23" s="310">
        <v>0</v>
      </c>
      <c r="AK23" s="310">
        <v>0</v>
      </c>
      <c r="AL23" s="310">
        <v>0</v>
      </c>
      <c r="AM23" s="310">
        <v>0</v>
      </c>
      <c r="AN23" s="310">
        <v>0</v>
      </c>
      <c r="AO23" s="310">
        <v>0</v>
      </c>
      <c r="AP23" s="310">
        <v>0</v>
      </c>
      <c r="AQ23" s="310">
        <v>0</v>
      </c>
      <c r="AR23" s="310">
        <v>0</v>
      </c>
      <c r="AS23" s="310">
        <v>0</v>
      </c>
      <c r="AT23" s="310">
        <v>0</v>
      </c>
      <c r="AU23" s="310">
        <v>0</v>
      </c>
      <c r="AV23" s="310">
        <v>0</v>
      </c>
      <c r="AW23" s="310">
        <v>0</v>
      </c>
      <c r="AX23" s="310">
        <v>0</v>
      </c>
      <c r="AY23" s="310">
        <v>0</v>
      </c>
      <c r="AZ23" s="310">
        <v>0</v>
      </c>
      <c r="BA23" s="310">
        <v>0</v>
      </c>
      <c r="BB23" s="310">
        <v>0</v>
      </c>
      <c r="BC23" s="310">
        <v>0</v>
      </c>
      <c r="BD23" s="310">
        <v>0</v>
      </c>
      <c r="BE23" s="310">
        <v>0</v>
      </c>
      <c r="BF23" s="310">
        <v>0</v>
      </c>
      <c r="BG23" s="310">
        <v>0</v>
      </c>
      <c r="BH23" s="310">
        <v>0</v>
      </c>
      <c r="BI23" s="310">
        <v>0</v>
      </c>
      <c r="BJ23" s="310">
        <v>0</v>
      </c>
      <c r="BK23" s="310">
        <v>0</v>
      </c>
      <c r="BL23" s="310">
        <v>0</v>
      </c>
      <c r="BM23" s="310">
        <v>0</v>
      </c>
      <c r="BN23" s="310">
        <v>0</v>
      </c>
      <c r="BO23" s="310">
        <v>0</v>
      </c>
      <c r="BP23" s="310">
        <v>0</v>
      </c>
      <c r="BQ23" s="310">
        <v>0</v>
      </c>
      <c r="BR23" s="310">
        <v>0</v>
      </c>
      <c r="BU23" s="307" t="s">
        <v>650</v>
      </c>
      <c r="BV23" s="310">
        <v>0</v>
      </c>
      <c r="BW23" s="310">
        <v>0</v>
      </c>
      <c r="BX23" s="310">
        <v>0</v>
      </c>
      <c r="BY23" s="310">
        <v>0</v>
      </c>
      <c r="BZ23" s="310">
        <v>0</v>
      </c>
      <c r="CA23" s="310">
        <v>0</v>
      </c>
      <c r="CB23" s="310">
        <v>0</v>
      </c>
      <c r="CC23" s="310">
        <v>0</v>
      </c>
      <c r="CD23" s="310">
        <v>0</v>
      </c>
      <c r="CE23" s="310">
        <v>0</v>
      </c>
      <c r="CF23" s="310">
        <v>0</v>
      </c>
      <c r="CG23" s="310">
        <v>0</v>
      </c>
      <c r="CH23" s="310">
        <v>0</v>
      </c>
      <c r="CI23" s="310">
        <v>0</v>
      </c>
      <c r="CJ23" s="310">
        <v>0</v>
      </c>
      <c r="CK23" s="310">
        <v>0</v>
      </c>
      <c r="CL23" s="310">
        <v>0</v>
      </c>
      <c r="CM23" s="310">
        <v>0</v>
      </c>
      <c r="CN23" s="310">
        <v>0</v>
      </c>
      <c r="CO23" s="310">
        <v>0</v>
      </c>
      <c r="CP23" s="310">
        <v>0</v>
      </c>
      <c r="CQ23" s="310">
        <v>0</v>
      </c>
      <c r="CR23" s="310">
        <v>0</v>
      </c>
      <c r="CS23" s="310">
        <v>0</v>
      </c>
      <c r="CT23" s="310">
        <v>0</v>
      </c>
      <c r="CU23" s="310">
        <v>0</v>
      </c>
      <c r="CV23" s="310">
        <v>0</v>
      </c>
      <c r="CW23" s="310">
        <v>0</v>
      </c>
      <c r="CX23" s="310">
        <v>0</v>
      </c>
      <c r="CY23" s="310">
        <v>0</v>
      </c>
      <c r="CZ23" s="310">
        <v>0</v>
      </c>
      <c r="DA23" s="310">
        <v>0</v>
      </c>
      <c r="DB23" s="310">
        <v>0</v>
      </c>
      <c r="DC23" s="310">
        <v>0</v>
      </c>
      <c r="DD23" s="310">
        <v>0</v>
      </c>
      <c r="DE23" s="310">
        <v>0</v>
      </c>
      <c r="DF23" s="310">
        <v>0</v>
      </c>
      <c r="DG23" s="310">
        <v>0</v>
      </c>
      <c r="DH23" s="310">
        <v>0</v>
      </c>
      <c r="DI23" s="310">
        <v>0</v>
      </c>
    </row>
    <row r="24" spans="1:113" x14ac:dyDescent="0.2">
      <c r="A24" s="307" t="s">
        <v>704</v>
      </c>
      <c r="B24" s="310">
        <v>1</v>
      </c>
      <c r="AD24" s="307" t="s">
        <v>680</v>
      </c>
      <c r="AE24" s="310">
        <v>0</v>
      </c>
      <c r="AF24" s="310">
        <v>0</v>
      </c>
      <c r="AG24" s="310">
        <v>0</v>
      </c>
      <c r="AH24" s="310">
        <v>0</v>
      </c>
      <c r="AI24" s="310">
        <v>0</v>
      </c>
      <c r="AJ24" s="310">
        <v>0</v>
      </c>
      <c r="AK24" s="310">
        <v>0</v>
      </c>
      <c r="AL24" s="310">
        <v>0</v>
      </c>
      <c r="AM24" s="310">
        <v>0</v>
      </c>
      <c r="AN24" s="310">
        <v>0</v>
      </c>
      <c r="AO24" s="310">
        <v>0</v>
      </c>
      <c r="AP24" s="310">
        <v>0</v>
      </c>
      <c r="AQ24" s="310">
        <v>0</v>
      </c>
      <c r="AR24" s="310">
        <v>0</v>
      </c>
      <c r="AS24" s="310">
        <v>0</v>
      </c>
      <c r="AT24" s="310">
        <v>0</v>
      </c>
      <c r="AU24" s="310">
        <v>0</v>
      </c>
      <c r="AV24" s="310">
        <v>0</v>
      </c>
      <c r="AW24" s="310">
        <v>0</v>
      </c>
      <c r="AX24" s="310">
        <v>0</v>
      </c>
      <c r="AY24" s="310">
        <v>0</v>
      </c>
      <c r="AZ24" s="310">
        <v>0</v>
      </c>
      <c r="BA24" s="310">
        <v>0</v>
      </c>
      <c r="BB24" s="310">
        <v>0</v>
      </c>
      <c r="BC24" s="310">
        <v>0</v>
      </c>
      <c r="BD24" s="310">
        <v>0</v>
      </c>
      <c r="BE24" s="310">
        <v>0</v>
      </c>
      <c r="BF24" s="310">
        <v>0</v>
      </c>
      <c r="BG24" s="310">
        <v>0</v>
      </c>
      <c r="BH24" s="310">
        <v>0</v>
      </c>
      <c r="BI24" s="310">
        <v>0</v>
      </c>
      <c r="BJ24" s="310">
        <v>0</v>
      </c>
      <c r="BK24" s="310">
        <v>0</v>
      </c>
      <c r="BL24" s="310">
        <v>0</v>
      </c>
      <c r="BM24" s="310">
        <v>0</v>
      </c>
      <c r="BN24" s="310">
        <v>0</v>
      </c>
      <c r="BO24" s="310">
        <v>0</v>
      </c>
      <c r="BP24" s="310">
        <v>0</v>
      </c>
      <c r="BQ24" s="310">
        <v>0</v>
      </c>
      <c r="BR24" s="310">
        <v>0</v>
      </c>
      <c r="BU24" s="307" t="s">
        <v>680</v>
      </c>
      <c r="BV24" s="310">
        <v>0</v>
      </c>
      <c r="BW24" s="310">
        <v>0</v>
      </c>
      <c r="BX24" s="310">
        <v>0</v>
      </c>
      <c r="BY24" s="310">
        <v>0</v>
      </c>
      <c r="BZ24" s="310">
        <v>0</v>
      </c>
      <c r="CA24" s="310">
        <v>0</v>
      </c>
      <c r="CB24" s="310">
        <v>0</v>
      </c>
      <c r="CC24" s="310">
        <v>0</v>
      </c>
      <c r="CD24" s="310">
        <v>0</v>
      </c>
      <c r="CE24" s="310">
        <v>0</v>
      </c>
      <c r="CF24" s="310">
        <v>0</v>
      </c>
      <c r="CG24" s="310">
        <v>0</v>
      </c>
      <c r="CH24" s="310">
        <v>0</v>
      </c>
      <c r="CI24" s="310">
        <v>0</v>
      </c>
      <c r="CJ24" s="310">
        <v>0</v>
      </c>
      <c r="CK24" s="310">
        <v>0</v>
      </c>
      <c r="CL24" s="310">
        <v>0</v>
      </c>
      <c r="CM24" s="310">
        <v>0</v>
      </c>
      <c r="CN24" s="310">
        <v>0</v>
      </c>
      <c r="CO24" s="310">
        <v>0</v>
      </c>
      <c r="CP24" s="310">
        <v>0</v>
      </c>
      <c r="CQ24" s="310">
        <v>0</v>
      </c>
      <c r="CR24" s="310">
        <v>0</v>
      </c>
      <c r="CS24" s="310">
        <v>0</v>
      </c>
      <c r="CT24" s="310">
        <v>0</v>
      </c>
      <c r="CU24" s="310">
        <v>0</v>
      </c>
      <c r="CV24" s="310">
        <v>0</v>
      </c>
      <c r="CW24" s="310">
        <v>0</v>
      </c>
      <c r="CX24" s="310">
        <v>0</v>
      </c>
      <c r="CY24" s="310">
        <v>0</v>
      </c>
      <c r="CZ24" s="310">
        <v>0</v>
      </c>
      <c r="DA24" s="310">
        <v>0</v>
      </c>
      <c r="DB24" s="310">
        <v>0</v>
      </c>
      <c r="DC24" s="310">
        <v>0</v>
      </c>
      <c r="DD24" s="310">
        <v>0</v>
      </c>
      <c r="DE24" s="310">
        <v>0</v>
      </c>
      <c r="DF24" s="310">
        <v>0</v>
      </c>
      <c r="DG24" s="310">
        <v>0</v>
      </c>
      <c r="DH24" s="310">
        <v>0</v>
      </c>
      <c r="DI24" s="310">
        <v>0</v>
      </c>
    </row>
    <row r="25" spans="1:113" x14ac:dyDescent="0.2">
      <c r="A25" s="307" t="s">
        <v>705</v>
      </c>
      <c r="B25" s="310">
        <v>1</v>
      </c>
      <c r="AD25" s="307" t="s">
        <v>681</v>
      </c>
      <c r="AE25" s="310">
        <v>0</v>
      </c>
      <c r="AF25" s="310">
        <v>0</v>
      </c>
      <c r="AG25" s="310">
        <v>0</v>
      </c>
      <c r="AH25" s="310">
        <v>0</v>
      </c>
      <c r="AI25" s="310">
        <v>0</v>
      </c>
      <c r="AJ25" s="310">
        <v>0</v>
      </c>
      <c r="AK25" s="310">
        <v>0</v>
      </c>
      <c r="AL25" s="310">
        <v>0</v>
      </c>
      <c r="AM25" s="310">
        <v>0</v>
      </c>
      <c r="AN25" s="310">
        <v>0</v>
      </c>
      <c r="AO25" s="310">
        <v>0</v>
      </c>
      <c r="AP25" s="310">
        <v>0</v>
      </c>
      <c r="AQ25" s="310">
        <v>0</v>
      </c>
      <c r="AR25" s="310">
        <v>0</v>
      </c>
      <c r="AS25" s="310">
        <v>0</v>
      </c>
      <c r="AT25" s="310">
        <v>0</v>
      </c>
      <c r="AU25" s="310">
        <v>0</v>
      </c>
      <c r="AV25" s="310">
        <v>0</v>
      </c>
      <c r="AW25" s="310">
        <v>0</v>
      </c>
      <c r="AX25" s="310">
        <v>0</v>
      </c>
      <c r="AY25" s="310">
        <v>0</v>
      </c>
      <c r="AZ25" s="310">
        <v>0</v>
      </c>
      <c r="BA25" s="310">
        <v>0</v>
      </c>
      <c r="BB25" s="310">
        <v>0</v>
      </c>
      <c r="BC25" s="310">
        <v>0</v>
      </c>
      <c r="BD25" s="310">
        <v>0</v>
      </c>
      <c r="BE25" s="310">
        <v>0</v>
      </c>
      <c r="BF25" s="310">
        <v>0</v>
      </c>
      <c r="BG25" s="310">
        <v>0</v>
      </c>
      <c r="BH25" s="310">
        <v>0</v>
      </c>
      <c r="BI25" s="310">
        <v>0</v>
      </c>
      <c r="BJ25" s="310">
        <v>0</v>
      </c>
      <c r="BK25" s="310">
        <v>0</v>
      </c>
      <c r="BL25" s="310">
        <v>0</v>
      </c>
      <c r="BM25" s="310">
        <v>0</v>
      </c>
      <c r="BN25" s="310">
        <v>0</v>
      </c>
      <c r="BO25" s="310">
        <v>0</v>
      </c>
      <c r="BP25" s="310">
        <v>0</v>
      </c>
      <c r="BQ25" s="310">
        <v>0</v>
      </c>
      <c r="BR25" s="310">
        <v>0</v>
      </c>
      <c r="BU25" s="307" t="s">
        <v>681</v>
      </c>
      <c r="BV25" s="310">
        <v>0</v>
      </c>
      <c r="BW25" s="310">
        <v>0</v>
      </c>
      <c r="BX25" s="310">
        <v>0</v>
      </c>
      <c r="BY25" s="310">
        <v>0</v>
      </c>
      <c r="BZ25" s="310">
        <v>0</v>
      </c>
      <c r="CA25" s="310">
        <v>0</v>
      </c>
      <c r="CB25" s="310">
        <v>0</v>
      </c>
      <c r="CC25" s="310">
        <v>0</v>
      </c>
      <c r="CD25" s="310">
        <v>0</v>
      </c>
      <c r="CE25" s="310">
        <v>0</v>
      </c>
      <c r="CF25" s="310">
        <v>0</v>
      </c>
      <c r="CG25" s="310">
        <v>0</v>
      </c>
      <c r="CH25" s="310">
        <v>0</v>
      </c>
      <c r="CI25" s="310">
        <v>0</v>
      </c>
      <c r="CJ25" s="310">
        <v>0</v>
      </c>
      <c r="CK25" s="310">
        <v>0</v>
      </c>
      <c r="CL25" s="310">
        <v>0</v>
      </c>
      <c r="CM25" s="310">
        <v>0</v>
      </c>
      <c r="CN25" s="310">
        <v>0</v>
      </c>
      <c r="CO25" s="310">
        <v>0</v>
      </c>
      <c r="CP25" s="310">
        <v>0</v>
      </c>
      <c r="CQ25" s="310">
        <v>0</v>
      </c>
      <c r="CR25" s="310">
        <v>0</v>
      </c>
      <c r="CS25" s="310">
        <v>0</v>
      </c>
      <c r="CT25" s="310">
        <v>0</v>
      </c>
      <c r="CU25" s="310">
        <v>0</v>
      </c>
      <c r="CV25" s="310">
        <v>0</v>
      </c>
      <c r="CW25" s="310">
        <v>0</v>
      </c>
      <c r="CX25" s="310">
        <v>0</v>
      </c>
      <c r="CY25" s="310">
        <v>0</v>
      </c>
      <c r="CZ25" s="310">
        <v>0</v>
      </c>
      <c r="DA25" s="310">
        <v>0</v>
      </c>
      <c r="DB25" s="310">
        <v>0</v>
      </c>
      <c r="DC25" s="310">
        <v>0</v>
      </c>
      <c r="DD25" s="310">
        <v>0</v>
      </c>
      <c r="DE25" s="310">
        <v>0</v>
      </c>
      <c r="DF25" s="310">
        <v>0</v>
      </c>
      <c r="DG25" s="310">
        <v>0</v>
      </c>
      <c r="DH25" s="310">
        <v>0</v>
      </c>
      <c r="DI25" s="310">
        <v>0</v>
      </c>
    </row>
    <row r="26" spans="1:113" x14ac:dyDescent="0.2">
      <c r="A26" s="307" t="s">
        <v>644</v>
      </c>
      <c r="B26" s="310">
        <v>0</v>
      </c>
      <c r="AD26" s="307" t="s">
        <v>682</v>
      </c>
      <c r="AE26" s="310">
        <v>0</v>
      </c>
      <c r="AF26" s="310">
        <v>0</v>
      </c>
      <c r="AG26" s="310">
        <v>0</v>
      </c>
      <c r="AH26" s="310">
        <v>0</v>
      </c>
      <c r="AI26" s="310">
        <v>0</v>
      </c>
      <c r="AJ26" s="310">
        <v>0</v>
      </c>
      <c r="AK26" s="310">
        <v>0</v>
      </c>
      <c r="AL26" s="310">
        <v>0</v>
      </c>
      <c r="AM26" s="310">
        <v>0</v>
      </c>
      <c r="AN26" s="310">
        <v>0</v>
      </c>
      <c r="AO26" s="310">
        <v>0</v>
      </c>
      <c r="AP26" s="310">
        <v>0</v>
      </c>
      <c r="AQ26" s="310">
        <v>0</v>
      </c>
      <c r="AR26" s="310">
        <v>0</v>
      </c>
      <c r="AS26" s="310">
        <v>0</v>
      </c>
      <c r="AT26" s="310">
        <v>0</v>
      </c>
      <c r="AU26" s="310">
        <v>0</v>
      </c>
      <c r="AV26" s="310">
        <v>0</v>
      </c>
      <c r="AW26" s="310">
        <v>0</v>
      </c>
      <c r="AX26" s="310">
        <v>0</v>
      </c>
      <c r="AY26" s="310">
        <v>0</v>
      </c>
      <c r="AZ26" s="310">
        <v>0</v>
      </c>
      <c r="BA26" s="310">
        <v>0</v>
      </c>
      <c r="BB26" s="310">
        <v>0</v>
      </c>
      <c r="BC26" s="310">
        <v>0</v>
      </c>
      <c r="BD26" s="310">
        <v>0</v>
      </c>
      <c r="BE26" s="310">
        <v>0</v>
      </c>
      <c r="BF26" s="310">
        <v>0</v>
      </c>
      <c r="BG26" s="310">
        <v>0</v>
      </c>
      <c r="BH26" s="310">
        <v>0</v>
      </c>
      <c r="BI26" s="310">
        <v>0</v>
      </c>
      <c r="BJ26" s="310">
        <v>0</v>
      </c>
      <c r="BK26" s="310">
        <v>0</v>
      </c>
      <c r="BL26" s="310">
        <v>0</v>
      </c>
      <c r="BM26" s="310">
        <v>0</v>
      </c>
      <c r="BN26" s="310">
        <v>0</v>
      </c>
      <c r="BO26" s="310">
        <v>0</v>
      </c>
      <c r="BP26" s="310">
        <v>0</v>
      </c>
      <c r="BQ26" s="310">
        <v>0</v>
      </c>
      <c r="BR26" s="310">
        <v>0</v>
      </c>
      <c r="BU26" s="307" t="s">
        <v>682</v>
      </c>
      <c r="BV26" s="310">
        <v>0</v>
      </c>
      <c r="BW26" s="310">
        <v>0</v>
      </c>
      <c r="BX26" s="310">
        <v>0</v>
      </c>
      <c r="BY26" s="310">
        <v>0</v>
      </c>
      <c r="BZ26" s="310">
        <v>0</v>
      </c>
      <c r="CA26" s="310">
        <v>0</v>
      </c>
      <c r="CB26" s="310">
        <v>0</v>
      </c>
      <c r="CC26" s="310">
        <v>0</v>
      </c>
      <c r="CD26" s="310">
        <v>0</v>
      </c>
      <c r="CE26" s="310">
        <v>0</v>
      </c>
      <c r="CF26" s="310">
        <v>0</v>
      </c>
      <c r="CG26" s="310">
        <v>0</v>
      </c>
      <c r="CH26" s="310">
        <v>0</v>
      </c>
      <c r="CI26" s="310">
        <v>0</v>
      </c>
      <c r="CJ26" s="310">
        <v>0</v>
      </c>
      <c r="CK26" s="310">
        <v>0</v>
      </c>
      <c r="CL26" s="310">
        <v>0</v>
      </c>
      <c r="CM26" s="310">
        <v>0</v>
      </c>
      <c r="CN26" s="310">
        <v>0</v>
      </c>
      <c r="CO26" s="310">
        <v>0</v>
      </c>
      <c r="CP26" s="310">
        <v>0</v>
      </c>
      <c r="CQ26" s="310">
        <v>0</v>
      </c>
      <c r="CR26" s="310">
        <v>0</v>
      </c>
      <c r="CS26" s="310">
        <v>0</v>
      </c>
      <c r="CT26" s="310">
        <v>0</v>
      </c>
      <c r="CU26" s="310">
        <v>0</v>
      </c>
      <c r="CV26" s="310">
        <v>0</v>
      </c>
      <c r="CW26" s="310">
        <v>0</v>
      </c>
      <c r="CX26" s="310">
        <v>0</v>
      </c>
      <c r="CY26" s="310">
        <v>0</v>
      </c>
      <c r="CZ26" s="310">
        <v>0</v>
      </c>
      <c r="DA26" s="310">
        <v>0</v>
      </c>
      <c r="DB26" s="310">
        <v>0</v>
      </c>
      <c r="DC26" s="310">
        <v>0</v>
      </c>
      <c r="DD26" s="310">
        <v>0</v>
      </c>
      <c r="DE26" s="310">
        <v>0</v>
      </c>
      <c r="DF26" s="310">
        <v>0</v>
      </c>
      <c r="DG26" s="310">
        <v>0</v>
      </c>
      <c r="DH26" s="310">
        <v>0</v>
      </c>
      <c r="DI26" s="310">
        <v>0</v>
      </c>
    </row>
    <row r="27" spans="1:113" x14ac:dyDescent="0.2">
      <c r="A27" s="307" t="s">
        <v>645</v>
      </c>
      <c r="B27" s="310">
        <v>0</v>
      </c>
      <c r="AD27" s="307" t="s">
        <v>683</v>
      </c>
      <c r="AE27" s="310">
        <v>0</v>
      </c>
      <c r="AF27" s="310">
        <v>0</v>
      </c>
      <c r="AG27" s="310">
        <v>0</v>
      </c>
      <c r="AH27" s="310">
        <v>0</v>
      </c>
      <c r="AI27" s="310">
        <v>0</v>
      </c>
      <c r="AJ27" s="310">
        <v>0</v>
      </c>
      <c r="AK27" s="310">
        <v>0</v>
      </c>
      <c r="AL27" s="310">
        <v>0</v>
      </c>
      <c r="AM27" s="310">
        <v>0</v>
      </c>
      <c r="AN27" s="310">
        <v>0</v>
      </c>
      <c r="AO27" s="310">
        <v>0</v>
      </c>
      <c r="AP27" s="310">
        <v>0</v>
      </c>
      <c r="AQ27" s="310">
        <v>0</v>
      </c>
      <c r="AR27" s="310">
        <v>0</v>
      </c>
      <c r="AS27" s="310">
        <v>0</v>
      </c>
      <c r="AT27" s="310">
        <v>0</v>
      </c>
      <c r="AU27" s="310">
        <v>0</v>
      </c>
      <c r="AV27" s="310">
        <v>0</v>
      </c>
      <c r="AW27" s="310">
        <v>0</v>
      </c>
      <c r="AX27" s="310">
        <v>0</v>
      </c>
      <c r="AY27" s="310">
        <v>0</v>
      </c>
      <c r="AZ27" s="310">
        <v>0</v>
      </c>
      <c r="BA27" s="310">
        <v>0</v>
      </c>
      <c r="BB27" s="310">
        <v>0</v>
      </c>
      <c r="BC27" s="310">
        <v>0</v>
      </c>
      <c r="BD27" s="310">
        <v>0</v>
      </c>
      <c r="BE27" s="310">
        <v>0</v>
      </c>
      <c r="BF27" s="310">
        <v>0</v>
      </c>
      <c r="BG27" s="310">
        <v>0</v>
      </c>
      <c r="BH27" s="310">
        <v>0</v>
      </c>
      <c r="BI27" s="310">
        <v>0</v>
      </c>
      <c r="BJ27" s="310">
        <v>0</v>
      </c>
      <c r="BK27" s="310">
        <v>0</v>
      </c>
      <c r="BL27" s="310">
        <v>0</v>
      </c>
      <c r="BM27" s="310">
        <v>0</v>
      </c>
      <c r="BN27" s="310">
        <v>0</v>
      </c>
      <c r="BO27" s="310">
        <v>0</v>
      </c>
      <c r="BP27" s="310">
        <v>0</v>
      </c>
      <c r="BQ27" s="310">
        <v>0</v>
      </c>
      <c r="BR27" s="310">
        <v>0</v>
      </c>
      <c r="BU27" s="307" t="s">
        <v>683</v>
      </c>
      <c r="BV27" s="310">
        <v>0</v>
      </c>
      <c r="BW27" s="310">
        <v>0</v>
      </c>
      <c r="BX27" s="310">
        <v>0</v>
      </c>
      <c r="BY27" s="310">
        <v>0</v>
      </c>
      <c r="BZ27" s="310">
        <v>0</v>
      </c>
      <c r="CA27" s="310">
        <v>0</v>
      </c>
      <c r="CB27" s="310">
        <v>0</v>
      </c>
      <c r="CC27" s="310">
        <v>0</v>
      </c>
      <c r="CD27" s="310">
        <v>0</v>
      </c>
      <c r="CE27" s="310">
        <v>0</v>
      </c>
      <c r="CF27" s="310">
        <v>0</v>
      </c>
      <c r="CG27" s="310">
        <v>0</v>
      </c>
      <c r="CH27" s="310">
        <v>0</v>
      </c>
      <c r="CI27" s="310">
        <v>0</v>
      </c>
      <c r="CJ27" s="310">
        <v>0</v>
      </c>
      <c r="CK27" s="310">
        <v>0</v>
      </c>
      <c r="CL27" s="310">
        <v>0</v>
      </c>
      <c r="CM27" s="310">
        <v>0</v>
      </c>
      <c r="CN27" s="310">
        <v>0</v>
      </c>
      <c r="CO27" s="310">
        <v>0</v>
      </c>
      <c r="CP27" s="310">
        <v>0</v>
      </c>
      <c r="CQ27" s="310">
        <v>0</v>
      </c>
      <c r="CR27" s="310">
        <v>0</v>
      </c>
      <c r="CS27" s="310">
        <v>0</v>
      </c>
      <c r="CT27" s="310">
        <v>0</v>
      </c>
      <c r="CU27" s="310">
        <v>0</v>
      </c>
      <c r="CV27" s="310">
        <v>0</v>
      </c>
      <c r="CW27" s="310">
        <v>0</v>
      </c>
      <c r="CX27" s="310">
        <v>0</v>
      </c>
      <c r="CY27" s="310">
        <v>0</v>
      </c>
      <c r="CZ27" s="310">
        <v>0</v>
      </c>
      <c r="DA27" s="310">
        <v>0</v>
      </c>
      <c r="DB27" s="310">
        <v>0</v>
      </c>
      <c r="DC27" s="310">
        <v>0</v>
      </c>
      <c r="DD27" s="310">
        <v>0</v>
      </c>
      <c r="DE27" s="310">
        <v>0</v>
      </c>
      <c r="DF27" s="310">
        <v>0</v>
      </c>
      <c r="DG27" s="310">
        <v>0</v>
      </c>
      <c r="DH27" s="310">
        <v>0</v>
      </c>
      <c r="DI27" s="310">
        <v>0</v>
      </c>
    </row>
    <row r="28" spans="1:113" x14ac:dyDescent="0.2">
      <c r="A28" s="307" t="s">
        <v>646</v>
      </c>
      <c r="B28" s="310">
        <v>0</v>
      </c>
      <c r="AD28" s="307" t="s">
        <v>651</v>
      </c>
      <c r="AE28" s="310">
        <v>0</v>
      </c>
      <c r="AF28" s="310">
        <v>0</v>
      </c>
      <c r="AG28" s="310">
        <v>0</v>
      </c>
      <c r="AH28" s="310">
        <v>0</v>
      </c>
      <c r="AI28" s="310">
        <v>0</v>
      </c>
      <c r="AJ28" s="310">
        <v>0</v>
      </c>
      <c r="AK28" s="310">
        <v>0</v>
      </c>
      <c r="AL28" s="310">
        <v>0</v>
      </c>
      <c r="AM28" s="310">
        <v>0</v>
      </c>
      <c r="AN28" s="310">
        <v>0</v>
      </c>
      <c r="AO28" s="310">
        <v>0</v>
      </c>
      <c r="AP28" s="310">
        <v>0</v>
      </c>
      <c r="AQ28" s="310">
        <v>0</v>
      </c>
      <c r="AR28" s="310">
        <v>0</v>
      </c>
      <c r="AS28" s="310">
        <v>0</v>
      </c>
      <c r="AT28" s="310">
        <v>0</v>
      </c>
      <c r="AU28" s="310">
        <v>0</v>
      </c>
      <c r="AV28" s="310">
        <v>0</v>
      </c>
      <c r="AW28" s="310">
        <v>0</v>
      </c>
      <c r="AX28" s="310">
        <v>0</v>
      </c>
      <c r="AY28" s="310">
        <v>0</v>
      </c>
      <c r="AZ28" s="310">
        <v>0</v>
      </c>
      <c r="BA28" s="310">
        <v>0</v>
      </c>
      <c r="BB28" s="310">
        <v>0</v>
      </c>
      <c r="BC28" s="310">
        <v>0</v>
      </c>
      <c r="BD28" s="310">
        <v>0</v>
      </c>
      <c r="BE28" s="310">
        <v>0</v>
      </c>
      <c r="BF28" s="310">
        <v>0</v>
      </c>
      <c r="BG28" s="310">
        <v>0</v>
      </c>
      <c r="BH28" s="310">
        <v>0</v>
      </c>
      <c r="BI28" s="310">
        <v>0</v>
      </c>
      <c r="BJ28" s="310">
        <v>0</v>
      </c>
      <c r="BK28" s="310">
        <v>0</v>
      </c>
      <c r="BL28" s="310">
        <v>0</v>
      </c>
      <c r="BM28" s="310">
        <v>0</v>
      </c>
      <c r="BN28" s="310">
        <v>0</v>
      </c>
      <c r="BO28" s="310">
        <v>0</v>
      </c>
      <c r="BP28" s="310">
        <v>0</v>
      </c>
      <c r="BQ28" s="310">
        <v>0</v>
      </c>
      <c r="BR28" s="310">
        <v>0</v>
      </c>
      <c r="BU28" s="307" t="s">
        <v>651</v>
      </c>
      <c r="BV28" s="310">
        <v>0</v>
      </c>
      <c r="BW28" s="310">
        <v>0</v>
      </c>
      <c r="BX28" s="310">
        <v>0</v>
      </c>
      <c r="BY28" s="310">
        <v>0</v>
      </c>
      <c r="BZ28" s="310">
        <v>0</v>
      </c>
      <c r="CA28" s="310">
        <v>0</v>
      </c>
      <c r="CB28" s="310">
        <v>0</v>
      </c>
      <c r="CC28" s="310">
        <v>0</v>
      </c>
      <c r="CD28" s="310">
        <v>0</v>
      </c>
      <c r="CE28" s="310">
        <v>0</v>
      </c>
      <c r="CF28" s="310">
        <v>0</v>
      </c>
      <c r="CG28" s="310">
        <v>0</v>
      </c>
      <c r="CH28" s="310">
        <v>0</v>
      </c>
      <c r="CI28" s="310">
        <v>0</v>
      </c>
      <c r="CJ28" s="310">
        <v>0</v>
      </c>
      <c r="CK28" s="310">
        <v>0</v>
      </c>
      <c r="CL28" s="310">
        <v>0</v>
      </c>
      <c r="CM28" s="310">
        <v>0</v>
      </c>
      <c r="CN28" s="310">
        <v>0</v>
      </c>
      <c r="CO28" s="310">
        <v>0</v>
      </c>
      <c r="CP28" s="310">
        <v>0</v>
      </c>
      <c r="CQ28" s="310">
        <v>0</v>
      </c>
      <c r="CR28" s="310">
        <v>0</v>
      </c>
      <c r="CS28" s="310">
        <v>0</v>
      </c>
      <c r="CT28" s="310">
        <v>0</v>
      </c>
      <c r="CU28" s="310">
        <v>0</v>
      </c>
      <c r="CV28" s="310">
        <v>0</v>
      </c>
      <c r="CW28" s="310">
        <v>0</v>
      </c>
      <c r="CX28" s="310">
        <v>0</v>
      </c>
      <c r="CY28" s="310">
        <v>0</v>
      </c>
      <c r="CZ28" s="310">
        <v>0</v>
      </c>
      <c r="DA28" s="310">
        <v>0</v>
      </c>
      <c r="DB28" s="310">
        <v>0</v>
      </c>
      <c r="DC28" s="310">
        <v>0</v>
      </c>
      <c r="DD28" s="310">
        <v>0</v>
      </c>
      <c r="DE28" s="310">
        <v>0</v>
      </c>
      <c r="DF28" s="310">
        <v>0</v>
      </c>
      <c r="DG28" s="310">
        <v>0</v>
      </c>
      <c r="DH28" s="310">
        <v>0</v>
      </c>
      <c r="DI28" s="310">
        <v>0</v>
      </c>
    </row>
    <row r="29" spans="1:113" x14ac:dyDescent="0.2">
      <c r="A29" s="307" t="s">
        <v>647</v>
      </c>
      <c r="B29" s="310">
        <v>0</v>
      </c>
      <c r="AD29" s="307" t="s">
        <v>652</v>
      </c>
      <c r="AE29" s="310">
        <v>0</v>
      </c>
      <c r="AF29" s="310">
        <v>0</v>
      </c>
      <c r="AG29" s="310">
        <v>0</v>
      </c>
      <c r="AH29" s="310">
        <v>0</v>
      </c>
      <c r="AI29" s="310">
        <v>0</v>
      </c>
      <c r="AJ29" s="310">
        <v>0</v>
      </c>
      <c r="AK29" s="310">
        <v>0</v>
      </c>
      <c r="AL29" s="310">
        <v>0</v>
      </c>
      <c r="AM29" s="310">
        <v>0</v>
      </c>
      <c r="AN29" s="310">
        <v>0</v>
      </c>
      <c r="AO29" s="310">
        <v>0</v>
      </c>
      <c r="AP29" s="310">
        <v>0</v>
      </c>
      <c r="AQ29" s="310">
        <v>0</v>
      </c>
      <c r="AR29" s="310">
        <v>0</v>
      </c>
      <c r="AS29" s="310">
        <v>0</v>
      </c>
      <c r="AT29" s="310">
        <v>0</v>
      </c>
      <c r="AU29" s="310">
        <v>0</v>
      </c>
      <c r="AV29" s="310">
        <v>0</v>
      </c>
      <c r="AW29" s="310">
        <v>0</v>
      </c>
      <c r="AX29" s="310">
        <v>0</v>
      </c>
      <c r="AY29" s="310">
        <v>0</v>
      </c>
      <c r="AZ29" s="310">
        <v>0</v>
      </c>
      <c r="BA29" s="310">
        <v>0</v>
      </c>
      <c r="BB29" s="310">
        <v>0</v>
      </c>
      <c r="BC29" s="310">
        <v>0</v>
      </c>
      <c r="BD29" s="310">
        <v>0</v>
      </c>
      <c r="BE29" s="310">
        <v>0</v>
      </c>
      <c r="BF29" s="310">
        <v>0</v>
      </c>
      <c r="BG29" s="310">
        <v>0</v>
      </c>
      <c r="BH29" s="310">
        <v>0</v>
      </c>
      <c r="BI29" s="310">
        <v>0</v>
      </c>
      <c r="BJ29" s="310">
        <v>0</v>
      </c>
      <c r="BK29" s="310">
        <v>0</v>
      </c>
      <c r="BL29" s="310">
        <v>0</v>
      </c>
      <c r="BM29" s="310">
        <v>0</v>
      </c>
      <c r="BN29" s="310">
        <v>0</v>
      </c>
      <c r="BO29" s="310">
        <v>0</v>
      </c>
      <c r="BP29" s="310">
        <v>0</v>
      </c>
      <c r="BQ29" s="310">
        <v>0</v>
      </c>
      <c r="BR29" s="310">
        <v>0</v>
      </c>
      <c r="BU29" s="307" t="s">
        <v>652</v>
      </c>
      <c r="BV29" s="310">
        <v>0</v>
      </c>
      <c r="BW29" s="310">
        <v>0</v>
      </c>
      <c r="BX29" s="310">
        <v>0</v>
      </c>
      <c r="BY29" s="310">
        <v>0</v>
      </c>
      <c r="BZ29" s="310">
        <v>0</v>
      </c>
      <c r="CA29" s="310">
        <v>0</v>
      </c>
      <c r="CB29" s="310">
        <v>0</v>
      </c>
      <c r="CC29" s="310">
        <v>0</v>
      </c>
      <c r="CD29" s="310">
        <v>0</v>
      </c>
      <c r="CE29" s="310">
        <v>0</v>
      </c>
      <c r="CF29" s="310">
        <v>0</v>
      </c>
      <c r="CG29" s="310">
        <v>0</v>
      </c>
      <c r="CH29" s="310">
        <v>0</v>
      </c>
      <c r="CI29" s="310">
        <v>0</v>
      </c>
      <c r="CJ29" s="310">
        <v>0</v>
      </c>
      <c r="CK29" s="310">
        <v>0</v>
      </c>
      <c r="CL29" s="310">
        <v>0</v>
      </c>
      <c r="CM29" s="310">
        <v>0</v>
      </c>
      <c r="CN29" s="310">
        <v>0</v>
      </c>
      <c r="CO29" s="310">
        <v>0</v>
      </c>
      <c r="CP29" s="310">
        <v>0</v>
      </c>
      <c r="CQ29" s="310">
        <v>0</v>
      </c>
      <c r="CR29" s="310">
        <v>0</v>
      </c>
      <c r="CS29" s="310">
        <v>0</v>
      </c>
      <c r="CT29" s="310">
        <v>0</v>
      </c>
      <c r="CU29" s="310">
        <v>0</v>
      </c>
      <c r="CV29" s="310">
        <v>0</v>
      </c>
      <c r="CW29" s="310">
        <v>0</v>
      </c>
      <c r="CX29" s="310">
        <v>0</v>
      </c>
      <c r="CY29" s="310">
        <v>0</v>
      </c>
      <c r="CZ29" s="310">
        <v>0</v>
      </c>
      <c r="DA29" s="310">
        <v>0</v>
      </c>
      <c r="DB29" s="310">
        <v>0</v>
      </c>
      <c r="DC29" s="310">
        <v>0</v>
      </c>
      <c r="DD29" s="310">
        <v>0</v>
      </c>
      <c r="DE29" s="310">
        <v>0</v>
      </c>
      <c r="DF29" s="310">
        <v>0</v>
      </c>
      <c r="DG29" s="310">
        <v>0</v>
      </c>
      <c r="DH29" s="310">
        <v>0</v>
      </c>
      <c r="DI29" s="310">
        <v>0</v>
      </c>
    </row>
    <row r="30" spans="1:113" x14ac:dyDescent="0.2">
      <c r="A30" s="307" t="s">
        <v>648</v>
      </c>
      <c r="B30" s="310">
        <v>0</v>
      </c>
      <c r="AD30" s="307" t="s">
        <v>653</v>
      </c>
      <c r="AE30" s="310">
        <v>0</v>
      </c>
      <c r="AF30" s="310">
        <v>0</v>
      </c>
      <c r="AG30" s="310">
        <v>0</v>
      </c>
      <c r="AH30" s="310">
        <v>0</v>
      </c>
      <c r="AI30" s="310">
        <v>0</v>
      </c>
      <c r="AJ30" s="310">
        <v>0</v>
      </c>
      <c r="AK30" s="310">
        <v>0</v>
      </c>
      <c r="AL30" s="310">
        <v>0</v>
      </c>
      <c r="AM30" s="310">
        <v>0</v>
      </c>
      <c r="AN30" s="310">
        <v>0</v>
      </c>
      <c r="AO30" s="310">
        <v>0</v>
      </c>
      <c r="AP30" s="310">
        <v>0</v>
      </c>
      <c r="AQ30" s="310">
        <v>0</v>
      </c>
      <c r="AR30" s="310">
        <v>0</v>
      </c>
      <c r="AS30" s="310">
        <v>0</v>
      </c>
      <c r="AT30" s="310">
        <v>0</v>
      </c>
      <c r="AU30" s="310">
        <v>0</v>
      </c>
      <c r="AV30" s="310">
        <v>0</v>
      </c>
      <c r="AW30" s="310">
        <v>0</v>
      </c>
      <c r="AX30" s="310">
        <v>0</v>
      </c>
      <c r="AY30" s="310">
        <v>0</v>
      </c>
      <c r="AZ30" s="310">
        <v>0</v>
      </c>
      <c r="BA30" s="310">
        <v>0</v>
      </c>
      <c r="BB30" s="310">
        <v>0</v>
      </c>
      <c r="BC30" s="310">
        <v>0</v>
      </c>
      <c r="BD30" s="310">
        <v>0</v>
      </c>
      <c r="BE30" s="310">
        <v>0</v>
      </c>
      <c r="BF30" s="310">
        <v>0</v>
      </c>
      <c r="BG30" s="310">
        <v>0</v>
      </c>
      <c r="BH30" s="310">
        <v>0</v>
      </c>
      <c r="BI30" s="310">
        <v>0</v>
      </c>
      <c r="BJ30" s="310">
        <v>0</v>
      </c>
      <c r="BK30" s="310">
        <v>0</v>
      </c>
      <c r="BL30" s="310">
        <v>0</v>
      </c>
      <c r="BM30" s="310">
        <v>0</v>
      </c>
      <c r="BN30" s="310">
        <v>0</v>
      </c>
      <c r="BO30" s="310">
        <v>0</v>
      </c>
      <c r="BP30" s="310">
        <v>0</v>
      </c>
      <c r="BQ30" s="310">
        <v>0</v>
      </c>
      <c r="BR30" s="310">
        <v>0</v>
      </c>
      <c r="BU30" s="307" t="s">
        <v>653</v>
      </c>
      <c r="BV30" s="310">
        <v>0</v>
      </c>
      <c r="BW30" s="310">
        <v>0</v>
      </c>
      <c r="BX30" s="310">
        <v>0</v>
      </c>
      <c r="BY30" s="310">
        <v>0</v>
      </c>
      <c r="BZ30" s="310">
        <v>0</v>
      </c>
      <c r="CA30" s="310">
        <v>0</v>
      </c>
      <c r="CB30" s="310">
        <v>0</v>
      </c>
      <c r="CC30" s="310">
        <v>0</v>
      </c>
      <c r="CD30" s="310">
        <v>0</v>
      </c>
      <c r="CE30" s="310">
        <v>0</v>
      </c>
      <c r="CF30" s="310">
        <v>0</v>
      </c>
      <c r="CG30" s="310">
        <v>0</v>
      </c>
      <c r="CH30" s="310">
        <v>0</v>
      </c>
      <c r="CI30" s="310">
        <v>0</v>
      </c>
      <c r="CJ30" s="310">
        <v>0</v>
      </c>
      <c r="CK30" s="310">
        <v>0</v>
      </c>
      <c r="CL30" s="310">
        <v>0</v>
      </c>
      <c r="CM30" s="310">
        <v>0</v>
      </c>
      <c r="CN30" s="310">
        <v>0</v>
      </c>
      <c r="CO30" s="310">
        <v>0</v>
      </c>
      <c r="CP30" s="310">
        <v>0</v>
      </c>
      <c r="CQ30" s="310">
        <v>0</v>
      </c>
      <c r="CR30" s="310">
        <v>0</v>
      </c>
      <c r="CS30" s="310">
        <v>0</v>
      </c>
      <c r="CT30" s="310">
        <v>0</v>
      </c>
      <c r="CU30" s="310">
        <v>0</v>
      </c>
      <c r="CV30" s="310">
        <v>0</v>
      </c>
      <c r="CW30" s="310">
        <v>0</v>
      </c>
      <c r="CX30" s="310">
        <v>0</v>
      </c>
      <c r="CY30" s="310">
        <v>0</v>
      </c>
      <c r="CZ30" s="310">
        <v>0</v>
      </c>
      <c r="DA30" s="310">
        <v>0</v>
      </c>
      <c r="DB30" s="310">
        <v>0</v>
      </c>
      <c r="DC30" s="310">
        <v>0</v>
      </c>
      <c r="DD30" s="310">
        <v>0</v>
      </c>
      <c r="DE30" s="310">
        <v>0</v>
      </c>
      <c r="DF30" s="310">
        <v>0</v>
      </c>
      <c r="DG30" s="310">
        <v>0</v>
      </c>
      <c r="DH30" s="310">
        <v>0</v>
      </c>
      <c r="DI30" s="310">
        <v>0</v>
      </c>
    </row>
    <row r="31" spans="1:113" x14ac:dyDescent="0.2">
      <c r="A31" s="307" t="s">
        <v>649</v>
      </c>
      <c r="B31" s="310">
        <v>0</v>
      </c>
      <c r="AD31" s="307" t="s">
        <v>684</v>
      </c>
      <c r="AE31" s="310">
        <v>0</v>
      </c>
      <c r="AF31" s="310">
        <v>58054.575227689304</v>
      </c>
      <c r="AG31" s="310">
        <v>0</v>
      </c>
      <c r="AH31" s="310">
        <v>0</v>
      </c>
      <c r="AI31" s="310">
        <v>0</v>
      </c>
      <c r="AJ31" s="310">
        <v>0</v>
      </c>
      <c r="AK31" s="310">
        <v>0</v>
      </c>
      <c r="AL31" s="310">
        <v>0</v>
      </c>
      <c r="AM31" s="310">
        <v>0</v>
      </c>
      <c r="AN31" s="310">
        <v>0</v>
      </c>
      <c r="AO31" s="310">
        <v>0</v>
      </c>
      <c r="AP31" s="310">
        <v>0</v>
      </c>
      <c r="AQ31" s="310">
        <v>0</v>
      </c>
      <c r="AR31" s="310">
        <v>0</v>
      </c>
      <c r="AS31" s="310">
        <v>0</v>
      </c>
      <c r="AT31" s="310">
        <v>0</v>
      </c>
      <c r="AU31" s="310">
        <v>0</v>
      </c>
      <c r="AV31" s="310">
        <v>0</v>
      </c>
      <c r="AW31" s="310">
        <v>0</v>
      </c>
      <c r="AX31" s="310">
        <v>0</v>
      </c>
      <c r="AY31" s="310">
        <v>0</v>
      </c>
      <c r="AZ31" s="310">
        <v>0</v>
      </c>
      <c r="BA31" s="310">
        <v>0</v>
      </c>
      <c r="BB31" s="310">
        <v>0</v>
      </c>
      <c r="BC31" s="310">
        <v>0</v>
      </c>
      <c r="BD31" s="310">
        <v>0</v>
      </c>
      <c r="BE31" s="310">
        <v>0</v>
      </c>
      <c r="BF31" s="310">
        <v>0</v>
      </c>
      <c r="BG31" s="310">
        <v>0</v>
      </c>
      <c r="BH31" s="310">
        <v>0</v>
      </c>
      <c r="BI31" s="310">
        <v>0</v>
      </c>
      <c r="BJ31" s="310">
        <v>0</v>
      </c>
      <c r="BK31" s="310">
        <v>0</v>
      </c>
      <c r="BL31" s="310">
        <v>0</v>
      </c>
      <c r="BM31" s="310">
        <v>0</v>
      </c>
      <c r="BN31" s="310">
        <v>0</v>
      </c>
      <c r="BO31" s="310">
        <v>0</v>
      </c>
      <c r="BP31" s="310">
        <v>0</v>
      </c>
      <c r="BQ31" s="310">
        <v>0</v>
      </c>
      <c r="BR31" s="310">
        <v>0</v>
      </c>
      <c r="BU31" s="307" t="s">
        <v>684</v>
      </c>
      <c r="BV31" s="310">
        <v>0</v>
      </c>
      <c r="BW31" s="310">
        <v>0.72465121788954501</v>
      </c>
      <c r="BX31" s="310">
        <v>0</v>
      </c>
      <c r="BY31" s="310">
        <v>0</v>
      </c>
      <c r="BZ31" s="310">
        <v>0</v>
      </c>
      <c r="CA31" s="310">
        <v>0</v>
      </c>
      <c r="CB31" s="310">
        <v>0</v>
      </c>
      <c r="CC31" s="310">
        <v>0</v>
      </c>
      <c r="CD31" s="310">
        <v>0</v>
      </c>
      <c r="CE31" s="310">
        <v>0</v>
      </c>
      <c r="CF31" s="310">
        <v>0</v>
      </c>
      <c r="CG31" s="310">
        <v>0</v>
      </c>
      <c r="CH31" s="310">
        <v>0</v>
      </c>
      <c r="CI31" s="310">
        <v>0</v>
      </c>
      <c r="CJ31" s="310">
        <v>0</v>
      </c>
      <c r="CK31" s="310">
        <v>0</v>
      </c>
      <c r="CL31" s="310">
        <v>0</v>
      </c>
      <c r="CM31" s="310">
        <v>0</v>
      </c>
      <c r="CN31" s="310">
        <v>0</v>
      </c>
      <c r="CO31" s="310">
        <v>0</v>
      </c>
      <c r="CP31" s="310">
        <v>0</v>
      </c>
      <c r="CQ31" s="310">
        <v>0</v>
      </c>
      <c r="CR31" s="310">
        <v>0</v>
      </c>
      <c r="CS31" s="310">
        <v>0</v>
      </c>
      <c r="CT31" s="310">
        <v>0</v>
      </c>
      <c r="CU31" s="310">
        <v>0</v>
      </c>
      <c r="CV31" s="310">
        <v>0</v>
      </c>
      <c r="CW31" s="310">
        <v>0</v>
      </c>
      <c r="CX31" s="310">
        <v>0</v>
      </c>
      <c r="CY31" s="310">
        <v>0</v>
      </c>
      <c r="CZ31" s="310">
        <v>0</v>
      </c>
      <c r="DA31" s="310">
        <v>0</v>
      </c>
      <c r="DB31" s="310">
        <v>0</v>
      </c>
      <c r="DC31" s="310">
        <v>0</v>
      </c>
      <c r="DD31" s="310">
        <v>0</v>
      </c>
      <c r="DE31" s="310">
        <v>0</v>
      </c>
      <c r="DF31" s="310">
        <v>0</v>
      </c>
      <c r="DG31" s="310">
        <v>0</v>
      </c>
      <c r="DH31" s="310">
        <v>0</v>
      </c>
      <c r="DI31" s="310">
        <v>0</v>
      </c>
    </row>
    <row r="32" spans="1:113" x14ac:dyDescent="0.2">
      <c r="A32" s="307" t="s">
        <v>463</v>
      </c>
      <c r="B32" s="310">
        <v>1</v>
      </c>
      <c r="AD32" s="307" t="s">
        <v>685</v>
      </c>
      <c r="AE32" s="310">
        <v>0</v>
      </c>
      <c r="AF32" s="310">
        <v>0</v>
      </c>
      <c r="AG32" s="310">
        <v>0</v>
      </c>
      <c r="AH32" s="310">
        <v>0</v>
      </c>
      <c r="AI32" s="310">
        <v>0</v>
      </c>
      <c r="AJ32" s="310">
        <v>0</v>
      </c>
      <c r="AK32" s="310">
        <v>0</v>
      </c>
      <c r="AL32" s="310">
        <v>0</v>
      </c>
      <c r="AM32" s="310">
        <v>0</v>
      </c>
      <c r="AN32" s="310">
        <v>0</v>
      </c>
      <c r="AO32" s="310">
        <v>0</v>
      </c>
      <c r="AP32" s="310">
        <v>0</v>
      </c>
      <c r="AQ32" s="310">
        <v>0</v>
      </c>
      <c r="AR32" s="310">
        <v>0</v>
      </c>
      <c r="AS32" s="310">
        <v>0</v>
      </c>
      <c r="AT32" s="310">
        <v>0</v>
      </c>
      <c r="AU32" s="310">
        <v>0</v>
      </c>
      <c r="AV32" s="310">
        <v>0</v>
      </c>
      <c r="AW32" s="310">
        <v>0</v>
      </c>
      <c r="AX32" s="310">
        <v>0</v>
      </c>
      <c r="AY32" s="310">
        <v>0</v>
      </c>
      <c r="AZ32" s="310">
        <v>0</v>
      </c>
      <c r="BA32" s="310">
        <v>0</v>
      </c>
      <c r="BB32" s="310">
        <v>0</v>
      </c>
      <c r="BC32" s="310">
        <v>0</v>
      </c>
      <c r="BD32" s="310">
        <v>0</v>
      </c>
      <c r="BE32" s="310">
        <v>0</v>
      </c>
      <c r="BF32" s="310">
        <v>0</v>
      </c>
      <c r="BG32" s="310">
        <v>0</v>
      </c>
      <c r="BH32" s="310">
        <v>0</v>
      </c>
      <c r="BI32" s="310">
        <v>0</v>
      </c>
      <c r="BJ32" s="310">
        <v>0</v>
      </c>
      <c r="BK32" s="310">
        <v>0</v>
      </c>
      <c r="BL32" s="310">
        <v>0</v>
      </c>
      <c r="BM32" s="310">
        <v>0</v>
      </c>
      <c r="BN32" s="310">
        <v>0</v>
      </c>
      <c r="BO32" s="310">
        <v>0</v>
      </c>
      <c r="BP32" s="310">
        <v>0</v>
      </c>
      <c r="BQ32" s="310">
        <v>0</v>
      </c>
      <c r="BR32" s="310">
        <v>0</v>
      </c>
      <c r="BU32" s="307" t="s">
        <v>685</v>
      </c>
      <c r="BV32" s="310">
        <v>0</v>
      </c>
      <c r="BW32" s="310">
        <v>0</v>
      </c>
      <c r="BX32" s="310">
        <v>0</v>
      </c>
      <c r="BY32" s="310">
        <v>0</v>
      </c>
      <c r="BZ32" s="310">
        <v>0</v>
      </c>
      <c r="CA32" s="310">
        <v>0</v>
      </c>
      <c r="CB32" s="310">
        <v>0</v>
      </c>
      <c r="CC32" s="310">
        <v>0</v>
      </c>
      <c r="CD32" s="310">
        <v>0</v>
      </c>
      <c r="CE32" s="310">
        <v>0</v>
      </c>
      <c r="CF32" s="310">
        <v>0</v>
      </c>
      <c r="CG32" s="310">
        <v>0</v>
      </c>
      <c r="CH32" s="310">
        <v>0</v>
      </c>
      <c r="CI32" s="310">
        <v>0</v>
      </c>
      <c r="CJ32" s="310">
        <v>0</v>
      </c>
      <c r="CK32" s="310">
        <v>0</v>
      </c>
      <c r="CL32" s="310">
        <v>0</v>
      </c>
      <c r="CM32" s="310">
        <v>0</v>
      </c>
      <c r="CN32" s="310">
        <v>0</v>
      </c>
      <c r="CO32" s="310">
        <v>0</v>
      </c>
      <c r="CP32" s="310">
        <v>0</v>
      </c>
      <c r="CQ32" s="310">
        <v>0</v>
      </c>
      <c r="CR32" s="310">
        <v>0</v>
      </c>
      <c r="CS32" s="310">
        <v>0</v>
      </c>
      <c r="CT32" s="310">
        <v>0</v>
      </c>
      <c r="CU32" s="310">
        <v>0</v>
      </c>
      <c r="CV32" s="310">
        <v>0</v>
      </c>
      <c r="CW32" s="310">
        <v>0</v>
      </c>
      <c r="CX32" s="310">
        <v>0</v>
      </c>
      <c r="CY32" s="310">
        <v>0</v>
      </c>
      <c r="CZ32" s="310">
        <v>0</v>
      </c>
      <c r="DA32" s="310">
        <v>0</v>
      </c>
      <c r="DB32" s="310">
        <v>0</v>
      </c>
      <c r="DC32" s="310">
        <v>0</v>
      </c>
      <c r="DD32" s="310">
        <v>0</v>
      </c>
      <c r="DE32" s="310">
        <v>0</v>
      </c>
      <c r="DF32" s="310">
        <v>0</v>
      </c>
      <c r="DG32" s="310">
        <v>0</v>
      </c>
      <c r="DH32" s="310">
        <v>0</v>
      </c>
      <c r="DI32" s="310">
        <v>0</v>
      </c>
    </row>
    <row r="33" spans="1:113" x14ac:dyDescent="0.2">
      <c r="A33" s="307" t="s">
        <v>343</v>
      </c>
      <c r="B33" s="310">
        <v>1</v>
      </c>
      <c r="AD33" s="307" t="s">
        <v>686</v>
      </c>
      <c r="AE33" s="310">
        <v>0</v>
      </c>
      <c r="AF33" s="310">
        <v>0</v>
      </c>
      <c r="AG33" s="310">
        <v>0</v>
      </c>
      <c r="AH33" s="310">
        <v>0</v>
      </c>
      <c r="AI33" s="310">
        <v>0</v>
      </c>
      <c r="AJ33" s="310">
        <v>0</v>
      </c>
      <c r="AK33" s="310">
        <v>0</v>
      </c>
      <c r="AL33" s="310">
        <v>0</v>
      </c>
      <c r="AM33" s="310">
        <v>0</v>
      </c>
      <c r="AN33" s="310">
        <v>0</v>
      </c>
      <c r="AO33" s="310">
        <v>0</v>
      </c>
      <c r="AP33" s="310">
        <v>0</v>
      </c>
      <c r="AQ33" s="310">
        <v>0</v>
      </c>
      <c r="AR33" s="310">
        <v>0</v>
      </c>
      <c r="AS33" s="310">
        <v>0</v>
      </c>
      <c r="AT33" s="310">
        <v>0</v>
      </c>
      <c r="AU33" s="310">
        <v>0</v>
      </c>
      <c r="AV33" s="310">
        <v>0</v>
      </c>
      <c r="AW33" s="310">
        <v>0</v>
      </c>
      <c r="AX33" s="310">
        <v>0</v>
      </c>
      <c r="AY33" s="310">
        <v>0</v>
      </c>
      <c r="AZ33" s="310">
        <v>0</v>
      </c>
      <c r="BA33" s="310">
        <v>0</v>
      </c>
      <c r="BB33" s="310">
        <v>0</v>
      </c>
      <c r="BC33" s="310">
        <v>0</v>
      </c>
      <c r="BD33" s="310">
        <v>0</v>
      </c>
      <c r="BE33" s="310">
        <v>0</v>
      </c>
      <c r="BF33" s="310">
        <v>0</v>
      </c>
      <c r="BG33" s="310">
        <v>0</v>
      </c>
      <c r="BH33" s="310">
        <v>0</v>
      </c>
      <c r="BI33" s="310">
        <v>0</v>
      </c>
      <c r="BJ33" s="310">
        <v>0</v>
      </c>
      <c r="BK33" s="310">
        <v>0</v>
      </c>
      <c r="BL33" s="310">
        <v>0</v>
      </c>
      <c r="BM33" s="310">
        <v>0</v>
      </c>
      <c r="BN33" s="310">
        <v>0</v>
      </c>
      <c r="BO33" s="310">
        <v>0</v>
      </c>
      <c r="BP33" s="310">
        <v>0</v>
      </c>
      <c r="BQ33" s="310">
        <v>0</v>
      </c>
      <c r="BR33" s="310">
        <v>0</v>
      </c>
      <c r="BU33" s="307" t="s">
        <v>686</v>
      </c>
      <c r="BV33" s="310">
        <v>0</v>
      </c>
      <c r="BW33" s="310">
        <v>0</v>
      </c>
      <c r="BX33" s="310">
        <v>0</v>
      </c>
      <c r="BY33" s="310">
        <v>0</v>
      </c>
      <c r="BZ33" s="310">
        <v>0</v>
      </c>
      <c r="CA33" s="310">
        <v>0</v>
      </c>
      <c r="CB33" s="310">
        <v>0</v>
      </c>
      <c r="CC33" s="310">
        <v>0</v>
      </c>
      <c r="CD33" s="310">
        <v>0</v>
      </c>
      <c r="CE33" s="310">
        <v>0</v>
      </c>
      <c r="CF33" s="310">
        <v>0</v>
      </c>
      <c r="CG33" s="310">
        <v>0</v>
      </c>
      <c r="CH33" s="310">
        <v>0</v>
      </c>
      <c r="CI33" s="310">
        <v>0</v>
      </c>
      <c r="CJ33" s="310">
        <v>0</v>
      </c>
      <c r="CK33" s="310">
        <v>0</v>
      </c>
      <c r="CL33" s="310">
        <v>0</v>
      </c>
      <c r="CM33" s="310">
        <v>0</v>
      </c>
      <c r="CN33" s="310">
        <v>0</v>
      </c>
      <c r="CO33" s="310">
        <v>0</v>
      </c>
      <c r="CP33" s="310">
        <v>0</v>
      </c>
      <c r="CQ33" s="310">
        <v>0</v>
      </c>
      <c r="CR33" s="310">
        <v>0</v>
      </c>
      <c r="CS33" s="310">
        <v>0</v>
      </c>
      <c r="CT33" s="310">
        <v>0</v>
      </c>
      <c r="CU33" s="310">
        <v>0</v>
      </c>
      <c r="CV33" s="310">
        <v>0</v>
      </c>
      <c r="CW33" s="310">
        <v>0</v>
      </c>
      <c r="CX33" s="310">
        <v>0</v>
      </c>
      <c r="CY33" s="310">
        <v>0</v>
      </c>
      <c r="CZ33" s="310">
        <v>0</v>
      </c>
      <c r="DA33" s="310">
        <v>0</v>
      </c>
      <c r="DB33" s="310">
        <v>0</v>
      </c>
      <c r="DC33" s="310">
        <v>0</v>
      </c>
      <c r="DD33" s="310">
        <v>0</v>
      </c>
      <c r="DE33" s="310">
        <v>0</v>
      </c>
      <c r="DF33" s="310">
        <v>0</v>
      </c>
      <c r="DG33" s="310">
        <v>0</v>
      </c>
      <c r="DH33" s="310">
        <v>0</v>
      </c>
      <c r="DI33" s="310">
        <v>0</v>
      </c>
    </row>
    <row r="34" spans="1:113" x14ac:dyDescent="0.2">
      <c r="A34" s="307" t="s">
        <v>679</v>
      </c>
      <c r="B34" s="310">
        <v>1</v>
      </c>
      <c r="AD34" s="307" t="s">
        <v>687</v>
      </c>
      <c r="AE34" s="310">
        <v>0</v>
      </c>
      <c r="AF34" s="310">
        <v>0</v>
      </c>
      <c r="AG34" s="310">
        <v>0</v>
      </c>
      <c r="AH34" s="310">
        <v>0</v>
      </c>
      <c r="AI34" s="310">
        <v>0</v>
      </c>
      <c r="AJ34" s="310">
        <v>0</v>
      </c>
      <c r="AK34" s="310">
        <v>0</v>
      </c>
      <c r="AL34" s="310">
        <v>0</v>
      </c>
      <c r="AM34" s="310">
        <v>0</v>
      </c>
      <c r="AN34" s="310">
        <v>0</v>
      </c>
      <c r="AO34" s="310">
        <v>0</v>
      </c>
      <c r="AP34" s="310">
        <v>0</v>
      </c>
      <c r="AQ34" s="310">
        <v>0</v>
      </c>
      <c r="AR34" s="310">
        <v>0</v>
      </c>
      <c r="AS34" s="310">
        <v>0</v>
      </c>
      <c r="AT34" s="310">
        <v>0</v>
      </c>
      <c r="AU34" s="310">
        <v>0</v>
      </c>
      <c r="AV34" s="310">
        <v>0</v>
      </c>
      <c r="AW34" s="310">
        <v>0</v>
      </c>
      <c r="AX34" s="310">
        <v>0</v>
      </c>
      <c r="AY34" s="310">
        <v>0</v>
      </c>
      <c r="AZ34" s="310">
        <v>0</v>
      </c>
      <c r="BA34" s="310">
        <v>0</v>
      </c>
      <c r="BB34" s="310">
        <v>0</v>
      </c>
      <c r="BC34" s="310">
        <v>0</v>
      </c>
      <c r="BD34" s="310">
        <v>0</v>
      </c>
      <c r="BE34" s="310">
        <v>0</v>
      </c>
      <c r="BF34" s="310">
        <v>0</v>
      </c>
      <c r="BG34" s="310">
        <v>0</v>
      </c>
      <c r="BH34" s="310">
        <v>0</v>
      </c>
      <c r="BI34" s="310">
        <v>0</v>
      </c>
      <c r="BJ34" s="310">
        <v>0</v>
      </c>
      <c r="BK34" s="310">
        <v>0</v>
      </c>
      <c r="BL34" s="310">
        <v>0</v>
      </c>
      <c r="BM34" s="310">
        <v>0</v>
      </c>
      <c r="BN34" s="310">
        <v>0</v>
      </c>
      <c r="BO34" s="310">
        <v>0</v>
      </c>
      <c r="BP34" s="310">
        <v>0</v>
      </c>
      <c r="BQ34" s="310">
        <v>0</v>
      </c>
      <c r="BR34" s="310">
        <v>0</v>
      </c>
      <c r="BU34" s="307" t="s">
        <v>687</v>
      </c>
      <c r="BV34" s="310">
        <v>0</v>
      </c>
      <c r="BW34" s="310">
        <v>0</v>
      </c>
      <c r="BX34" s="310">
        <v>0</v>
      </c>
      <c r="BY34" s="310">
        <v>0</v>
      </c>
      <c r="BZ34" s="310">
        <v>0</v>
      </c>
      <c r="CA34" s="310">
        <v>0</v>
      </c>
      <c r="CB34" s="310">
        <v>0</v>
      </c>
      <c r="CC34" s="310">
        <v>0</v>
      </c>
      <c r="CD34" s="310">
        <v>0</v>
      </c>
      <c r="CE34" s="310">
        <v>0</v>
      </c>
      <c r="CF34" s="310">
        <v>0</v>
      </c>
      <c r="CG34" s="310">
        <v>0</v>
      </c>
      <c r="CH34" s="310">
        <v>0</v>
      </c>
      <c r="CI34" s="310">
        <v>0</v>
      </c>
      <c r="CJ34" s="310">
        <v>0</v>
      </c>
      <c r="CK34" s="310">
        <v>0</v>
      </c>
      <c r="CL34" s="310">
        <v>0</v>
      </c>
      <c r="CM34" s="310">
        <v>0</v>
      </c>
      <c r="CN34" s="310">
        <v>0</v>
      </c>
      <c r="CO34" s="310">
        <v>0</v>
      </c>
      <c r="CP34" s="310">
        <v>0</v>
      </c>
      <c r="CQ34" s="310">
        <v>0</v>
      </c>
      <c r="CR34" s="310">
        <v>0</v>
      </c>
      <c r="CS34" s="310">
        <v>0</v>
      </c>
      <c r="CT34" s="310">
        <v>0</v>
      </c>
      <c r="CU34" s="310">
        <v>0</v>
      </c>
      <c r="CV34" s="310">
        <v>0</v>
      </c>
      <c r="CW34" s="310">
        <v>0</v>
      </c>
      <c r="CX34" s="310">
        <v>0</v>
      </c>
      <c r="CY34" s="310">
        <v>0</v>
      </c>
      <c r="CZ34" s="310">
        <v>0</v>
      </c>
      <c r="DA34" s="310">
        <v>0</v>
      </c>
      <c r="DB34" s="310">
        <v>0</v>
      </c>
      <c r="DC34" s="310">
        <v>0</v>
      </c>
      <c r="DD34" s="310">
        <v>0</v>
      </c>
      <c r="DE34" s="310">
        <v>0</v>
      </c>
      <c r="DF34" s="310">
        <v>0</v>
      </c>
      <c r="DG34" s="310">
        <v>0</v>
      </c>
      <c r="DH34" s="310">
        <v>0</v>
      </c>
      <c r="DI34" s="310">
        <v>0</v>
      </c>
    </row>
    <row r="35" spans="1:113" x14ac:dyDescent="0.2">
      <c r="A35" s="307" t="s">
        <v>650</v>
      </c>
      <c r="B35" s="310">
        <v>0</v>
      </c>
      <c r="AD35" s="307" t="s">
        <v>688</v>
      </c>
      <c r="AE35" s="310">
        <v>0</v>
      </c>
      <c r="AF35" s="310">
        <v>0</v>
      </c>
      <c r="AG35" s="310">
        <v>0</v>
      </c>
      <c r="AH35" s="310">
        <v>0</v>
      </c>
      <c r="AI35" s="310">
        <v>0</v>
      </c>
      <c r="AJ35" s="310">
        <v>0</v>
      </c>
      <c r="AK35" s="310">
        <v>0</v>
      </c>
      <c r="AL35" s="310">
        <v>0</v>
      </c>
      <c r="AM35" s="310">
        <v>0</v>
      </c>
      <c r="AN35" s="310">
        <v>0</v>
      </c>
      <c r="AO35" s="310">
        <v>0</v>
      </c>
      <c r="AP35" s="310">
        <v>0</v>
      </c>
      <c r="AQ35" s="310">
        <v>0</v>
      </c>
      <c r="AR35" s="310">
        <v>0</v>
      </c>
      <c r="AS35" s="310">
        <v>0</v>
      </c>
      <c r="AT35" s="310">
        <v>0</v>
      </c>
      <c r="AU35" s="310">
        <v>0</v>
      </c>
      <c r="AV35" s="310">
        <v>0</v>
      </c>
      <c r="AW35" s="310">
        <v>0</v>
      </c>
      <c r="AX35" s="310">
        <v>0</v>
      </c>
      <c r="AY35" s="310">
        <v>0</v>
      </c>
      <c r="AZ35" s="310">
        <v>0</v>
      </c>
      <c r="BA35" s="310">
        <v>0</v>
      </c>
      <c r="BB35" s="310">
        <v>0</v>
      </c>
      <c r="BC35" s="310">
        <v>0</v>
      </c>
      <c r="BD35" s="310">
        <v>0</v>
      </c>
      <c r="BE35" s="310">
        <v>0</v>
      </c>
      <c r="BF35" s="310">
        <v>0</v>
      </c>
      <c r="BG35" s="310">
        <v>0</v>
      </c>
      <c r="BH35" s="310">
        <v>0</v>
      </c>
      <c r="BI35" s="310">
        <v>0</v>
      </c>
      <c r="BJ35" s="310">
        <v>0</v>
      </c>
      <c r="BK35" s="310">
        <v>0</v>
      </c>
      <c r="BL35" s="310">
        <v>0</v>
      </c>
      <c r="BM35" s="310">
        <v>0</v>
      </c>
      <c r="BN35" s="310">
        <v>0</v>
      </c>
      <c r="BO35" s="310">
        <v>0</v>
      </c>
      <c r="BP35" s="310">
        <v>0</v>
      </c>
      <c r="BQ35" s="310">
        <v>0</v>
      </c>
      <c r="BR35" s="310">
        <v>0</v>
      </c>
      <c r="BU35" s="307" t="s">
        <v>688</v>
      </c>
      <c r="BV35" s="310">
        <v>0</v>
      </c>
      <c r="BW35" s="310">
        <v>0</v>
      </c>
      <c r="BX35" s="310">
        <v>0</v>
      </c>
      <c r="BY35" s="310">
        <v>0</v>
      </c>
      <c r="BZ35" s="310">
        <v>0</v>
      </c>
      <c r="CA35" s="310">
        <v>0</v>
      </c>
      <c r="CB35" s="310">
        <v>0</v>
      </c>
      <c r="CC35" s="310">
        <v>0</v>
      </c>
      <c r="CD35" s="310">
        <v>0</v>
      </c>
      <c r="CE35" s="310">
        <v>0</v>
      </c>
      <c r="CF35" s="310">
        <v>0</v>
      </c>
      <c r="CG35" s="310">
        <v>0</v>
      </c>
      <c r="CH35" s="310">
        <v>0</v>
      </c>
      <c r="CI35" s="310">
        <v>0</v>
      </c>
      <c r="CJ35" s="310">
        <v>0</v>
      </c>
      <c r="CK35" s="310">
        <v>0</v>
      </c>
      <c r="CL35" s="310">
        <v>0</v>
      </c>
      <c r="CM35" s="310">
        <v>0</v>
      </c>
      <c r="CN35" s="310">
        <v>0</v>
      </c>
      <c r="CO35" s="310">
        <v>0</v>
      </c>
      <c r="CP35" s="310">
        <v>0</v>
      </c>
      <c r="CQ35" s="310">
        <v>0</v>
      </c>
      <c r="CR35" s="310">
        <v>0</v>
      </c>
      <c r="CS35" s="310">
        <v>0</v>
      </c>
      <c r="CT35" s="310">
        <v>0</v>
      </c>
      <c r="CU35" s="310">
        <v>0</v>
      </c>
      <c r="CV35" s="310">
        <v>0</v>
      </c>
      <c r="CW35" s="310">
        <v>0</v>
      </c>
      <c r="CX35" s="310">
        <v>0</v>
      </c>
      <c r="CY35" s="310">
        <v>0</v>
      </c>
      <c r="CZ35" s="310">
        <v>0</v>
      </c>
      <c r="DA35" s="310">
        <v>0</v>
      </c>
      <c r="DB35" s="310">
        <v>0</v>
      </c>
      <c r="DC35" s="310">
        <v>0</v>
      </c>
      <c r="DD35" s="310">
        <v>0</v>
      </c>
      <c r="DE35" s="310">
        <v>0</v>
      </c>
      <c r="DF35" s="310">
        <v>0</v>
      </c>
      <c r="DG35" s="310">
        <v>0</v>
      </c>
      <c r="DH35" s="310">
        <v>0</v>
      </c>
      <c r="DI35" s="310">
        <v>0</v>
      </c>
    </row>
    <row r="36" spans="1:113" x14ac:dyDescent="0.2">
      <c r="A36" s="307" t="s">
        <v>680</v>
      </c>
      <c r="B36" s="310">
        <v>1</v>
      </c>
      <c r="AD36" s="307" t="s">
        <v>689</v>
      </c>
      <c r="AE36" s="310">
        <v>0</v>
      </c>
      <c r="AF36" s="310">
        <v>0</v>
      </c>
      <c r="AG36" s="310">
        <v>0</v>
      </c>
      <c r="AH36" s="310">
        <v>0</v>
      </c>
      <c r="AI36" s="310">
        <v>0</v>
      </c>
      <c r="AJ36" s="310">
        <v>0</v>
      </c>
      <c r="AK36" s="310">
        <v>0</v>
      </c>
      <c r="AL36" s="310">
        <v>0</v>
      </c>
      <c r="AM36" s="310">
        <v>0</v>
      </c>
      <c r="AN36" s="310">
        <v>0</v>
      </c>
      <c r="AO36" s="310">
        <v>0</v>
      </c>
      <c r="AP36" s="310">
        <v>0</v>
      </c>
      <c r="AQ36" s="310">
        <v>0</v>
      </c>
      <c r="AR36" s="310">
        <v>0</v>
      </c>
      <c r="AS36" s="310">
        <v>0</v>
      </c>
      <c r="AT36" s="310">
        <v>0</v>
      </c>
      <c r="AU36" s="310">
        <v>0</v>
      </c>
      <c r="AV36" s="310">
        <v>0</v>
      </c>
      <c r="AW36" s="310">
        <v>0</v>
      </c>
      <c r="AX36" s="310">
        <v>0</v>
      </c>
      <c r="AY36" s="310">
        <v>0</v>
      </c>
      <c r="AZ36" s="310">
        <v>0</v>
      </c>
      <c r="BA36" s="310">
        <v>0</v>
      </c>
      <c r="BB36" s="310">
        <v>0</v>
      </c>
      <c r="BC36" s="310">
        <v>0</v>
      </c>
      <c r="BD36" s="310">
        <v>0</v>
      </c>
      <c r="BE36" s="310">
        <v>0</v>
      </c>
      <c r="BF36" s="310">
        <v>0</v>
      </c>
      <c r="BG36" s="310">
        <v>4306.0802326205903</v>
      </c>
      <c r="BH36" s="310">
        <v>0</v>
      </c>
      <c r="BI36" s="310">
        <v>0</v>
      </c>
      <c r="BJ36" s="310">
        <v>0</v>
      </c>
      <c r="BK36" s="310">
        <v>0</v>
      </c>
      <c r="BL36" s="310">
        <v>0</v>
      </c>
      <c r="BM36" s="310">
        <v>0</v>
      </c>
      <c r="BN36" s="310">
        <v>0</v>
      </c>
      <c r="BO36" s="310">
        <v>0</v>
      </c>
      <c r="BP36" s="310">
        <v>0</v>
      </c>
      <c r="BQ36" s="310">
        <v>0</v>
      </c>
      <c r="BR36" s="310">
        <v>0</v>
      </c>
      <c r="BU36" s="307" t="s">
        <v>689</v>
      </c>
      <c r="BV36" s="310">
        <v>0</v>
      </c>
      <c r="BW36" s="310">
        <v>0</v>
      </c>
      <c r="BX36" s="310">
        <v>0</v>
      </c>
      <c r="BY36" s="310">
        <v>0</v>
      </c>
      <c r="BZ36" s="310">
        <v>0</v>
      </c>
      <c r="CA36" s="310">
        <v>0</v>
      </c>
      <c r="CB36" s="310">
        <v>0</v>
      </c>
      <c r="CC36" s="310">
        <v>0</v>
      </c>
      <c r="CD36" s="310">
        <v>0</v>
      </c>
      <c r="CE36" s="310">
        <v>0</v>
      </c>
      <c r="CF36" s="310">
        <v>0</v>
      </c>
      <c r="CG36" s="310">
        <v>0</v>
      </c>
      <c r="CH36" s="310">
        <v>0</v>
      </c>
      <c r="CI36" s="310">
        <v>0</v>
      </c>
      <c r="CJ36" s="310">
        <v>0</v>
      </c>
      <c r="CK36" s="310">
        <v>0</v>
      </c>
      <c r="CL36" s="310">
        <v>0</v>
      </c>
      <c r="CM36" s="310">
        <v>0</v>
      </c>
      <c r="CN36" s="310">
        <v>0</v>
      </c>
      <c r="CO36" s="310">
        <v>0</v>
      </c>
      <c r="CP36" s="310">
        <v>0</v>
      </c>
      <c r="CQ36" s="310">
        <v>0</v>
      </c>
      <c r="CR36" s="310">
        <v>0</v>
      </c>
      <c r="CS36" s="310">
        <v>0</v>
      </c>
      <c r="CT36" s="310">
        <v>0</v>
      </c>
      <c r="CU36" s="310">
        <v>0</v>
      </c>
      <c r="CV36" s="310">
        <v>0</v>
      </c>
      <c r="CW36" s="310">
        <v>0</v>
      </c>
      <c r="CX36" s="310">
        <v>1</v>
      </c>
      <c r="CY36" s="310">
        <v>0</v>
      </c>
      <c r="CZ36" s="310">
        <v>0</v>
      </c>
      <c r="DA36" s="310">
        <v>0</v>
      </c>
      <c r="DB36" s="310">
        <v>0</v>
      </c>
      <c r="DC36" s="310">
        <v>0</v>
      </c>
      <c r="DD36" s="310">
        <v>0</v>
      </c>
      <c r="DE36" s="310">
        <v>0</v>
      </c>
      <c r="DF36" s="310">
        <v>0</v>
      </c>
      <c r="DG36" s="310">
        <v>0</v>
      </c>
      <c r="DH36" s="310">
        <v>0</v>
      </c>
      <c r="DI36" s="310">
        <v>0</v>
      </c>
    </row>
    <row r="37" spans="1:113" x14ac:dyDescent="0.2">
      <c r="A37" s="307" t="s">
        <v>681</v>
      </c>
      <c r="B37" s="310">
        <v>1</v>
      </c>
      <c r="AD37" s="307" t="s">
        <v>690</v>
      </c>
      <c r="AE37" s="310">
        <v>0</v>
      </c>
      <c r="AF37" s="310">
        <v>0</v>
      </c>
      <c r="AG37" s="310">
        <v>0</v>
      </c>
      <c r="AH37" s="310">
        <v>0</v>
      </c>
      <c r="AI37" s="310">
        <v>0</v>
      </c>
      <c r="AJ37" s="310">
        <v>0</v>
      </c>
      <c r="AK37" s="310">
        <v>0</v>
      </c>
      <c r="AL37" s="310">
        <v>0</v>
      </c>
      <c r="AM37" s="310">
        <v>0</v>
      </c>
      <c r="AN37" s="310">
        <v>0</v>
      </c>
      <c r="AO37" s="310">
        <v>0</v>
      </c>
      <c r="AP37" s="310">
        <v>0</v>
      </c>
      <c r="AQ37" s="310">
        <v>0</v>
      </c>
      <c r="AR37" s="310">
        <v>0</v>
      </c>
      <c r="AS37" s="310">
        <v>0</v>
      </c>
      <c r="AT37" s="310">
        <v>0</v>
      </c>
      <c r="AU37" s="310">
        <v>0</v>
      </c>
      <c r="AV37" s="310">
        <v>0</v>
      </c>
      <c r="AW37" s="310">
        <v>0</v>
      </c>
      <c r="AX37" s="310">
        <v>0</v>
      </c>
      <c r="AY37" s="310">
        <v>0</v>
      </c>
      <c r="AZ37" s="310">
        <v>0</v>
      </c>
      <c r="BA37" s="310">
        <v>0</v>
      </c>
      <c r="BB37" s="310">
        <v>0</v>
      </c>
      <c r="BC37" s="310">
        <v>0</v>
      </c>
      <c r="BD37" s="310">
        <v>0</v>
      </c>
      <c r="BE37" s="310">
        <v>0</v>
      </c>
      <c r="BF37" s="310">
        <v>0</v>
      </c>
      <c r="BG37" s="310">
        <v>0</v>
      </c>
      <c r="BH37" s="310">
        <v>0</v>
      </c>
      <c r="BI37" s="310">
        <v>0</v>
      </c>
      <c r="BJ37" s="310">
        <v>0</v>
      </c>
      <c r="BK37" s="310">
        <v>0</v>
      </c>
      <c r="BL37" s="310">
        <v>0</v>
      </c>
      <c r="BM37" s="310">
        <v>0</v>
      </c>
      <c r="BN37" s="310">
        <v>0</v>
      </c>
      <c r="BO37" s="310">
        <v>0</v>
      </c>
      <c r="BP37" s="310">
        <v>0</v>
      </c>
      <c r="BQ37" s="310">
        <v>0</v>
      </c>
      <c r="BR37" s="310">
        <v>0</v>
      </c>
      <c r="BU37" s="307" t="s">
        <v>690</v>
      </c>
      <c r="BV37" s="310">
        <v>0</v>
      </c>
      <c r="BW37" s="310">
        <v>0</v>
      </c>
      <c r="BX37" s="310">
        <v>0</v>
      </c>
      <c r="BY37" s="310">
        <v>0</v>
      </c>
      <c r="BZ37" s="310">
        <v>0</v>
      </c>
      <c r="CA37" s="310">
        <v>0</v>
      </c>
      <c r="CB37" s="310">
        <v>0</v>
      </c>
      <c r="CC37" s="310">
        <v>0</v>
      </c>
      <c r="CD37" s="310">
        <v>0</v>
      </c>
      <c r="CE37" s="310">
        <v>0</v>
      </c>
      <c r="CF37" s="310">
        <v>0</v>
      </c>
      <c r="CG37" s="310">
        <v>0</v>
      </c>
      <c r="CH37" s="310">
        <v>0</v>
      </c>
      <c r="CI37" s="310">
        <v>0</v>
      </c>
      <c r="CJ37" s="310">
        <v>0</v>
      </c>
      <c r="CK37" s="310">
        <v>0</v>
      </c>
      <c r="CL37" s="310">
        <v>0</v>
      </c>
      <c r="CM37" s="310">
        <v>0</v>
      </c>
      <c r="CN37" s="310">
        <v>0</v>
      </c>
      <c r="CO37" s="310">
        <v>0</v>
      </c>
      <c r="CP37" s="310">
        <v>0</v>
      </c>
      <c r="CQ37" s="310">
        <v>0</v>
      </c>
      <c r="CR37" s="310">
        <v>0</v>
      </c>
      <c r="CS37" s="310">
        <v>0</v>
      </c>
      <c r="CT37" s="310">
        <v>0</v>
      </c>
      <c r="CU37" s="310">
        <v>0</v>
      </c>
      <c r="CV37" s="310">
        <v>0</v>
      </c>
      <c r="CW37" s="310">
        <v>0</v>
      </c>
      <c r="CX37" s="310">
        <v>0</v>
      </c>
      <c r="CY37" s="310">
        <v>0</v>
      </c>
      <c r="CZ37" s="310">
        <v>0</v>
      </c>
      <c r="DA37" s="310">
        <v>0</v>
      </c>
      <c r="DB37" s="310">
        <v>0</v>
      </c>
      <c r="DC37" s="310">
        <v>0</v>
      </c>
      <c r="DD37" s="310">
        <v>0</v>
      </c>
      <c r="DE37" s="310">
        <v>0</v>
      </c>
      <c r="DF37" s="310">
        <v>0</v>
      </c>
      <c r="DG37" s="310">
        <v>0</v>
      </c>
      <c r="DH37" s="310">
        <v>0</v>
      </c>
      <c r="DI37" s="310">
        <v>0</v>
      </c>
    </row>
    <row r="38" spans="1:113" x14ac:dyDescent="0.2">
      <c r="A38" s="307" t="s">
        <v>682</v>
      </c>
      <c r="B38" s="310">
        <v>1</v>
      </c>
      <c r="AD38" s="307" t="s">
        <v>691</v>
      </c>
      <c r="AE38" s="310">
        <v>0</v>
      </c>
      <c r="AF38" s="310">
        <v>0</v>
      </c>
      <c r="AG38" s="310">
        <v>0</v>
      </c>
      <c r="AH38" s="310">
        <v>0</v>
      </c>
      <c r="AI38" s="310">
        <v>0</v>
      </c>
      <c r="AJ38" s="310">
        <v>0</v>
      </c>
      <c r="AK38" s="310">
        <v>0</v>
      </c>
      <c r="AL38" s="310">
        <v>0</v>
      </c>
      <c r="AM38" s="310">
        <v>0</v>
      </c>
      <c r="AN38" s="310">
        <v>0</v>
      </c>
      <c r="AO38" s="310">
        <v>0</v>
      </c>
      <c r="AP38" s="310">
        <v>0</v>
      </c>
      <c r="AQ38" s="310">
        <v>0</v>
      </c>
      <c r="AR38" s="310">
        <v>0</v>
      </c>
      <c r="AS38" s="310">
        <v>0</v>
      </c>
      <c r="AT38" s="310">
        <v>0</v>
      </c>
      <c r="AU38" s="310">
        <v>0</v>
      </c>
      <c r="AV38" s="310">
        <v>0</v>
      </c>
      <c r="AW38" s="310">
        <v>0</v>
      </c>
      <c r="AX38" s="310">
        <v>0</v>
      </c>
      <c r="AY38" s="310">
        <v>0</v>
      </c>
      <c r="AZ38" s="310">
        <v>0</v>
      </c>
      <c r="BA38" s="310">
        <v>0</v>
      </c>
      <c r="BB38" s="310">
        <v>0</v>
      </c>
      <c r="BC38" s="310">
        <v>0</v>
      </c>
      <c r="BD38" s="310">
        <v>0</v>
      </c>
      <c r="BE38" s="310">
        <v>0</v>
      </c>
      <c r="BF38" s="310">
        <v>0</v>
      </c>
      <c r="BG38" s="310">
        <v>0</v>
      </c>
      <c r="BH38" s="310">
        <v>0</v>
      </c>
      <c r="BI38" s="310">
        <v>0</v>
      </c>
      <c r="BJ38" s="310">
        <v>0</v>
      </c>
      <c r="BK38" s="310">
        <v>0</v>
      </c>
      <c r="BL38" s="310">
        <v>0</v>
      </c>
      <c r="BM38" s="310">
        <v>0</v>
      </c>
      <c r="BN38" s="310">
        <v>0</v>
      </c>
      <c r="BO38" s="310">
        <v>0</v>
      </c>
      <c r="BP38" s="310">
        <v>0</v>
      </c>
      <c r="BQ38" s="310">
        <v>0</v>
      </c>
      <c r="BR38" s="310">
        <v>0</v>
      </c>
      <c r="BU38" s="307" t="s">
        <v>691</v>
      </c>
      <c r="BV38" s="310">
        <v>0</v>
      </c>
      <c r="BW38" s="310">
        <v>0</v>
      </c>
      <c r="BX38" s="310">
        <v>0</v>
      </c>
      <c r="BY38" s="310">
        <v>0</v>
      </c>
      <c r="BZ38" s="310">
        <v>0</v>
      </c>
      <c r="CA38" s="310">
        <v>0</v>
      </c>
      <c r="CB38" s="310">
        <v>0</v>
      </c>
      <c r="CC38" s="310">
        <v>0</v>
      </c>
      <c r="CD38" s="310">
        <v>0</v>
      </c>
      <c r="CE38" s="310">
        <v>0</v>
      </c>
      <c r="CF38" s="310">
        <v>0</v>
      </c>
      <c r="CG38" s="310">
        <v>0</v>
      </c>
      <c r="CH38" s="310">
        <v>0</v>
      </c>
      <c r="CI38" s="310">
        <v>0</v>
      </c>
      <c r="CJ38" s="310">
        <v>0</v>
      </c>
      <c r="CK38" s="310">
        <v>0</v>
      </c>
      <c r="CL38" s="310">
        <v>0</v>
      </c>
      <c r="CM38" s="310">
        <v>0</v>
      </c>
      <c r="CN38" s="310">
        <v>0</v>
      </c>
      <c r="CO38" s="310">
        <v>0</v>
      </c>
      <c r="CP38" s="310">
        <v>0</v>
      </c>
      <c r="CQ38" s="310">
        <v>0</v>
      </c>
      <c r="CR38" s="310">
        <v>0</v>
      </c>
      <c r="CS38" s="310">
        <v>0</v>
      </c>
      <c r="CT38" s="310">
        <v>0</v>
      </c>
      <c r="CU38" s="310">
        <v>0</v>
      </c>
      <c r="CV38" s="310">
        <v>0</v>
      </c>
      <c r="CW38" s="310">
        <v>0</v>
      </c>
      <c r="CX38" s="310">
        <v>0</v>
      </c>
      <c r="CY38" s="310">
        <v>0</v>
      </c>
      <c r="CZ38" s="310">
        <v>0</v>
      </c>
      <c r="DA38" s="310">
        <v>0</v>
      </c>
      <c r="DB38" s="310">
        <v>0</v>
      </c>
      <c r="DC38" s="310">
        <v>0</v>
      </c>
      <c r="DD38" s="310">
        <v>0</v>
      </c>
      <c r="DE38" s="310">
        <v>0</v>
      </c>
      <c r="DF38" s="310">
        <v>0</v>
      </c>
      <c r="DG38" s="310">
        <v>0</v>
      </c>
      <c r="DH38" s="310">
        <v>0</v>
      </c>
      <c r="DI38" s="310">
        <v>0</v>
      </c>
    </row>
    <row r="39" spans="1:113" x14ac:dyDescent="0.2">
      <c r="A39" s="307" t="s">
        <v>683</v>
      </c>
      <c r="B39" s="310">
        <v>1</v>
      </c>
      <c r="AD39" s="307" t="s">
        <v>654</v>
      </c>
      <c r="AE39" s="310">
        <v>0</v>
      </c>
      <c r="AF39" s="310">
        <v>0</v>
      </c>
      <c r="AG39" s="310">
        <v>0</v>
      </c>
      <c r="AH39" s="310">
        <v>0</v>
      </c>
      <c r="AI39" s="310">
        <v>0</v>
      </c>
      <c r="AJ39" s="310">
        <v>0</v>
      </c>
      <c r="AK39" s="310">
        <v>0</v>
      </c>
      <c r="AL39" s="310">
        <v>0</v>
      </c>
      <c r="AM39" s="310">
        <v>0</v>
      </c>
      <c r="AN39" s="310">
        <v>0</v>
      </c>
      <c r="AO39" s="310">
        <v>0</v>
      </c>
      <c r="AP39" s="310">
        <v>0</v>
      </c>
      <c r="AQ39" s="310">
        <v>0</v>
      </c>
      <c r="AR39" s="310">
        <v>0</v>
      </c>
      <c r="AS39" s="310">
        <v>0</v>
      </c>
      <c r="AT39" s="310">
        <v>0</v>
      </c>
      <c r="AU39" s="310">
        <v>0</v>
      </c>
      <c r="AV39" s="310">
        <v>0</v>
      </c>
      <c r="AW39" s="310">
        <v>0</v>
      </c>
      <c r="AX39" s="310">
        <v>0</v>
      </c>
      <c r="AY39" s="310">
        <v>0</v>
      </c>
      <c r="AZ39" s="310">
        <v>0</v>
      </c>
      <c r="BA39" s="310">
        <v>0</v>
      </c>
      <c r="BB39" s="310">
        <v>0</v>
      </c>
      <c r="BC39" s="310">
        <v>0</v>
      </c>
      <c r="BD39" s="310">
        <v>0</v>
      </c>
      <c r="BE39" s="310">
        <v>0</v>
      </c>
      <c r="BF39" s="310">
        <v>0</v>
      </c>
      <c r="BG39" s="310">
        <v>0</v>
      </c>
      <c r="BH39" s="310">
        <v>0</v>
      </c>
      <c r="BI39" s="310">
        <v>0</v>
      </c>
      <c r="BJ39" s="310">
        <v>0</v>
      </c>
      <c r="BK39" s="310">
        <v>0</v>
      </c>
      <c r="BL39" s="310">
        <v>0</v>
      </c>
      <c r="BM39" s="310">
        <v>0</v>
      </c>
      <c r="BN39" s="310">
        <v>0</v>
      </c>
      <c r="BO39" s="310">
        <v>0</v>
      </c>
      <c r="BP39" s="310">
        <v>0</v>
      </c>
      <c r="BQ39" s="310">
        <v>0</v>
      </c>
      <c r="BR39" s="310">
        <v>0</v>
      </c>
      <c r="BU39" s="307" t="s">
        <v>654</v>
      </c>
      <c r="BV39" s="310">
        <v>0</v>
      </c>
      <c r="BW39" s="310">
        <v>0</v>
      </c>
      <c r="BX39" s="310">
        <v>0</v>
      </c>
      <c r="BY39" s="310">
        <v>0</v>
      </c>
      <c r="BZ39" s="310">
        <v>0</v>
      </c>
      <c r="CA39" s="310">
        <v>0</v>
      </c>
      <c r="CB39" s="310">
        <v>0</v>
      </c>
      <c r="CC39" s="310">
        <v>0</v>
      </c>
      <c r="CD39" s="310">
        <v>0</v>
      </c>
      <c r="CE39" s="310">
        <v>0</v>
      </c>
      <c r="CF39" s="310">
        <v>0</v>
      </c>
      <c r="CG39" s="310">
        <v>0</v>
      </c>
      <c r="CH39" s="310">
        <v>0</v>
      </c>
      <c r="CI39" s="310">
        <v>0</v>
      </c>
      <c r="CJ39" s="310">
        <v>0</v>
      </c>
      <c r="CK39" s="310">
        <v>0</v>
      </c>
      <c r="CL39" s="310">
        <v>0</v>
      </c>
      <c r="CM39" s="310">
        <v>0</v>
      </c>
      <c r="CN39" s="310">
        <v>0</v>
      </c>
      <c r="CO39" s="310">
        <v>0</v>
      </c>
      <c r="CP39" s="310">
        <v>0</v>
      </c>
      <c r="CQ39" s="310">
        <v>0</v>
      </c>
      <c r="CR39" s="310">
        <v>0</v>
      </c>
      <c r="CS39" s="310">
        <v>0</v>
      </c>
      <c r="CT39" s="310">
        <v>0</v>
      </c>
      <c r="CU39" s="310">
        <v>0</v>
      </c>
      <c r="CV39" s="310">
        <v>0</v>
      </c>
      <c r="CW39" s="310">
        <v>0</v>
      </c>
      <c r="CX39" s="310">
        <v>0</v>
      </c>
      <c r="CY39" s="310">
        <v>0</v>
      </c>
      <c r="CZ39" s="310">
        <v>0</v>
      </c>
      <c r="DA39" s="310">
        <v>0</v>
      </c>
      <c r="DB39" s="310">
        <v>0</v>
      </c>
      <c r="DC39" s="310">
        <v>0</v>
      </c>
      <c r="DD39" s="310">
        <v>0</v>
      </c>
      <c r="DE39" s="310">
        <v>0</v>
      </c>
      <c r="DF39" s="310">
        <v>0</v>
      </c>
      <c r="DG39" s="310">
        <v>0</v>
      </c>
      <c r="DH39" s="310">
        <v>0</v>
      </c>
      <c r="DI39" s="310">
        <v>0</v>
      </c>
    </row>
    <row r="40" spans="1:113" x14ac:dyDescent="0.2">
      <c r="A40" s="307" t="s">
        <v>651</v>
      </c>
      <c r="B40" s="310">
        <v>0</v>
      </c>
      <c r="AD40" s="307" t="s">
        <v>692</v>
      </c>
      <c r="AE40" s="310">
        <v>0</v>
      </c>
      <c r="AF40" s="310">
        <v>0</v>
      </c>
      <c r="AG40" s="310">
        <v>0</v>
      </c>
      <c r="AH40" s="310">
        <v>0</v>
      </c>
      <c r="AI40" s="310">
        <v>0</v>
      </c>
      <c r="AJ40" s="310">
        <v>0</v>
      </c>
      <c r="AK40" s="310">
        <v>0</v>
      </c>
      <c r="AL40" s="310">
        <v>0</v>
      </c>
      <c r="AM40" s="310">
        <v>0</v>
      </c>
      <c r="AN40" s="310">
        <v>0</v>
      </c>
      <c r="AO40" s="310">
        <v>0</v>
      </c>
      <c r="AP40" s="310">
        <v>0</v>
      </c>
      <c r="AQ40" s="310">
        <v>0</v>
      </c>
      <c r="AR40" s="310">
        <v>0</v>
      </c>
      <c r="AS40" s="310">
        <v>0</v>
      </c>
      <c r="AT40" s="310">
        <v>0</v>
      </c>
      <c r="AU40" s="310">
        <v>0</v>
      </c>
      <c r="AV40" s="310">
        <v>0</v>
      </c>
      <c r="AW40" s="310">
        <v>0</v>
      </c>
      <c r="AX40" s="310">
        <v>0</v>
      </c>
      <c r="AY40" s="310">
        <v>0</v>
      </c>
      <c r="AZ40" s="310">
        <v>0</v>
      </c>
      <c r="BA40" s="310">
        <v>0</v>
      </c>
      <c r="BB40" s="310">
        <v>0</v>
      </c>
      <c r="BC40" s="310">
        <v>0</v>
      </c>
      <c r="BD40" s="310">
        <v>0</v>
      </c>
      <c r="BE40" s="310">
        <v>0</v>
      </c>
      <c r="BF40" s="310">
        <v>0</v>
      </c>
      <c r="BG40" s="310">
        <v>0</v>
      </c>
      <c r="BH40" s="310">
        <v>0</v>
      </c>
      <c r="BI40" s="310">
        <v>0</v>
      </c>
      <c r="BJ40" s="310">
        <v>0</v>
      </c>
      <c r="BK40" s="310">
        <v>0</v>
      </c>
      <c r="BL40" s="310">
        <v>0</v>
      </c>
      <c r="BM40" s="310">
        <v>0</v>
      </c>
      <c r="BN40" s="310">
        <v>0</v>
      </c>
      <c r="BO40" s="310">
        <v>0</v>
      </c>
      <c r="BP40" s="310">
        <v>0</v>
      </c>
      <c r="BQ40" s="310">
        <v>0</v>
      </c>
      <c r="BR40" s="310">
        <v>0</v>
      </c>
      <c r="BU40" s="307" t="s">
        <v>692</v>
      </c>
      <c r="BV40" s="310">
        <v>0</v>
      </c>
      <c r="BW40" s="310">
        <v>0</v>
      </c>
      <c r="BX40" s="310">
        <v>0</v>
      </c>
      <c r="BY40" s="310">
        <v>0</v>
      </c>
      <c r="BZ40" s="310">
        <v>0</v>
      </c>
      <c r="CA40" s="310">
        <v>0</v>
      </c>
      <c r="CB40" s="310">
        <v>0</v>
      </c>
      <c r="CC40" s="310">
        <v>0</v>
      </c>
      <c r="CD40" s="310">
        <v>0</v>
      </c>
      <c r="CE40" s="310">
        <v>0</v>
      </c>
      <c r="CF40" s="310">
        <v>0</v>
      </c>
      <c r="CG40" s="310">
        <v>0</v>
      </c>
      <c r="CH40" s="310">
        <v>0</v>
      </c>
      <c r="CI40" s="310">
        <v>0</v>
      </c>
      <c r="CJ40" s="310">
        <v>0</v>
      </c>
      <c r="CK40" s="310">
        <v>0</v>
      </c>
      <c r="CL40" s="310">
        <v>0</v>
      </c>
      <c r="CM40" s="310">
        <v>0</v>
      </c>
      <c r="CN40" s="310">
        <v>0</v>
      </c>
      <c r="CO40" s="310">
        <v>0</v>
      </c>
      <c r="CP40" s="310">
        <v>0</v>
      </c>
      <c r="CQ40" s="310">
        <v>0</v>
      </c>
      <c r="CR40" s="310">
        <v>0</v>
      </c>
      <c r="CS40" s="310">
        <v>0</v>
      </c>
      <c r="CT40" s="310">
        <v>0</v>
      </c>
      <c r="CU40" s="310">
        <v>0</v>
      </c>
      <c r="CV40" s="310">
        <v>0</v>
      </c>
      <c r="CW40" s="310">
        <v>0</v>
      </c>
      <c r="CX40" s="310">
        <v>0</v>
      </c>
      <c r="CY40" s="310">
        <v>0</v>
      </c>
      <c r="CZ40" s="310">
        <v>0</v>
      </c>
      <c r="DA40" s="310">
        <v>0</v>
      </c>
      <c r="DB40" s="310">
        <v>0</v>
      </c>
      <c r="DC40" s="310">
        <v>0</v>
      </c>
      <c r="DD40" s="310">
        <v>0</v>
      </c>
      <c r="DE40" s="310">
        <v>0</v>
      </c>
      <c r="DF40" s="310">
        <v>0</v>
      </c>
      <c r="DG40" s="310">
        <v>0</v>
      </c>
      <c r="DH40" s="310">
        <v>0</v>
      </c>
      <c r="DI40" s="310">
        <v>0</v>
      </c>
    </row>
    <row r="41" spans="1:113" x14ac:dyDescent="0.2">
      <c r="A41" s="307" t="s">
        <v>652</v>
      </c>
      <c r="B41" s="310">
        <v>0</v>
      </c>
      <c r="AD41" s="307" t="s">
        <v>693</v>
      </c>
      <c r="AE41" s="310">
        <v>0</v>
      </c>
      <c r="AF41" s="310">
        <v>0</v>
      </c>
      <c r="AG41" s="310">
        <v>0</v>
      </c>
      <c r="AH41" s="310">
        <v>0</v>
      </c>
      <c r="AI41" s="310">
        <v>0</v>
      </c>
      <c r="AJ41" s="310">
        <v>0</v>
      </c>
      <c r="AK41" s="310">
        <v>0</v>
      </c>
      <c r="AL41" s="310">
        <v>0</v>
      </c>
      <c r="AM41" s="310">
        <v>0</v>
      </c>
      <c r="AN41" s="310">
        <v>0</v>
      </c>
      <c r="AO41" s="310">
        <v>0</v>
      </c>
      <c r="AP41" s="310">
        <v>0</v>
      </c>
      <c r="AQ41" s="310">
        <v>0</v>
      </c>
      <c r="AR41" s="310">
        <v>0</v>
      </c>
      <c r="AS41" s="310">
        <v>0</v>
      </c>
      <c r="AT41" s="310">
        <v>0</v>
      </c>
      <c r="AU41" s="310">
        <v>0</v>
      </c>
      <c r="AV41" s="310">
        <v>0</v>
      </c>
      <c r="AW41" s="310">
        <v>0</v>
      </c>
      <c r="AX41" s="310">
        <v>0</v>
      </c>
      <c r="AY41" s="310">
        <v>0</v>
      </c>
      <c r="AZ41" s="310">
        <v>0</v>
      </c>
      <c r="BA41" s="310">
        <v>0</v>
      </c>
      <c r="BB41" s="310">
        <v>0</v>
      </c>
      <c r="BC41" s="310">
        <v>0</v>
      </c>
      <c r="BD41" s="310">
        <v>0</v>
      </c>
      <c r="BE41" s="310">
        <v>0</v>
      </c>
      <c r="BF41" s="310">
        <v>0</v>
      </c>
      <c r="BG41" s="310">
        <v>0</v>
      </c>
      <c r="BH41" s="310">
        <v>0</v>
      </c>
      <c r="BI41" s="310">
        <v>0</v>
      </c>
      <c r="BJ41" s="310">
        <v>0</v>
      </c>
      <c r="BK41" s="310">
        <v>0</v>
      </c>
      <c r="BL41" s="310">
        <v>0</v>
      </c>
      <c r="BM41" s="310">
        <v>0</v>
      </c>
      <c r="BN41" s="310">
        <v>0</v>
      </c>
      <c r="BO41" s="310">
        <v>0</v>
      </c>
      <c r="BP41" s="310">
        <v>0</v>
      </c>
      <c r="BQ41" s="310">
        <v>0</v>
      </c>
      <c r="BR41" s="310">
        <v>0</v>
      </c>
      <c r="BU41" s="307" t="s">
        <v>693</v>
      </c>
      <c r="BV41" s="310">
        <v>0</v>
      </c>
      <c r="BW41" s="310">
        <v>0</v>
      </c>
      <c r="BX41" s="310">
        <v>0</v>
      </c>
      <c r="BY41" s="310">
        <v>0</v>
      </c>
      <c r="BZ41" s="310">
        <v>0</v>
      </c>
      <c r="CA41" s="310">
        <v>0</v>
      </c>
      <c r="CB41" s="310">
        <v>0</v>
      </c>
      <c r="CC41" s="310">
        <v>0</v>
      </c>
      <c r="CD41" s="310">
        <v>0</v>
      </c>
      <c r="CE41" s="310">
        <v>0</v>
      </c>
      <c r="CF41" s="310">
        <v>0</v>
      </c>
      <c r="CG41" s="310">
        <v>0</v>
      </c>
      <c r="CH41" s="310">
        <v>0</v>
      </c>
      <c r="CI41" s="310">
        <v>0</v>
      </c>
      <c r="CJ41" s="310">
        <v>0</v>
      </c>
      <c r="CK41" s="310">
        <v>0</v>
      </c>
      <c r="CL41" s="310">
        <v>0</v>
      </c>
      <c r="CM41" s="310">
        <v>0</v>
      </c>
      <c r="CN41" s="310">
        <v>0</v>
      </c>
      <c r="CO41" s="310">
        <v>0</v>
      </c>
      <c r="CP41" s="310">
        <v>0</v>
      </c>
      <c r="CQ41" s="310">
        <v>0</v>
      </c>
      <c r="CR41" s="310">
        <v>0</v>
      </c>
      <c r="CS41" s="310">
        <v>0</v>
      </c>
      <c r="CT41" s="310">
        <v>0</v>
      </c>
      <c r="CU41" s="310">
        <v>0</v>
      </c>
      <c r="CV41" s="310">
        <v>0</v>
      </c>
      <c r="CW41" s="310">
        <v>0</v>
      </c>
      <c r="CX41" s="310">
        <v>0</v>
      </c>
      <c r="CY41" s="310">
        <v>0</v>
      </c>
      <c r="CZ41" s="310">
        <v>0</v>
      </c>
      <c r="DA41" s="310">
        <v>0</v>
      </c>
      <c r="DB41" s="310">
        <v>0</v>
      </c>
      <c r="DC41" s="310">
        <v>0</v>
      </c>
      <c r="DD41" s="310">
        <v>0</v>
      </c>
      <c r="DE41" s="310">
        <v>0</v>
      </c>
      <c r="DF41" s="310">
        <v>0</v>
      </c>
      <c r="DG41" s="310">
        <v>0</v>
      </c>
      <c r="DH41" s="310">
        <v>0</v>
      </c>
      <c r="DI41" s="310">
        <v>0</v>
      </c>
    </row>
    <row r="42" spans="1:113" x14ac:dyDescent="0.2">
      <c r="A42" s="307" t="s">
        <v>653</v>
      </c>
      <c r="B42" s="310">
        <v>0</v>
      </c>
      <c r="AE42" s="432" t="s">
        <v>671</v>
      </c>
      <c r="AF42" s="433"/>
      <c r="AG42" s="433"/>
      <c r="AH42" s="433"/>
      <c r="AI42" s="433"/>
      <c r="AJ42" s="433"/>
      <c r="AK42" s="433"/>
      <c r="AL42" s="433"/>
      <c r="AM42" s="433"/>
      <c r="AN42" s="433"/>
      <c r="AO42" s="433"/>
      <c r="AP42" s="433"/>
      <c r="AQ42" s="433"/>
      <c r="AR42" s="433"/>
      <c r="AS42" s="433"/>
      <c r="AT42" s="433"/>
      <c r="AU42" s="433"/>
      <c r="AV42" s="433"/>
      <c r="AW42" s="433"/>
      <c r="AX42" s="433"/>
      <c r="AY42" s="433"/>
      <c r="AZ42" s="433"/>
      <c r="BA42" s="433"/>
      <c r="BB42" s="433"/>
      <c r="BC42" s="433"/>
      <c r="BD42" s="433"/>
      <c r="BE42" s="433"/>
      <c r="BF42" s="433"/>
      <c r="BG42" s="433"/>
      <c r="BH42" s="433"/>
      <c r="BI42" s="433"/>
      <c r="BJ42" s="433"/>
      <c r="BK42" s="433"/>
      <c r="BL42" s="433"/>
      <c r="BM42" s="433"/>
      <c r="BN42" s="433"/>
      <c r="BO42" s="433"/>
      <c r="BP42" s="433"/>
      <c r="BQ42" s="433"/>
      <c r="BR42" s="433"/>
      <c r="BV42" s="432" t="s">
        <v>672</v>
      </c>
      <c r="BW42" s="433"/>
      <c r="BX42" s="433"/>
      <c r="BY42" s="433"/>
      <c r="BZ42" s="433"/>
      <c r="CA42" s="433"/>
      <c r="CB42" s="433"/>
      <c r="CC42" s="433"/>
      <c r="CD42" s="433"/>
      <c r="CE42" s="433"/>
      <c r="CF42" s="433"/>
      <c r="CG42" s="433"/>
      <c r="CH42" s="433"/>
      <c r="CI42" s="433"/>
      <c r="CJ42" s="433"/>
      <c r="CK42" s="433"/>
      <c r="CL42" s="433"/>
      <c r="CM42" s="433"/>
      <c r="CN42" s="433"/>
      <c r="CO42" s="433"/>
      <c r="CP42" s="433"/>
      <c r="CQ42" s="433"/>
      <c r="CR42" s="433"/>
      <c r="CS42" s="433"/>
      <c r="CT42" s="433"/>
      <c r="CU42" s="433"/>
      <c r="CV42" s="433"/>
      <c r="CW42" s="433"/>
      <c r="CX42" s="433"/>
      <c r="CY42" s="433"/>
      <c r="CZ42" s="433"/>
      <c r="DA42" s="433"/>
      <c r="DB42" s="433"/>
      <c r="DC42" s="433"/>
      <c r="DD42" s="433"/>
      <c r="DE42" s="433"/>
      <c r="DF42" s="433"/>
      <c r="DG42" s="433"/>
      <c r="DH42" s="433"/>
      <c r="DI42" s="433"/>
    </row>
    <row r="43" spans="1:113" x14ac:dyDescent="0.2">
      <c r="A43" s="307" t="s">
        <v>684</v>
      </c>
      <c r="B43" s="310">
        <v>1</v>
      </c>
    </row>
    <row r="44" spans="1:113" x14ac:dyDescent="0.2">
      <c r="A44" s="307" t="s">
        <v>685</v>
      </c>
      <c r="B44" s="310">
        <v>1</v>
      </c>
    </row>
    <row r="45" spans="1:113" ht="185" x14ac:dyDescent="0.2">
      <c r="A45" s="307" t="s">
        <v>686</v>
      </c>
      <c r="B45" s="310">
        <v>1</v>
      </c>
      <c r="AE45" s="308" t="s">
        <v>673</v>
      </c>
      <c r="AF45" s="308" t="s">
        <v>641</v>
      </c>
      <c r="AG45" s="308" t="s">
        <v>642</v>
      </c>
      <c r="AH45" s="308" t="s">
        <v>674</v>
      </c>
      <c r="AI45" s="308" t="s">
        <v>675</v>
      </c>
      <c r="AJ45" s="308" t="s">
        <v>676</v>
      </c>
      <c r="AK45" s="308" t="s">
        <v>342</v>
      </c>
      <c r="AL45" s="308" t="s">
        <v>448</v>
      </c>
      <c r="AM45" s="308" t="s">
        <v>643</v>
      </c>
      <c r="AN45" s="308" t="s">
        <v>462</v>
      </c>
      <c r="AO45" s="308" t="s">
        <v>677</v>
      </c>
      <c r="AP45" s="308" t="s">
        <v>678</v>
      </c>
      <c r="AQ45" s="308" t="s">
        <v>644</v>
      </c>
      <c r="AR45" s="308" t="s">
        <v>645</v>
      </c>
      <c r="AS45" s="308" t="s">
        <v>646</v>
      </c>
      <c r="AT45" s="308" t="s">
        <v>647</v>
      </c>
      <c r="AU45" s="308" t="s">
        <v>648</v>
      </c>
      <c r="AV45" s="308" t="s">
        <v>649</v>
      </c>
      <c r="AW45" s="308" t="s">
        <v>463</v>
      </c>
      <c r="AX45" s="308" t="s">
        <v>343</v>
      </c>
      <c r="AY45" s="308" t="s">
        <v>679</v>
      </c>
      <c r="AZ45" s="308" t="s">
        <v>650</v>
      </c>
      <c r="BA45" s="308" t="s">
        <v>680</v>
      </c>
      <c r="BB45" s="308" t="s">
        <v>681</v>
      </c>
      <c r="BC45" s="308" t="s">
        <v>682</v>
      </c>
      <c r="BD45" s="308" t="s">
        <v>683</v>
      </c>
      <c r="BE45" s="308" t="s">
        <v>651</v>
      </c>
      <c r="BF45" s="308" t="s">
        <v>652</v>
      </c>
      <c r="BG45" s="308" t="s">
        <v>653</v>
      </c>
      <c r="BH45" s="308" t="s">
        <v>684</v>
      </c>
      <c r="BI45" s="308" t="s">
        <v>685</v>
      </c>
      <c r="BJ45" s="308" t="s">
        <v>686</v>
      </c>
      <c r="BK45" s="308" t="s">
        <v>687</v>
      </c>
      <c r="BL45" s="308" t="s">
        <v>688</v>
      </c>
      <c r="BM45" s="308" t="s">
        <v>689</v>
      </c>
      <c r="BN45" s="308" t="s">
        <v>690</v>
      </c>
      <c r="BO45" s="308" t="s">
        <v>691</v>
      </c>
      <c r="BP45" s="308" t="s">
        <v>654</v>
      </c>
      <c r="BQ45" s="308" t="s">
        <v>692</v>
      </c>
      <c r="BR45" s="308" t="s">
        <v>693</v>
      </c>
    </row>
    <row r="46" spans="1:113" x14ac:dyDescent="0.2">
      <c r="A46" s="307" t="s">
        <v>706</v>
      </c>
      <c r="B46" s="310">
        <v>1</v>
      </c>
      <c r="AD46" s="307" t="s">
        <v>673</v>
      </c>
      <c r="AE46" s="310">
        <v>0</v>
      </c>
      <c r="AF46" s="310">
        <v>0</v>
      </c>
      <c r="AG46" s="310">
        <v>45017.590801780199</v>
      </c>
      <c r="AH46" s="310">
        <v>0</v>
      </c>
      <c r="AI46" s="310">
        <v>0</v>
      </c>
      <c r="AJ46" s="310">
        <v>0</v>
      </c>
      <c r="AK46" s="310">
        <v>0</v>
      </c>
      <c r="AL46" s="310">
        <v>0</v>
      </c>
      <c r="AM46" s="310">
        <v>0</v>
      </c>
      <c r="AN46" s="310">
        <v>0</v>
      </c>
      <c r="AO46" s="310">
        <v>0</v>
      </c>
      <c r="AP46" s="310">
        <v>0</v>
      </c>
      <c r="AQ46" s="310">
        <v>0</v>
      </c>
      <c r="AR46" s="310">
        <v>0</v>
      </c>
      <c r="AS46" s="310">
        <v>0</v>
      </c>
      <c r="AT46" s="310">
        <v>0</v>
      </c>
      <c r="AU46" s="310">
        <v>0</v>
      </c>
      <c r="AV46" s="310">
        <v>0</v>
      </c>
      <c r="AW46" s="310">
        <v>0</v>
      </c>
      <c r="AX46" s="310">
        <v>0</v>
      </c>
      <c r="AY46" s="310">
        <v>0</v>
      </c>
      <c r="AZ46" s="310">
        <v>0</v>
      </c>
      <c r="BA46" s="310">
        <v>0</v>
      </c>
      <c r="BB46" s="310">
        <v>0</v>
      </c>
      <c r="BC46" s="310">
        <v>0</v>
      </c>
      <c r="BD46" s="310">
        <v>0</v>
      </c>
      <c r="BE46" s="310">
        <v>0</v>
      </c>
      <c r="BF46" s="310">
        <v>0</v>
      </c>
      <c r="BG46" s="310">
        <v>0</v>
      </c>
      <c r="BH46" s="310">
        <v>0</v>
      </c>
      <c r="BI46" s="310">
        <v>0</v>
      </c>
      <c r="BJ46" s="310">
        <v>0</v>
      </c>
      <c r="BK46" s="310">
        <v>0</v>
      </c>
      <c r="BL46" s="310">
        <v>0</v>
      </c>
      <c r="BM46" s="310">
        <v>0</v>
      </c>
      <c r="BN46" s="310">
        <v>0</v>
      </c>
      <c r="BO46" s="310">
        <v>0</v>
      </c>
      <c r="BP46" s="310">
        <v>0</v>
      </c>
      <c r="BQ46" s="310">
        <v>0</v>
      </c>
      <c r="BR46" s="310">
        <v>0</v>
      </c>
    </row>
    <row r="47" spans="1:113" x14ac:dyDescent="0.2">
      <c r="A47" s="307" t="s">
        <v>707</v>
      </c>
      <c r="B47" s="310">
        <v>1</v>
      </c>
      <c r="AD47" s="307" t="s">
        <v>641</v>
      </c>
      <c r="AE47" s="310">
        <v>0</v>
      </c>
      <c r="AF47" s="310">
        <v>0</v>
      </c>
      <c r="AG47" s="310">
        <v>0</v>
      </c>
      <c r="AH47" s="310">
        <v>0</v>
      </c>
      <c r="AI47" s="310">
        <v>0</v>
      </c>
      <c r="AJ47" s="310">
        <v>0</v>
      </c>
      <c r="AK47" s="310">
        <v>0</v>
      </c>
      <c r="AL47" s="310">
        <v>0</v>
      </c>
      <c r="AM47" s="310">
        <v>0</v>
      </c>
      <c r="AN47" s="310">
        <v>0</v>
      </c>
      <c r="AO47" s="310">
        <v>0</v>
      </c>
      <c r="AP47" s="310">
        <v>0</v>
      </c>
      <c r="AQ47" s="310">
        <v>0</v>
      </c>
      <c r="AR47" s="310">
        <v>0</v>
      </c>
      <c r="AS47" s="310">
        <v>0</v>
      </c>
      <c r="AT47" s="310">
        <v>0</v>
      </c>
      <c r="AU47" s="310">
        <v>0</v>
      </c>
      <c r="AV47" s="310">
        <v>0</v>
      </c>
      <c r="AW47" s="310">
        <v>0</v>
      </c>
      <c r="AX47" s="310">
        <v>0</v>
      </c>
      <c r="AY47" s="310">
        <v>0</v>
      </c>
      <c r="AZ47" s="310">
        <v>0</v>
      </c>
      <c r="BA47" s="310">
        <v>0</v>
      </c>
      <c r="BB47" s="310">
        <v>0</v>
      </c>
      <c r="BC47" s="310">
        <v>0</v>
      </c>
      <c r="BD47" s="310">
        <v>0</v>
      </c>
      <c r="BE47" s="310">
        <v>0</v>
      </c>
      <c r="BF47" s="310">
        <v>0</v>
      </c>
      <c r="BG47" s="310">
        <v>0</v>
      </c>
      <c r="BH47" s="310">
        <v>0</v>
      </c>
      <c r="BI47" s="310">
        <v>0</v>
      </c>
      <c r="BJ47" s="310">
        <v>0</v>
      </c>
      <c r="BK47" s="310">
        <v>0</v>
      </c>
      <c r="BL47" s="310">
        <v>0</v>
      </c>
      <c r="BM47" s="310">
        <v>0</v>
      </c>
      <c r="BN47" s="310">
        <v>0</v>
      </c>
      <c r="BO47" s="310">
        <v>0</v>
      </c>
      <c r="BP47" s="310">
        <v>0</v>
      </c>
      <c r="BQ47" s="310">
        <v>0</v>
      </c>
      <c r="BR47" s="310">
        <v>0</v>
      </c>
    </row>
    <row r="48" spans="1:113" x14ac:dyDescent="0.2">
      <c r="A48" s="307" t="s">
        <v>708</v>
      </c>
      <c r="B48" s="310">
        <v>1</v>
      </c>
      <c r="AD48" s="307" t="s">
        <v>642</v>
      </c>
      <c r="AE48" s="310">
        <v>0</v>
      </c>
      <c r="AF48" s="310">
        <v>0</v>
      </c>
      <c r="AG48" s="310">
        <v>0</v>
      </c>
      <c r="AH48" s="310">
        <v>0</v>
      </c>
      <c r="AI48" s="310">
        <v>0</v>
      </c>
      <c r="AJ48" s="310">
        <v>0</v>
      </c>
      <c r="AK48" s="310">
        <v>0</v>
      </c>
      <c r="AL48" s="310">
        <v>0</v>
      </c>
      <c r="AM48" s="310">
        <v>0</v>
      </c>
      <c r="AN48" s="310">
        <v>0</v>
      </c>
      <c r="AO48" s="310">
        <v>0</v>
      </c>
      <c r="AP48" s="310">
        <v>0</v>
      </c>
      <c r="AQ48" s="310">
        <v>0</v>
      </c>
      <c r="AR48" s="310">
        <v>0</v>
      </c>
      <c r="AS48" s="310">
        <v>0</v>
      </c>
      <c r="AT48" s="310">
        <v>0</v>
      </c>
      <c r="AU48" s="310">
        <v>0</v>
      </c>
      <c r="AV48" s="310">
        <v>0</v>
      </c>
      <c r="AW48" s="310">
        <v>0</v>
      </c>
      <c r="AX48" s="310">
        <v>0</v>
      </c>
      <c r="AY48" s="310">
        <v>0</v>
      </c>
      <c r="AZ48" s="310">
        <v>0</v>
      </c>
      <c r="BA48" s="310">
        <v>0</v>
      </c>
      <c r="BB48" s="310">
        <v>0</v>
      </c>
      <c r="BC48" s="310">
        <v>0</v>
      </c>
      <c r="BD48" s="310">
        <v>0</v>
      </c>
      <c r="BE48" s="310">
        <v>0</v>
      </c>
      <c r="BF48" s="310">
        <v>0</v>
      </c>
      <c r="BG48" s="310">
        <v>0</v>
      </c>
      <c r="BH48" s="310">
        <v>0</v>
      </c>
      <c r="BI48" s="310">
        <v>0</v>
      </c>
      <c r="BJ48" s="310">
        <v>0</v>
      </c>
      <c r="BK48" s="310">
        <v>0</v>
      </c>
      <c r="BL48" s="310">
        <v>0</v>
      </c>
      <c r="BM48" s="310">
        <v>0</v>
      </c>
      <c r="BN48" s="310">
        <v>0</v>
      </c>
      <c r="BO48" s="310">
        <v>0</v>
      </c>
      <c r="BP48" s="310">
        <v>0</v>
      </c>
      <c r="BQ48" s="310">
        <v>0</v>
      </c>
      <c r="BR48" s="310">
        <v>0</v>
      </c>
    </row>
    <row r="49" spans="1:70" x14ac:dyDescent="0.2">
      <c r="A49" s="307" t="s">
        <v>687</v>
      </c>
      <c r="B49" s="310">
        <v>1</v>
      </c>
      <c r="AD49" s="307" t="s">
        <v>674</v>
      </c>
      <c r="AE49" s="310">
        <v>0</v>
      </c>
      <c r="AF49" s="310">
        <v>0</v>
      </c>
      <c r="AG49" s="310">
        <v>66251.174567632304</v>
      </c>
      <c r="AH49" s="310">
        <v>0</v>
      </c>
      <c r="AI49" s="310">
        <v>0</v>
      </c>
      <c r="AJ49" s="310">
        <v>0</v>
      </c>
      <c r="AK49" s="310">
        <v>0</v>
      </c>
      <c r="AL49" s="310">
        <v>0</v>
      </c>
      <c r="AM49" s="310">
        <v>0</v>
      </c>
      <c r="AN49" s="310">
        <v>0</v>
      </c>
      <c r="AO49" s="310">
        <v>0</v>
      </c>
      <c r="AP49" s="310">
        <v>0</v>
      </c>
      <c r="AQ49" s="310">
        <v>0</v>
      </c>
      <c r="AR49" s="310">
        <v>0</v>
      </c>
      <c r="AS49" s="310">
        <v>0</v>
      </c>
      <c r="AT49" s="310">
        <v>0</v>
      </c>
      <c r="AU49" s="310">
        <v>0</v>
      </c>
      <c r="AV49" s="310">
        <v>0</v>
      </c>
      <c r="AW49" s="310">
        <v>0</v>
      </c>
      <c r="AX49" s="310">
        <v>0</v>
      </c>
      <c r="AY49" s="310">
        <v>0</v>
      </c>
      <c r="AZ49" s="310">
        <v>0</v>
      </c>
      <c r="BA49" s="310">
        <v>0</v>
      </c>
      <c r="BB49" s="310">
        <v>0</v>
      </c>
      <c r="BC49" s="310">
        <v>0</v>
      </c>
      <c r="BD49" s="310">
        <v>0</v>
      </c>
      <c r="BE49" s="310">
        <v>0</v>
      </c>
      <c r="BF49" s="310">
        <v>0</v>
      </c>
      <c r="BG49" s="310">
        <v>0</v>
      </c>
      <c r="BH49" s="310">
        <v>0</v>
      </c>
      <c r="BI49" s="310">
        <v>0</v>
      </c>
      <c r="BJ49" s="310">
        <v>0</v>
      </c>
      <c r="BK49" s="310">
        <v>0</v>
      </c>
      <c r="BL49" s="310">
        <v>0</v>
      </c>
      <c r="BM49" s="310">
        <v>0</v>
      </c>
      <c r="BN49" s="310">
        <v>0</v>
      </c>
      <c r="BO49" s="310">
        <v>0</v>
      </c>
      <c r="BP49" s="310">
        <v>0</v>
      </c>
      <c r="BQ49" s="310">
        <v>0</v>
      </c>
      <c r="BR49" s="310">
        <v>0</v>
      </c>
    </row>
    <row r="50" spans="1:70" x14ac:dyDescent="0.2">
      <c r="A50" s="307" t="s">
        <v>688</v>
      </c>
      <c r="B50" s="310">
        <v>1</v>
      </c>
      <c r="AD50" s="307" t="s">
        <v>675</v>
      </c>
      <c r="AE50" s="310">
        <v>0</v>
      </c>
      <c r="AF50" s="310">
        <v>0</v>
      </c>
      <c r="AG50" s="310">
        <v>0</v>
      </c>
      <c r="AH50" s="310">
        <v>0</v>
      </c>
      <c r="AI50" s="310">
        <v>0</v>
      </c>
      <c r="AJ50" s="310">
        <v>0</v>
      </c>
      <c r="AK50" s="310">
        <v>0</v>
      </c>
      <c r="AL50" s="310">
        <v>0</v>
      </c>
      <c r="AM50" s="310">
        <v>0</v>
      </c>
      <c r="AN50" s="310">
        <v>0</v>
      </c>
      <c r="AO50" s="310">
        <v>0</v>
      </c>
      <c r="AP50" s="310">
        <v>0</v>
      </c>
      <c r="AQ50" s="310">
        <v>0</v>
      </c>
      <c r="AR50" s="310">
        <v>0</v>
      </c>
      <c r="AS50" s="310">
        <v>0</v>
      </c>
      <c r="AT50" s="310">
        <v>0</v>
      </c>
      <c r="AU50" s="310">
        <v>0</v>
      </c>
      <c r="AV50" s="310">
        <v>0</v>
      </c>
      <c r="AW50" s="310">
        <v>0</v>
      </c>
      <c r="AX50" s="310">
        <v>0</v>
      </c>
      <c r="AY50" s="310">
        <v>0</v>
      </c>
      <c r="AZ50" s="310">
        <v>0</v>
      </c>
      <c r="BA50" s="310">
        <v>0</v>
      </c>
      <c r="BB50" s="310">
        <v>0</v>
      </c>
      <c r="BC50" s="310">
        <v>0</v>
      </c>
      <c r="BD50" s="310">
        <v>0</v>
      </c>
      <c r="BE50" s="310">
        <v>0</v>
      </c>
      <c r="BF50" s="310">
        <v>0</v>
      </c>
      <c r="BG50" s="310">
        <v>91837.795018258301</v>
      </c>
      <c r="BH50" s="310">
        <v>0</v>
      </c>
      <c r="BI50" s="310">
        <v>0</v>
      </c>
      <c r="BJ50" s="310">
        <v>0</v>
      </c>
      <c r="BK50" s="310">
        <v>0</v>
      </c>
      <c r="BL50" s="310">
        <v>0</v>
      </c>
      <c r="BM50" s="310">
        <v>0</v>
      </c>
      <c r="BN50" s="310">
        <v>0</v>
      </c>
      <c r="BO50" s="310">
        <v>0</v>
      </c>
      <c r="BP50" s="310">
        <v>0</v>
      </c>
      <c r="BQ50" s="310">
        <v>0</v>
      </c>
      <c r="BR50" s="310">
        <v>0</v>
      </c>
    </row>
    <row r="51" spans="1:70" x14ac:dyDescent="0.2">
      <c r="A51" s="307" t="s">
        <v>689</v>
      </c>
      <c r="B51" s="310">
        <v>1</v>
      </c>
      <c r="AD51" s="307" t="s">
        <v>676</v>
      </c>
      <c r="AE51" s="310">
        <v>0</v>
      </c>
      <c r="AF51" s="310">
        <v>0</v>
      </c>
      <c r="AG51" s="310">
        <v>0</v>
      </c>
      <c r="AH51" s="310">
        <v>0</v>
      </c>
      <c r="AI51" s="310">
        <v>0</v>
      </c>
      <c r="AJ51" s="310">
        <v>0</v>
      </c>
      <c r="AK51" s="310">
        <v>0</v>
      </c>
      <c r="AL51" s="310">
        <v>0</v>
      </c>
      <c r="AM51" s="310">
        <v>0</v>
      </c>
      <c r="AN51" s="310">
        <v>0</v>
      </c>
      <c r="AO51" s="310">
        <v>0</v>
      </c>
      <c r="AP51" s="310">
        <v>0</v>
      </c>
      <c r="AQ51" s="310">
        <v>0</v>
      </c>
      <c r="AR51" s="310">
        <v>0</v>
      </c>
      <c r="AS51" s="310">
        <v>0</v>
      </c>
      <c r="AT51" s="310">
        <v>0</v>
      </c>
      <c r="AU51" s="310">
        <v>0</v>
      </c>
      <c r="AV51" s="310">
        <v>0</v>
      </c>
      <c r="AW51" s="310">
        <v>0</v>
      </c>
      <c r="AX51" s="310">
        <v>0</v>
      </c>
      <c r="AY51" s="310">
        <v>0</v>
      </c>
      <c r="AZ51" s="310">
        <v>0</v>
      </c>
      <c r="BA51" s="310">
        <v>0</v>
      </c>
      <c r="BB51" s="310">
        <v>0</v>
      </c>
      <c r="BC51" s="310">
        <v>0</v>
      </c>
      <c r="BD51" s="310">
        <v>0</v>
      </c>
      <c r="BE51" s="310">
        <v>0</v>
      </c>
      <c r="BF51" s="310">
        <v>290.15291867903898</v>
      </c>
      <c r="BG51" s="310">
        <v>0</v>
      </c>
      <c r="BH51" s="310">
        <v>0</v>
      </c>
      <c r="BI51" s="310">
        <v>0</v>
      </c>
      <c r="BJ51" s="310">
        <v>0</v>
      </c>
      <c r="BK51" s="310">
        <v>0</v>
      </c>
      <c r="BL51" s="310">
        <v>0</v>
      </c>
      <c r="BM51" s="310">
        <v>0</v>
      </c>
      <c r="BN51" s="310">
        <v>0</v>
      </c>
      <c r="BO51" s="310">
        <v>0</v>
      </c>
      <c r="BP51" s="310">
        <v>0</v>
      </c>
      <c r="BQ51" s="310">
        <v>0</v>
      </c>
      <c r="BR51" s="310">
        <v>0</v>
      </c>
    </row>
    <row r="52" spans="1:70" x14ac:dyDescent="0.2">
      <c r="A52" s="307" t="s">
        <v>690</v>
      </c>
      <c r="B52" s="310">
        <v>1</v>
      </c>
      <c r="AD52" s="307" t="s">
        <v>342</v>
      </c>
      <c r="AE52" s="310">
        <v>0</v>
      </c>
      <c r="AF52" s="310">
        <v>0</v>
      </c>
      <c r="AG52" s="310">
        <v>0</v>
      </c>
      <c r="AH52" s="310">
        <v>0</v>
      </c>
      <c r="AI52" s="310">
        <v>0</v>
      </c>
      <c r="AJ52" s="310">
        <v>0</v>
      </c>
      <c r="AK52" s="310">
        <v>0</v>
      </c>
      <c r="AL52" s="310">
        <v>0</v>
      </c>
      <c r="AM52" s="310">
        <v>0</v>
      </c>
      <c r="AN52" s="310">
        <v>0</v>
      </c>
      <c r="AO52" s="310">
        <v>0</v>
      </c>
      <c r="AP52" s="310">
        <v>0</v>
      </c>
      <c r="AQ52" s="310">
        <v>0</v>
      </c>
      <c r="AR52" s="310">
        <v>0</v>
      </c>
      <c r="AS52" s="310">
        <v>0</v>
      </c>
      <c r="AT52" s="310">
        <v>0</v>
      </c>
      <c r="AU52" s="310">
        <v>0</v>
      </c>
      <c r="AV52" s="310">
        <v>0</v>
      </c>
      <c r="AW52" s="310">
        <v>0</v>
      </c>
      <c r="AX52" s="310">
        <v>0</v>
      </c>
      <c r="AY52" s="310">
        <v>0</v>
      </c>
      <c r="AZ52" s="310">
        <v>0</v>
      </c>
      <c r="BA52" s="310">
        <v>0</v>
      </c>
      <c r="BB52" s="310">
        <v>0</v>
      </c>
      <c r="BC52" s="310">
        <v>0</v>
      </c>
      <c r="BD52" s="310">
        <v>0</v>
      </c>
      <c r="BE52" s="310">
        <v>0</v>
      </c>
      <c r="BF52" s="310">
        <v>0</v>
      </c>
      <c r="BG52" s="310">
        <v>0</v>
      </c>
      <c r="BH52" s="310">
        <v>0</v>
      </c>
      <c r="BI52" s="310">
        <v>0</v>
      </c>
      <c r="BJ52" s="310">
        <v>0</v>
      </c>
      <c r="BK52" s="310">
        <v>0</v>
      </c>
      <c r="BL52" s="310">
        <v>0</v>
      </c>
      <c r="BM52" s="310">
        <v>0</v>
      </c>
      <c r="BN52" s="310">
        <v>0</v>
      </c>
      <c r="BO52" s="310">
        <v>0</v>
      </c>
      <c r="BP52" s="310">
        <v>0</v>
      </c>
      <c r="BQ52" s="310">
        <v>0</v>
      </c>
      <c r="BR52" s="310">
        <v>0</v>
      </c>
    </row>
    <row r="53" spans="1:70" x14ac:dyDescent="0.2">
      <c r="A53" s="307" t="s">
        <v>691</v>
      </c>
      <c r="B53" s="310">
        <v>1</v>
      </c>
      <c r="AD53" s="307" t="s">
        <v>448</v>
      </c>
      <c r="AE53" s="310">
        <v>0</v>
      </c>
      <c r="AF53" s="310">
        <v>0</v>
      </c>
      <c r="AG53" s="310">
        <v>0</v>
      </c>
      <c r="AH53" s="310">
        <v>0</v>
      </c>
      <c r="AI53" s="310">
        <v>0</v>
      </c>
      <c r="AJ53" s="310">
        <v>0</v>
      </c>
      <c r="AK53" s="310">
        <v>0</v>
      </c>
      <c r="AL53" s="310">
        <v>0</v>
      </c>
      <c r="AM53" s="310">
        <v>0</v>
      </c>
      <c r="AN53" s="310">
        <v>0</v>
      </c>
      <c r="AO53" s="310">
        <v>0</v>
      </c>
      <c r="AP53" s="310">
        <v>0</v>
      </c>
      <c r="AQ53" s="310">
        <v>0</v>
      </c>
      <c r="AR53" s="310">
        <v>0</v>
      </c>
      <c r="AS53" s="310">
        <v>0</v>
      </c>
      <c r="AT53" s="310">
        <v>0</v>
      </c>
      <c r="AU53" s="310">
        <v>0</v>
      </c>
      <c r="AV53" s="310">
        <v>0</v>
      </c>
      <c r="AW53" s="310">
        <v>0</v>
      </c>
      <c r="AX53" s="310">
        <v>0</v>
      </c>
      <c r="AY53" s="310">
        <v>0</v>
      </c>
      <c r="AZ53" s="310">
        <v>0</v>
      </c>
      <c r="BA53" s="310">
        <v>0</v>
      </c>
      <c r="BB53" s="310">
        <v>0</v>
      </c>
      <c r="BC53" s="310">
        <v>0</v>
      </c>
      <c r="BD53" s="310">
        <v>0</v>
      </c>
      <c r="BE53" s="310">
        <v>0</v>
      </c>
      <c r="BF53" s="310">
        <v>0</v>
      </c>
      <c r="BG53" s="310">
        <v>0</v>
      </c>
      <c r="BH53" s="310">
        <v>0</v>
      </c>
      <c r="BI53" s="310">
        <v>0</v>
      </c>
      <c r="BJ53" s="310">
        <v>0</v>
      </c>
      <c r="BK53" s="310">
        <v>0</v>
      </c>
      <c r="BL53" s="310">
        <v>0</v>
      </c>
      <c r="BM53" s="310">
        <v>0</v>
      </c>
      <c r="BN53" s="310">
        <v>0</v>
      </c>
      <c r="BO53" s="310">
        <v>0</v>
      </c>
      <c r="BP53" s="310">
        <v>0</v>
      </c>
      <c r="BQ53" s="310">
        <v>0</v>
      </c>
      <c r="BR53" s="310">
        <v>0</v>
      </c>
    </row>
    <row r="54" spans="1:70" x14ac:dyDescent="0.2">
      <c r="A54" s="307" t="s">
        <v>709</v>
      </c>
      <c r="B54" s="310">
        <v>1</v>
      </c>
      <c r="AD54" s="307" t="s">
        <v>643</v>
      </c>
      <c r="AE54" s="310">
        <v>0</v>
      </c>
      <c r="AF54" s="310">
        <v>0</v>
      </c>
      <c r="AG54" s="310">
        <v>0</v>
      </c>
      <c r="AH54" s="310">
        <v>0</v>
      </c>
      <c r="AI54" s="310">
        <v>0</v>
      </c>
      <c r="AJ54" s="310">
        <v>0</v>
      </c>
      <c r="AK54" s="310">
        <v>0</v>
      </c>
      <c r="AL54" s="310">
        <v>0</v>
      </c>
      <c r="AM54" s="310">
        <v>0</v>
      </c>
      <c r="AN54" s="310">
        <v>0</v>
      </c>
      <c r="AO54" s="310">
        <v>0</v>
      </c>
      <c r="AP54" s="310">
        <v>0</v>
      </c>
      <c r="AQ54" s="310">
        <v>0</v>
      </c>
      <c r="AR54" s="310">
        <v>0</v>
      </c>
      <c r="AS54" s="310">
        <v>0</v>
      </c>
      <c r="AT54" s="310">
        <v>0</v>
      </c>
      <c r="AU54" s="310">
        <v>0</v>
      </c>
      <c r="AV54" s="310">
        <v>0</v>
      </c>
      <c r="AW54" s="310">
        <v>0</v>
      </c>
      <c r="AX54" s="310">
        <v>0</v>
      </c>
      <c r="AY54" s="310">
        <v>0</v>
      </c>
      <c r="AZ54" s="310">
        <v>0</v>
      </c>
      <c r="BA54" s="310">
        <v>0</v>
      </c>
      <c r="BB54" s="310">
        <v>0</v>
      </c>
      <c r="BC54" s="310">
        <v>0</v>
      </c>
      <c r="BD54" s="310">
        <v>0</v>
      </c>
      <c r="BE54" s="310">
        <v>0</v>
      </c>
      <c r="BF54" s="310">
        <v>0</v>
      </c>
      <c r="BG54" s="310">
        <v>0</v>
      </c>
      <c r="BH54" s="310">
        <v>0</v>
      </c>
      <c r="BI54" s="310">
        <v>0</v>
      </c>
      <c r="BJ54" s="310">
        <v>0</v>
      </c>
      <c r="BK54" s="310">
        <v>0</v>
      </c>
      <c r="BL54" s="310">
        <v>0</v>
      </c>
      <c r="BM54" s="310">
        <v>0</v>
      </c>
      <c r="BN54" s="310">
        <v>0</v>
      </c>
      <c r="BO54" s="310">
        <v>0</v>
      </c>
      <c r="BP54" s="310">
        <v>0</v>
      </c>
      <c r="BQ54" s="310">
        <v>0</v>
      </c>
      <c r="BR54" s="310">
        <v>0</v>
      </c>
    </row>
    <row r="55" spans="1:70" x14ac:dyDescent="0.2">
      <c r="A55" s="307" t="s">
        <v>710</v>
      </c>
      <c r="B55" s="310">
        <v>1</v>
      </c>
      <c r="AD55" s="307" t="s">
        <v>462</v>
      </c>
      <c r="AE55" s="310">
        <v>0</v>
      </c>
      <c r="AF55" s="310">
        <v>0</v>
      </c>
      <c r="AG55" s="310">
        <v>0</v>
      </c>
      <c r="AH55" s="310">
        <v>0</v>
      </c>
      <c r="AI55" s="310">
        <v>0</v>
      </c>
      <c r="AJ55" s="310">
        <v>0</v>
      </c>
      <c r="AK55" s="310">
        <v>0</v>
      </c>
      <c r="AL55" s="310">
        <v>0</v>
      </c>
      <c r="AM55" s="310">
        <v>0</v>
      </c>
      <c r="AN55" s="310">
        <v>0</v>
      </c>
      <c r="AO55" s="310">
        <v>0</v>
      </c>
      <c r="AP55" s="310">
        <v>0</v>
      </c>
      <c r="AQ55" s="310">
        <v>2511.39821094118</v>
      </c>
      <c r="AR55" s="310">
        <v>0</v>
      </c>
      <c r="AS55" s="310">
        <v>0</v>
      </c>
      <c r="AT55" s="310">
        <v>0</v>
      </c>
      <c r="AU55" s="310">
        <v>0</v>
      </c>
      <c r="AV55" s="310">
        <v>0</v>
      </c>
      <c r="AW55" s="310">
        <v>0</v>
      </c>
      <c r="AX55" s="310">
        <v>0</v>
      </c>
      <c r="AY55" s="310">
        <v>0</v>
      </c>
      <c r="AZ55" s="310">
        <v>0</v>
      </c>
      <c r="BA55" s="310">
        <v>0</v>
      </c>
      <c r="BB55" s="310">
        <v>0</v>
      </c>
      <c r="BC55" s="310">
        <v>0</v>
      </c>
      <c r="BD55" s="310">
        <v>0</v>
      </c>
      <c r="BE55" s="310">
        <v>0</v>
      </c>
      <c r="BF55" s="310">
        <v>0</v>
      </c>
      <c r="BG55" s="310">
        <v>0</v>
      </c>
      <c r="BH55" s="310">
        <v>0</v>
      </c>
      <c r="BI55" s="310">
        <v>0</v>
      </c>
      <c r="BJ55" s="310">
        <v>0</v>
      </c>
      <c r="BK55" s="310">
        <v>0</v>
      </c>
      <c r="BL55" s="310">
        <v>0</v>
      </c>
      <c r="BM55" s="310">
        <v>0</v>
      </c>
      <c r="BN55" s="310">
        <v>0</v>
      </c>
      <c r="BO55" s="310">
        <v>0</v>
      </c>
      <c r="BP55" s="310">
        <v>0</v>
      </c>
      <c r="BQ55" s="310">
        <v>0</v>
      </c>
      <c r="BR55" s="310">
        <v>0</v>
      </c>
    </row>
    <row r="56" spans="1:70" x14ac:dyDescent="0.2">
      <c r="A56" s="307" t="s">
        <v>654</v>
      </c>
      <c r="B56" s="310">
        <v>0</v>
      </c>
      <c r="AD56" s="307" t="s">
        <v>677</v>
      </c>
      <c r="AE56" s="310">
        <v>0</v>
      </c>
      <c r="AF56" s="310">
        <v>0</v>
      </c>
      <c r="AG56" s="310">
        <v>0</v>
      </c>
      <c r="AH56" s="310">
        <v>0</v>
      </c>
      <c r="AI56" s="310">
        <v>0</v>
      </c>
      <c r="AJ56" s="310">
        <v>0</v>
      </c>
      <c r="AK56" s="310">
        <v>0</v>
      </c>
      <c r="AL56" s="310">
        <v>0</v>
      </c>
      <c r="AM56" s="310">
        <v>0</v>
      </c>
      <c r="AN56" s="310">
        <v>0</v>
      </c>
      <c r="AO56" s="310">
        <v>0</v>
      </c>
      <c r="AP56" s="310">
        <v>0</v>
      </c>
      <c r="AQ56" s="310">
        <v>4830.4442158522497</v>
      </c>
      <c r="AR56" s="310">
        <v>0</v>
      </c>
      <c r="AS56" s="310">
        <v>0</v>
      </c>
      <c r="AT56" s="310">
        <v>0</v>
      </c>
      <c r="AU56" s="310">
        <v>0</v>
      </c>
      <c r="AV56" s="310">
        <v>0</v>
      </c>
      <c r="AW56" s="310">
        <v>0</v>
      </c>
      <c r="AX56" s="310">
        <v>0</v>
      </c>
      <c r="AY56" s="310">
        <v>0</v>
      </c>
      <c r="AZ56" s="310">
        <v>0</v>
      </c>
      <c r="BA56" s="310">
        <v>0</v>
      </c>
      <c r="BB56" s="310">
        <v>0</v>
      </c>
      <c r="BC56" s="310">
        <v>0</v>
      </c>
      <c r="BD56" s="310">
        <v>0</v>
      </c>
      <c r="BE56" s="310">
        <v>0</v>
      </c>
      <c r="BF56" s="310">
        <v>0</v>
      </c>
      <c r="BG56" s="310">
        <v>0</v>
      </c>
      <c r="BH56" s="310">
        <v>0</v>
      </c>
      <c r="BI56" s="310">
        <v>0</v>
      </c>
      <c r="BJ56" s="310">
        <v>0</v>
      </c>
      <c r="BK56" s="310">
        <v>0</v>
      </c>
      <c r="BL56" s="310">
        <v>0</v>
      </c>
      <c r="BM56" s="310">
        <v>0</v>
      </c>
      <c r="BN56" s="310">
        <v>0</v>
      </c>
      <c r="BO56" s="310">
        <v>0</v>
      </c>
      <c r="BP56" s="310">
        <v>0</v>
      </c>
      <c r="BQ56" s="310">
        <v>0</v>
      </c>
      <c r="BR56" s="310">
        <v>0</v>
      </c>
    </row>
    <row r="57" spans="1:70" x14ac:dyDescent="0.2">
      <c r="A57" s="307" t="s">
        <v>711</v>
      </c>
      <c r="B57" s="310">
        <v>1</v>
      </c>
      <c r="AD57" s="307" t="s">
        <v>678</v>
      </c>
      <c r="AE57" s="310">
        <v>0</v>
      </c>
      <c r="AF57" s="310">
        <v>0</v>
      </c>
      <c r="AG57" s="310">
        <v>0</v>
      </c>
      <c r="AH57" s="310">
        <v>0</v>
      </c>
      <c r="AI57" s="310">
        <v>0</v>
      </c>
      <c r="AJ57" s="310">
        <v>0</v>
      </c>
      <c r="AK57" s="310">
        <v>0</v>
      </c>
      <c r="AL57" s="310">
        <v>0</v>
      </c>
      <c r="AM57" s="310">
        <v>0</v>
      </c>
      <c r="AN57" s="310">
        <v>0</v>
      </c>
      <c r="AO57" s="310">
        <v>0</v>
      </c>
      <c r="AP57" s="310">
        <v>0</v>
      </c>
      <c r="AQ57" s="310">
        <v>0</v>
      </c>
      <c r="AR57" s="310">
        <v>4830.4442158522497</v>
      </c>
      <c r="AS57" s="310">
        <v>0</v>
      </c>
      <c r="AT57" s="310">
        <v>0</v>
      </c>
      <c r="AU57" s="310">
        <v>0</v>
      </c>
      <c r="AV57" s="310">
        <v>0</v>
      </c>
      <c r="AW57" s="310">
        <v>0</v>
      </c>
      <c r="AX57" s="310">
        <v>0</v>
      </c>
      <c r="AY57" s="310">
        <v>0</v>
      </c>
      <c r="AZ57" s="310">
        <v>0</v>
      </c>
      <c r="BA57" s="310">
        <v>0</v>
      </c>
      <c r="BB57" s="310">
        <v>0</v>
      </c>
      <c r="BC57" s="310">
        <v>0</v>
      </c>
      <c r="BD57" s="310">
        <v>0</v>
      </c>
      <c r="BE57" s="310">
        <v>0</v>
      </c>
      <c r="BF57" s="310">
        <v>0</v>
      </c>
      <c r="BG57" s="310">
        <v>0</v>
      </c>
      <c r="BH57" s="310">
        <v>0</v>
      </c>
      <c r="BI57" s="310">
        <v>0</v>
      </c>
      <c r="BJ57" s="310">
        <v>0</v>
      </c>
      <c r="BK57" s="310">
        <v>0</v>
      </c>
      <c r="BL57" s="310">
        <v>0</v>
      </c>
      <c r="BM57" s="310">
        <v>0</v>
      </c>
      <c r="BN57" s="310">
        <v>0</v>
      </c>
      <c r="BO57" s="310">
        <v>0</v>
      </c>
      <c r="BP57" s="310">
        <v>0</v>
      </c>
      <c r="BQ57" s="310">
        <v>0</v>
      </c>
      <c r="BR57" s="310">
        <v>0</v>
      </c>
    </row>
    <row r="58" spans="1:70" x14ac:dyDescent="0.2">
      <c r="A58" s="307" t="s">
        <v>692</v>
      </c>
      <c r="B58" s="310">
        <v>1</v>
      </c>
      <c r="AD58" s="307" t="s">
        <v>644</v>
      </c>
      <c r="AE58" s="310">
        <v>0</v>
      </c>
      <c r="AF58" s="310">
        <v>0</v>
      </c>
      <c r="AG58" s="310">
        <v>0</v>
      </c>
      <c r="AH58" s="310">
        <v>0</v>
      </c>
      <c r="AI58" s="310">
        <v>0</v>
      </c>
      <c r="AJ58" s="310">
        <v>0</v>
      </c>
      <c r="AK58" s="310">
        <v>0</v>
      </c>
      <c r="AL58" s="310">
        <v>0</v>
      </c>
      <c r="AM58" s="310">
        <v>0</v>
      </c>
      <c r="AN58" s="310">
        <v>0</v>
      </c>
      <c r="AO58" s="310">
        <v>0</v>
      </c>
      <c r="AP58" s="310">
        <v>0</v>
      </c>
      <c r="AQ58" s="310">
        <v>0</v>
      </c>
      <c r="AR58" s="310">
        <v>0</v>
      </c>
      <c r="AS58" s="310">
        <v>0</v>
      </c>
      <c r="AT58" s="310">
        <v>0</v>
      </c>
      <c r="AU58" s="310">
        <v>0</v>
      </c>
      <c r="AV58" s="310">
        <v>0</v>
      </c>
      <c r="AW58" s="310">
        <v>0</v>
      </c>
      <c r="AX58" s="310">
        <v>0</v>
      </c>
      <c r="AY58" s="310">
        <v>0</v>
      </c>
      <c r="AZ58" s="310">
        <v>0</v>
      </c>
      <c r="BA58" s="310">
        <v>0</v>
      </c>
      <c r="BB58" s="310">
        <v>0</v>
      </c>
      <c r="BC58" s="310">
        <v>0</v>
      </c>
      <c r="BD58" s="310">
        <v>0</v>
      </c>
      <c r="BE58" s="310">
        <v>0</v>
      </c>
      <c r="BF58" s="310">
        <v>0</v>
      </c>
      <c r="BG58" s="310">
        <v>0</v>
      </c>
      <c r="BH58" s="310">
        <v>0</v>
      </c>
      <c r="BI58" s="310">
        <v>0</v>
      </c>
      <c r="BJ58" s="310">
        <v>0</v>
      </c>
      <c r="BK58" s="310">
        <v>0</v>
      </c>
      <c r="BL58" s="310">
        <v>0</v>
      </c>
      <c r="BM58" s="310">
        <v>0</v>
      </c>
      <c r="BN58" s="310">
        <v>0</v>
      </c>
      <c r="BO58" s="310">
        <v>0</v>
      </c>
      <c r="BP58" s="310">
        <v>0</v>
      </c>
      <c r="BQ58" s="310">
        <v>0</v>
      </c>
      <c r="BR58" s="310">
        <v>0</v>
      </c>
    </row>
    <row r="59" spans="1:70" x14ac:dyDescent="0.2">
      <c r="A59" s="307" t="s">
        <v>693</v>
      </c>
      <c r="B59" s="310">
        <v>1</v>
      </c>
      <c r="AD59" s="307" t="s">
        <v>645</v>
      </c>
      <c r="AE59" s="310">
        <v>0</v>
      </c>
      <c r="AF59" s="310">
        <v>0</v>
      </c>
      <c r="AG59" s="310">
        <v>0</v>
      </c>
      <c r="AH59" s="310">
        <v>0</v>
      </c>
      <c r="AI59" s="310">
        <v>0</v>
      </c>
      <c r="AJ59" s="310">
        <v>0</v>
      </c>
      <c r="AK59" s="310">
        <v>0</v>
      </c>
      <c r="AL59" s="310">
        <v>0</v>
      </c>
      <c r="AM59" s="310">
        <v>0</v>
      </c>
      <c r="AN59" s="310">
        <v>0</v>
      </c>
      <c r="AO59" s="310">
        <v>0</v>
      </c>
      <c r="AP59" s="310">
        <v>0</v>
      </c>
      <c r="AQ59" s="310">
        <v>0</v>
      </c>
      <c r="AR59" s="310">
        <v>0</v>
      </c>
      <c r="AS59" s="310">
        <v>0</v>
      </c>
      <c r="AT59" s="310">
        <v>0</v>
      </c>
      <c r="AU59" s="310">
        <v>0</v>
      </c>
      <c r="AV59" s="310">
        <v>0</v>
      </c>
      <c r="AW59" s="310">
        <v>0</v>
      </c>
      <c r="AX59" s="310">
        <v>0</v>
      </c>
      <c r="AY59" s="310">
        <v>0</v>
      </c>
      <c r="AZ59" s="310">
        <v>0</v>
      </c>
      <c r="BA59" s="310">
        <v>0</v>
      </c>
      <c r="BB59" s="310">
        <v>0</v>
      </c>
      <c r="BC59" s="310">
        <v>0</v>
      </c>
      <c r="BD59" s="310">
        <v>0</v>
      </c>
      <c r="BE59" s="310">
        <v>0</v>
      </c>
      <c r="BF59" s="310">
        <v>0</v>
      </c>
      <c r="BG59" s="310">
        <v>0</v>
      </c>
      <c r="BH59" s="310">
        <v>0</v>
      </c>
      <c r="BI59" s="310">
        <v>0</v>
      </c>
      <c r="BJ59" s="310">
        <v>0</v>
      </c>
      <c r="BK59" s="310">
        <v>0</v>
      </c>
      <c r="BL59" s="310">
        <v>0</v>
      </c>
      <c r="BM59" s="310">
        <v>0</v>
      </c>
      <c r="BN59" s="310">
        <v>0</v>
      </c>
      <c r="BO59" s="310">
        <v>0</v>
      </c>
      <c r="BP59" s="310">
        <v>0</v>
      </c>
      <c r="BQ59" s="310">
        <v>0</v>
      </c>
      <c r="BR59" s="310">
        <v>0</v>
      </c>
    </row>
    <row r="60" spans="1:70" x14ac:dyDescent="0.2">
      <c r="B60" s="432" t="s">
        <v>473</v>
      </c>
      <c r="AD60" s="307" t="s">
        <v>646</v>
      </c>
      <c r="AE60" s="310">
        <v>0</v>
      </c>
      <c r="AF60" s="310">
        <v>0</v>
      </c>
      <c r="AG60" s="310">
        <v>0</v>
      </c>
      <c r="AH60" s="310">
        <v>0</v>
      </c>
      <c r="AI60" s="310">
        <v>0</v>
      </c>
      <c r="AJ60" s="310">
        <v>0</v>
      </c>
      <c r="AK60" s="310">
        <v>0</v>
      </c>
      <c r="AL60" s="310">
        <v>0</v>
      </c>
      <c r="AM60" s="310">
        <v>0</v>
      </c>
      <c r="AN60" s="310">
        <v>0</v>
      </c>
      <c r="AO60" s="310">
        <v>0</v>
      </c>
      <c r="AP60" s="310">
        <v>0</v>
      </c>
      <c r="AQ60" s="310">
        <v>0</v>
      </c>
      <c r="AR60" s="310">
        <v>0</v>
      </c>
      <c r="AS60" s="310">
        <v>0</v>
      </c>
      <c r="AT60" s="310">
        <v>0</v>
      </c>
      <c r="AU60" s="310">
        <v>0</v>
      </c>
      <c r="AV60" s="310">
        <v>0</v>
      </c>
      <c r="AW60" s="310">
        <v>0</v>
      </c>
      <c r="AX60" s="310">
        <v>0</v>
      </c>
      <c r="AY60" s="310">
        <v>0</v>
      </c>
      <c r="AZ60" s="310">
        <v>0</v>
      </c>
      <c r="BA60" s="310">
        <v>0</v>
      </c>
      <c r="BB60" s="310">
        <v>0</v>
      </c>
      <c r="BC60" s="310">
        <v>0</v>
      </c>
      <c r="BD60" s="310">
        <v>0</v>
      </c>
      <c r="BE60" s="310">
        <v>0</v>
      </c>
      <c r="BF60" s="310">
        <v>0</v>
      </c>
      <c r="BG60" s="310">
        <v>0</v>
      </c>
      <c r="BH60" s="310">
        <v>0</v>
      </c>
      <c r="BI60" s="310">
        <v>0</v>
      </c>
      <c r="BJ60" s="310">
        <v>0</v>
      </c>
      <c r="BK60" s="310">
        <v>0</v>
      </c>
      <c r="BL60" s="310">
        <v>0</v>
      </c>
      <c r="BM60" s="310">
        <v>0</v>
      </c>
      <c r="BN60" s="310">
        <v>0</v>
      </c>
      <c r="BO60" s="310">
        <v>0</v>
      </c>
      <c r="BP60" s="310">
        <v>0</v>
      </c>
      <c r="BQ60" s="310">
        <v>0</v>
      </c>
      <c r="BR60" s="310">
        <v>0</v>
      </c>
    </row>
    <row r="61" spans="1:70" x14ac:dyDescent="0.2">
      <c r="AD61" s="307" t="s">
        <v>647</v>
      </c>
      <c r="AE61" s="310">
        <v>0</v>
      </c>
      <c r="AF61" s="310">
        <v>0</v>
      </c>
      <c r="AG61" s="310">
        <v>0</v>
      </c>
      <c r="AH61" s="310">
        <v>0</v>
      </c>
      <c r="AI61" s="310">
        <v>0</v>
      </c>
      <c r="AJ61" s="310">
        <v>0</v>
      </c>
      <c r="AK61" s="310">
        <v>0</v>
      </c>
      <c r="AL61" s="310">
        <v>0</v>
      </c>
      <c r="AM61" s="310">
        <v>0</v>
      </c>
      <c r="AN61" s="310">
        <v>0</v>
      </c>
      <c r="AO61" s="310">
        <v>0</v>
      </c>
      <c r="AP61" s="310">
        <v>0</v>
      </c>
      <c r="AQ61" s="310">
        <v>0</v>
      </c>
      <c r="AR61" s="310">
        <v>0</v>
      </c>
      <c r="AS61" s="310">
        <v>0</v>
      </c>
      <c r="AT61" s="310">
        <v>0</v>
      </c>
      <c r="AU61" s="310">
        <v>0</v>
      </c>
      <c r="AV61" s="310">
        <v>0</v>
      </c>
      <c r="AW61" s="310">
        <v>0</v>
      </c>
      <c r="AX61" s="310">
        <v>0</v>
      </c>
      <c r="AY61" s="310">
        <v>0</v>
      </c>
      <c r="AZ61" s="310">
        <v>0</v>
      </c>
      <c r="BA61" s="310">
        <v>0</v>
      </c>
      <c r="BB61" s="310">
        <v>0</v>
      </c>
      <c r="BC61" s="310">
        <v>0</v>
      </c>
      <c r="BD61" s="310">
        <v>0</v>
      </c>
      <c r="BE61" s="310">
        <v>0</v>
      </c>
      <c r="BF61" s="310">
        <v>0</v>
      </c>
      <c r="BG61" s="310">
        <v>0</v>
      </c>
      <c r="BH61" s="310">
        <v>0</v>
      </c>
      <c r="BI61" s="310">
        <v>0</v>
      </c>
      <c r="BJ61" s="310">
        <v>0</v>
      </c>
      <c r="BK61" s="310">
        <v>0</v>
      </c>
      <c r="BL61" s="310">
        <v>0</v>
      </c>
      <c r="BM61" s="310">
        <v>0</v>
      </c>
      <c r="BN61" s="310">
        <v>0</v>
      </c>
      <c r="BO61" s="310">
        <v>0</v>
      </c>
      <c r="BP61" s="310">
        <v>0</v>
      </c>
      <c r="BQ61" s="310">
        <v>0</v>
      </c>
      <c r="BR61" s="310">
        <v>0</v>
      </c>
    </row>
    <row r="62" spans="1:70" x14ac:dyDescent="0.2">
      <c r="AD62" s="307" t="s">
        <v>648</v>
      </c>
      <c r="AE62" s="310">
        <v>0</v>
      </c>
      <c r="AF62" s="310">
        <v>0</v>
      </c>
      <c r="AG62" s="310">
        <v>0</v>
      </c>
      <c r="AH62" s="310">
        <v>0</v>
      </c>
      <c r="AI62" s="310">
        <v>0</v>
      </c>
      <c r="AJ62" s="310">
        <v>0</v>
      </c>
      <c r="AK62" s="310">
        <v>0</v>
      </c>
      <c r="AL62" s="310">
        <v>0</v>
      </c>
      <c r="AM62" s="310">
        <v>0</v>
      </c>
      <c r="AN62" s="310">
        <v>0</v>
      </c>
      <c r="AO62" s="310">
        <v>0</v>
      </c>
      <c r="AP62" s="310">
        <v>0</v>
      </c>
      <c r="AQ62" s="310">
        <v>0</v>
      </c>
      <c r="AR62" s="310">
        <v>0</v>
      </c>
      <c r="AS62" s="310">
        <v>0</v>
      </c>
      <c r="AT62" s="310">
        <v>0</v>
      </c>
      <c r="AU62" s="310">
        <v>0</v>
      </c>
      <c r="AV62" s="310">
        <v>0</v>
      </c>
      <c r="AW62" s="310">
        <v>0</v>
      </c>
      <c r="AX62" s="310">
        <v>0</v>
      </c>
      <c r="AY62" s="310">
        <v>0</v>
      </c>
      <c r="AZ62" s="310">
        <v>0</v>
      </c>
      <c r="BA62" s="310">
        <v>0</v>
      </c>
      <c r="BB62" s="310">
        <v>0</v>
      </c>
      <c r="BC62" s="310">
        <v>0</v>
      </c>
      <c r="BD62" s="310">
        <v>0</v>
      </c>
      <c r="BE62" s="310">
        <v>0</v>
      </c>
      <c r="BF62" s="310">
        <v>0</v>
      </c>
      <c r="BG62" s="310">
        <v>0</v>
      </c>
      <c r="BH62" s="310">
        <v>0</v>
      </c>
      <c r="BI62" s="310">
        <v>0</v>
      </c>
      <c r="BJ62" s="310">
        <v>0</v>
      </c>
      <c r="BK62" s="310">
        <v>0</v>
      </c>
      <c r="BL62" s="310">
        <v>0</v>
      </c>
      <c r="BM62" s="310">
        <v>0</v>
      </c>
      <c r="BN62" s="310">
        <v>0</v>
      </c>
      <c r="BO62" s="310">
        <v>0</v>
      </c>
      <c r="BP62" s="310">
        <v>0</v>
      </c>
      <c r="BQ62" s="310">
        <v>0</v>
      </c>
      <c r="BR62" s="310">
        <v>0</v>
      </c>
    </row>
    <row r="63" spans="1:70" x14ac:dyDescent="0.2">
      <c r="AD63" s="307" t="s">
        <v>649</v>
      </c>
      <c r="AE63" s="310">
        <v>0</v>
      </c>
      <c r="AF63" s="310">
        <v>0</v>
      </c>
      <c r="AG63" s="310">
        <v>0</v>
      </c>
      <c r="AH63" s="310">
        <v>0</v>
      </c>
      <c r="AI63" s="310">
        <v>0</v>
      </c>
      <c r="AJ63" s="310">
        <v>0</v>
      </c>
      <c r="AK63" s="310">
        <v>0</v>
      </c>
      <c r="AL63" s="310">
        <v>0</v>
      </c>
      <c r="AM63" s="310">
        <v>0</v>
      </c>
      <c r="AN63" s="310">
        <v>0</v>
      </c>
      <c r="AO63" s="310">
        <v>0</v>
      </c>
      <c r="AP63" s="310">
        <v>0</v>
      </c>
      <c r="AQ63" s="310">
        <v>0</v>
      </c>
      <c r="AR63" s="310">
        <v>0</v>
      </c>
      <c r="AS63" s="310">
        <v>0</v>
      </c>
      <c r="AT63" s="310">
        <v>0</v>
      </c>
      <c r="AU63" s="310">
        <v>0</v>
      </c>
      <c r="AV63" s="310">
        <v>0</v>
      </c>
      <c r="AW63" s="310">
        <v>0</v>
      </c>
      <c r="AX63" s="310">
        <v>0</v>
      </c>
      <c r="AY63" s="310">
        <v>0</v>
      </c>
      <c r="AZ63" s="310">
        <v>0</v>
      </c>
      <c r="BA63" s="310">
        <v>0</v>
      </c>
      <c r="BB63" s="310">
        <v>0</v>
      </c>
      <c r="BC63" s="310">
        <v>0</v>
      </c>
      <c r="BD63" s="310">
        <v>0</v>
      </c>
      <c r="BE63" s="310">
        <v>0</v>
      </c>
      <c r="BF63" s="310">
        <v>0</v>
      </c>
      <c r="BG63" s="310">
        <v>0</v>
      </c>
      <c r="BH63" s="310">
        <v>0</v>
      </c>
      <c r="BI63" s="310">
        <v>0</v>
      </c>
      <c r="BJ63" s="310">
        <v>0</v>
      </c>
      <c r="BK63" s="310">
        <v>0</v>
      </c>
      <c r="BL63" s="310">
        <v>0</v>
      </c>
      <c r="BM63" s="310">
        <v>0</v>
      </c>
      <c r="BN63" s="310">
        <v>0</v>
      </c>
      <c r="BO63" s="310">
        <v>0</v>
      </c>
      <c r="BP63" s="310">
        <v>0</v>
      </c>
      <c r="BQ63" s="310">
        <v>0</v>
      </c>
      <c r="BR63" s="310">
        <v>0</v>
      </c>
    </row>
    <row r="64" spans="1:70" x14ac:dyDescent="0.2">
      <c r="AD64" s="307" t="s">
        <v>463</v>
      </c>
      <c r="AE64" s="310">
        <v>0</v>
      </c>
      <c r="AF64" s="310">
        <v>0</v>
      </c>
      <c r="AG64" s="310">
        <v>0</v>
      </c>
      <c r="AH64" s="310">
        <v>0</v>
      </c>
      <c r="AI64" s="310">
        <v>0</v>
      </c>
      <c r="AJ64" s="310">
        <v>0</v>
      </c>
      <c r="AK64" s="310">
        <v>0</v>
      </c>
      <c r="AL64" s="310">
        <v>0</v>
      </c>
      <c r="AM64" s="310">
        <v>0</v>
      </c>
      <c r="AN64" s="310">
        <v>0</v>
      </c>
      <c r="AO64" s="310">
        <v>0</v>
      </c>
      <c r="AP64" s="310">
        <v>0</v>
      </c>
      <c r="AQ64" s="310">
        <v>0</v>
      </c>
      <c r="AR64" s="310">
        <v>0</v>
      </c>
      <c r="AS64" s="310">
        <v>0</v>
      </c>
      <c r="AT64" s="310">
        <v>0</v>
      </c>
      <c r="AU64" s="310">
        <v>0</v>
      </c>
      <c r="AV64" s="310">
        <v>0</v>
      </c>
      <c r="AW64" s="310">
        <v>0</v>
      </c>
      <c r="AX64" s="310">
        <v>0</v>
      </c>
      <c r="AY64" s="310">
        <v>0</v>
      </c>
      <c r="AZ64" s="310">
        <v>0</v>
      </c>
      <c r="BA64" s="310">
        <v>0</v>
      </c>
      <c r="BB64" s="310">
        <v>0</v>
      </c>
      <c r="BC64" s="310">
        <v>0</v>
      </c>
      <c r="BD64" s="310">
        <v>0</v>
      </c>
      <c r="BE64" s="310">
        <v>0</v>
      </c>
      <c r="BF64" s="310">
        <v>0</v>
      </c>
      <c r="BG64" s="310">
        <v>0</v>
      </c>
      <c r="BH64" s="310">
        <v>0</v>
      </c>
      <c r="BI64" s="310">
        <v>0</v>
      </c>
      <c r="BJ64" s="310">
        <v>0</v>
      </c>
      <c r="BK64" s="310">
        <v>0</v>
      </c>
      <c r="BL64" s="310">
        <v>0</v>
      </c>
      <c r="BM64" s="310">
        <v>0</v>
      </c>
      <c r="BN64" s="310">
        <v>0</v>
      </c>
      <c r="BO64" s="310">
        <v>0</v>
      </c>
      <c r="BP64" s="310">
        <v>0</v>
      </c>
      <c r="BQ64" s="310">
        <v>0</v>
      </c>
      <c r="BR64" s="310">
        <v>0</v>
      </c>
    </row>
    <row r="65" spans="30:70" x14ac:dyDescent="0.2">
      <c r="AD65" s="307" t="s">
        <v>343</v>
      </c>
      <c r="AE65" s="310">
        <v>0</v>
      </c>
      <c r="AF65" s="310">
        <v>0</v>
      </c>
      <c r="AG65" s="310">
        <v>0</v>
      </c>
      <c r="AH65" s="310">
        <v>0</v>
      </c>
      <c r="AI65" s="310">
        <v>0</v>
      </c>
      <c r="AJ65" s="310">
        <v>0</v>
      </c>
      <c r="AK65" s="310">
        <v>0</v>
      </c>
      <c r="AL65" s="310">
        <v>0</v>
      </c>
      <c r="AM65" s="310">
        <v>10407.5335702297</v>
      </c>
      <c r="AN65" s="310">
        <v>0</v>
      </c>
      <c r="AO65" s="310">
        <v>0</v>
      </c>
      <c r="AP65" s="310">
        <v>0</v>
      </c>
      <c r="AQ65" s="310">
        <v>0</v>
      </c>
      <c r="AR65" s="310">
        <v>0</v>
      </c>
      <c r="AS65" s="310">
        <v>0</v>
      </c>
      <c r="AT65" s="310">
        <v>0</v>
      </c>
      <c r="AU65" s="310">
        <v>0</v>
      </c>
      <c r="AV65" s="310">
        <v>0</v>
      </c>
      <c r="AW65" s="310">
        <v>0</v>
      </c>
      <c r="AX65" s="310">
        <v>0</v>
      </c>
      <c r="AY65" s="310">
        <v>0</v>
      </c>
      <c r="AZ65" s="310">
        <v>0</v>
      </c>
      <c r="BA65" s="310">
        <v>0</v>
      </c>
      <c r="BB65" s="310">
        <v>0</v>
      </c>
      <c r="BC65" s="310">
        <v>0</v>
      </c>
      <c r="BD65" s="310">
        <v>0</v>
      </c>
      <c r="BE65" s="310">
        <v>0</v>
      </c>
      <c r="BF65" s="310">
        <v>0</v>
      </c>
      <c r="BG65" s="310">
        <v>0</v>
      </c>
      <c r="BH65" s="310">
        <v>0</v>
      </c>
      <c r="BI65" s="310">
        <v>0</v>
      </c>
      <c r="BJ65" s="310">
        <v>0</v>
      </c>
      <c r="BK65" s="310">
        <v>0</v>
      </c>
      <c r="BL65" s="310">
        <v>0</v>
      </c>
      <c r="BM65" s="310">
        <v>0</v>
      </c>
      <c r="BN65" s="310">
        <v>0</v>
      </c>
      <c r="BO65" s="310">
        <v>0</v>
      </c>
      <c r="BP65" s="310">
        <v>0</v>
      </c>
      <c r="BQ65" s="310">
        <v>0</v>
      </c>
      <c r="BR65" s="310">
        <v>0</v>
      </c>
    </row>
    <row r="66" spans="30:70" x14ac:dyDescent="0.2">
      <c r="AD66" s="307" t="s">
        <v>679</v>
      </c>
      <c r="AE66" s="310">
        <v>0</v>
      </c>
      <c r="AF66" s="310">
        <v>0</v>
      </c>
      <c r="AG66" s="310">
        <v>0</v>
      </c>
      <c r="AH66" s="310">
        <v>0</v>
      </c>
      <c r="AI66" s="310">
        <v>0</v>
      </c>
      <c r="AJ66" s="310">
        <v>0</v>
      </c>
      <c r="AK66" s="310">
        <v>0</v>
      </c>
      <c r="AL66" s="310">
        <v>0</v>
      </c>
      <c r="AM66" s="310">
        <v>0</v>
      </c>
      <c r="AN66" s="310">
        <v>0</v>
      </c>
      <c r="AO66" s="310">
        <v>0</v>
      </c>
      <c r="AP66" s="310">
        <v>0</v>
      </c>
      <c r="AQ66" s="310">
        <v>0</v>
      </c>
      <c r="AR66" s="310">
        <v>0</v>
      </c>
      <c r="AS66" s="310">
        <v>0</v>
      </c>
      <c r="AT66" s="310">
        <v>0</v>
      </c>
      <c r="AU66" s="310">
        <v>0</v>
      </c>
      <c r="AV66" s="310">
        <v>0</v>
      </c>
      <c r="AW66" s="310">
        <v>0</v>
      </c>
      <c r="AX66" s="310">
        <v>0</v>
      </c>
      <c r="AY66" s="310">
        <v>0</v>
      </c>
      <c r="AZ66" s="310">
        <v>3749358.3680556798</v>
      </c>
      <c r="BA66" s="310">
        <v>0</v>
      </c>
      <c r="BB66" s="310">
        <v>0</v>
      </c>
      <c r="BC66" s="310">
        <v>0</v>
      </c>
      <c r="BD66" s="310">
        <v>0</v>
      </c>
      <c r="BE66" s="310">
        <v>0</v>
      </c>
      <c r="BF66" s="310">
        <v>0</v>
      </c>
      <c r="BG66" s="310">
        <v>0</v>
      </c>
      <c r="BH66" s="310">
        <v>0</v>
      </c>
      <c r="BI66" s="310">
        <v>0</v>
      </c>
      <c r="BJ66" s="310">
        <v>0</v>
      </c>
      <c r="BK66" s="310">
        <v>0</v>
      </c>
      <c r="BL66" s="310">
        <v>0</v>
      </c>
      <c r="BM66" s="310">
        <v>0</v>
      </c>
      <c r="BN66" s="310">
        <v>0</v>
      </c>
      <c r="BO66" s="310">
        <v>0</v>
      </c>
      <c r="BP66" s="310">
        <v>0</v>
      </c>
      <c r="BQ66" s="310">
        <v>0</v>
      </c>
      <c r="BR66" s="310">
        <v>0</v>
      </c>
    </row>
    <row r="67" spans="30:70" x14ac:dyDescent="0.2">
      <c r="AD67" s="307" t="s">
        <v>650</v>
      </c>
      <c r="AE67" s="310">
        <v>0</v>
      </c>
      <c r="AF67" s="310">
        <v>0</v>
      </c>
      <c r="AG67" s="310">
        <v>0</v>
      </c>
      <c r="AH67" s="310">
        <v>0</v>
      </c>
      <c r="AI67" s="310">
        <v>0</v>
      </c>
      <c r="AJ67" s="310">
        <v>0</v>
      </c>
      <c r="AK67" s="310">
        <v>0</v>
      </c>
      <c r="AL67" s="310">
        <v>0</v>
      </c>
      <c r="AM67" s="310">
        <v>0</v>
      </c>
      <c r="AN67" s="310">
        <v>0</v>
      </c>
      <c r="AO67" s="310">
        <v>0</v>
      </c>
      <c r="AP67" s="310">
        <v>0</v>
      </c>
      <c r="AQ67" s="310">
        <v>0</v>
      </c>
      <c r="AR67" s="310">
        <v>0</v>
      </c>
      <c r="AS67" s="310">
        <v>0</v>
      </c>
      <c r="AT67" s="310">
        <v>0</v>
      </c>
      <c r="AU67" s="310">
        <v>0</v>
      </c>
      <c r="AV67" s="310">
        <v>0</v>
      </c>
      <c r="AW67" s="310">
        <v>0</v>
      </c>
      <c r="AX67" s="310">
        <v>0</v>
      </c>
      <c r="AY67" s="310">
        <v>0</v>
      </c>
      <c r="AZ67" s="310">
        <v>0</v>
      </c>
      <c r="BA67" s="310">
        <v>0</v>
      </c>
      <c r="BB67" s="310">
        <v>0</v>
      </c>
      <c r="BC67" s="310">
        <v>0</v>
      </c>
      <c r="BD67" s="310">
        <v>0</v>
      </c>
      <c r="BE67" s="310">
        <v>0</v>
      </c>
      <c r="BF67" s="310">
        <v>0</v>
      </c>
      <c r="BG67" s="310">
        <v>0</v>
      </c>
      <c r="BH67" s="310">
        <v>0</v>
      </c>
      <c r="BI67" s="310">
        <v>0</v>
      </c>
      <c r="BJ67" s="310">
        <v>0</v>
      </c>
      <c r="BK67" s="310">
        <v>0</v>
      </c>
      <c r="BL67" s="310">
        <v>0</v>
      </c>
      <c r="BM67" s="310">
        <v>0</v>
      </c>
      <c r="BN67" s="310">
        <v>0</v>
      </c>
      <c r="BO67" s="310">
        <v>0</v>
      </c>
      <c r="BP67" s="310">
        <v>0</v>
      </c>
      <c r="BQ67" s="310">
        <v>0</v>
      </c>
      <c r="BR67" s="310">
        <v>0</v>
      </c>
    </row>
    <row r="68" spans="30:70" x14ac:dyDescent="0.2">
      <c r="AD68" s="307" t="s">
        <v>680</v>
      </c>
      <c r="AE68" s="310">
        <v>0</v>
      </c>
      <c r="AF68" s="310">
        <v>0</v>
      </c>
      <c r="AG68" s="310">
        <v>0</v>
      </c>
      <c r="AH68" s="310">
        <v>0</v>
      </c>
      <c r="AI68" s="310">
        <v>0</v>
      </c>
      <c r="AJ68" s="310">
        <v>0</v>
      </c>
      <c r="AK68" s="310">
        <v>0</v>
      </c>
      <c r="AL68" s="310">
        <v>0</v>
      </c>
      <c r="AM68" s="310">
        <v>0</v>
      </c>
      <c r="AN68" s="310">
        <v>0</v>
      </c>
      <c r="AO68" s="310">
        <v>0</v>
      </c>
      <c r="AP68" s="310">
        <v>0</v>
      </c>
      <c r="AQ68" s="310">
        <v>0</v>
      </c>
      <c r="AR68" s="310">
        <v>0</v>
      </c>
      <c r="AS68" s="310">
        <v>0</v>
      </c>
      <c r="AT68" s="310">
        <v>0</v>
      </c>
      <c r="AU68" s="310">
        <v>0</v>
      </c>
      <c r="AV68" s="310">
        <v>0</v>
      </c>
      <c r="AW68" s="310">
        <v>0</v>
      </c>
      <c r="AX68" s="310">
        <v>0</v>
      </c>
      <c r="AY68" s="310">
        <v>0</v>
      </c>
      <c r="AZ68" s="310">
        <v>0</v>
      </c>
      <c r="BA68" s="310">
        <v>0</v>
      </c>
      <c r="BB68" s="310">
        <v>0</v>
      </c>
      <c r="BC68" s="310">
        <v>0</v>
      </c>
      <c r="BD68" s="310">
        <v>0</v>
      </c>
      <c r="BE68" s="310">
        <v>0</v>
      </c>
      <c r="BF68" s="310">
        <v>0</v>
      </c>
      <c r="BG68" s="310">
        <v>668.84165319492104</v>
      </c>
      <c r="BH68" s="310">
        <v>0</v>
      </c>
      <c r="BI68" s="310">
        <v>0</v>
      </c>
      <c r="BJ68" s="310">
        <v>0</v>
      </c>
      <c r="BK68" s="310">
        <v>0</v>
      </c>
      <c r="BL68" s="310">
        <v>0</v>
      </c>
      <c r="BM68" s="310">
        <v>0</v>
      </c>
      <c r="BN68" s="310">
        <v>0</v>
      </c>
      <c r="BO68" s="310">
        <v>0</v>
      </c>
      <c r="BP68" s="310">
        <v>0</v>
      </c>
      <c r="BQ68" s="310">
        <v>0</v>
      </c>
      <c r="BR68" s="310">
        <v>0</v>
      </c>
    </row>
    <row r="69" spans="30:70" x14ac:dyDescent="0.2">
      <c r="AD69" s="307" t="s">
        <v>681</v>
      </c>
      <c r="AE69" s="310">
        <v>0</v>
      </c>
      <c r="AF69" s="310">
        <v>0</v>
      </c>
      <c r="AG69" s="310">
        <v>0</v>
      </c>
      <c r="AH69" s="310">
        <v>0</v>
      </c>
      <c r="AI69" s="310">
        <v>0</v>
      </c>
      <c r="AJ69" s="310">
        <v>0</v>
      </c>
      <c r="AK69" s="310">
        <v>0</v>
      </c>
      <c r="AL69" s="310">
        <v>0</v>
      </c>
      <c r="AM69" s="310">
        <v>0</v>
      </c>
      <c r="AN69" s="310">
        <v>0</v>
      </c>
      <c r="AO69" s="310">
        <v>0</v>
      </c>
      <c r="AP69" s="310">
        <v>0</v>
      </c>
      <c r="AQ69" s="310">
        <v>0</v>
      </c>
      <c r="AR69" s="310">
        <v>0</v>
      </c>
      <c r="AS69" s="310">
        <v>0</v>
      </c>
      <c r="AT69" s="310">
        <v>0</v>
      </c>
      <c r="AU69" s="310">
        <v>0</v>
      </c>
      <c r="AV69" s="310">
        <v>0</v>
      </c>
      <c r="AW69" s="310">
        <v>0</v>
      </c>
      <c r="AX69" s="310">
        <v>0</v>
      </c>
      <c r="AY69" s="310">
        <v>0</v>
      </c>
      <c r="AZ69" s="310">
        <v>0</v>
      </c>
      <c r="BA69" s="310">
        <v>0</v>
      </c>
      <c r="BB69" s="310">
        <v>0</v>
      </c>
      <c r="BC69" s="310">
        <v>0</v>
      </c>
      <c r="BD69" s="310">
        <v>0</v>
      </c>
      <c r="BE69" s="310">
        <v>0</v>
      </c>
      <c r="BF69" s="310">
        <v>668.84165319492104</v>
      </c>
      <c r="BG69" s="310">
        <v>0</v>
      </c>
      <c r="BH69" s="310">
        <v>0</v>
      </c>
      <c r="BI69" s="310">
        <v>0</v>
      </c>
      <c r="BJ69" s="310">
        <v>0</v>
      </c>
      <c r="BK69" s="310">
        <v>0</v>
      </c>
      <c r="BL69" s="310">
        <v>0</v>
      </c>
      <c r="BM69" s="310">
        <v>0</v>
      </c>
      <c r="BN69" s="310">
        <v>0</v>
      </c>
      <c r="BO69" s="310">
        <v>0</v>
      </c>
      <c r="BP69" s="310">
        <v>0</v>
      </c>
      <c r="BQ69" s="310">
        <v>0</v>
      </c>
      <c r="BR69" s="310">
        <v>0</v>
      </c>
    </row>
    <row r="70" spans="30:70" x14ac:dyDescent="0.2">
      <c r="AD70" s="307" t="s">
        <v>682</v>
      </c>
      <c r="AE70" s="310">
        <v>0</v>
      </c>
      <c r="AF70" s="310">
        <v>0</v>
      </c>
      <c r="AG70" s="310">
        <v>0</v>
      </c>
      <c r="AH70" s="310">
        <v>0</v>
      </c>
      <c r="AI70" s="310">
        <v>0</v>
      </c>
      <c r="AJ70" s="310">
        <v>0</v>
      </c>
      <c r="AK70" s="310">
        <v>0</v>
      </c>
      <c r="AL70" s="310">
        <v>0</v>
      </c>
      <c r="AM70" s="310">
        <v>0</v>
      </c>
      <c r="AN70" s="310">
        <v>0</v>
      </c>
      <c r="AO70" s="310">
        <v>0</v>
      </c>
      <c r="AP70" s="310">
        <v>0</v>
      </c>
      <c r="AQ70" s="310">
        <v>0</v>
      </c>
      <c r="AR70" s="310">
        <v>0</v>
      </c>
      <c r="AS70" s="310">
        <v>0</v>
      </c>
      <c r="AT70" s="310">
        <v>0</v>
      </c>
      <c r="AU70" s="310">
        <v>0</v>
      </c>
      <c r="AV70" s="310">
        <v>0</v>
      </c>
      <c r="AW70" s="310">
        <v>0</v>
      </c>
      <c r="AX70" s="310">
        <v>0</v>
      </c>
      <c r="AY70" s="310">
        <v>0</v>
      </c>
      <c r="AZ70" s="310">
        <v>0</v>
      </c>
      <c r="BA70" s="310">
        <v>0</v>
      </c>
      <c r="BB70" s="310">
        <v>0</v>
      </c>
      <c r="BC70" s="310">
        <v>0</v>
      </c>
      <c r="BD70" s="310">
        <v>0</v>
      </c>
      <c r="BE70" s="310">
        <v>184686.52821315001</v>
      </c>
      <c r="BF70" s="310">
        <v>0</v>
      </c>
      <c r="BG70" s="310">
        <v>0</v>
      </c>
      <c r="BH70" s="310">
        <v>0</v>
      </c>
      <c r="BI70" s="310">
        <v>0</v>
      </c>
      <c r="BJ70" s="310">
        <v>0</v>
      </c>
      <c r="BK70" s="310">
        <v>0</v>
      </c>
      <c r="BL70" s="310">
        <v>0</v>
      </c>
      <c r="BM70" s="310">
        <v>0</v>
      </c>
      <c r="BN70" s="310">
        <v>0</v>
      </c>
      <c r="BO70" s="310">
        <v>0</v>
      </c>
      <c r="BP70" s="310">
        <v>0</v>
      </c>
      <c r="BQ70" s="310">
        <v>0</v>
      </c>
      <c r="BR70" s="310">
        <v>0</v>
      </c>
    </row>
    <row r="71" spans="30:70" x14ac:dyDescent="0.2">
      <c r="AD71" s="307" t="s">
        <v>683</v>
      </c>
      <c r="AE71" s="310">
        <v>0</v>
      </c>
      <c r="AF71" s="310">
        <v>0</v>
      </c>
      <c r="AG71" s="310">
        <v>0</v>
      </c>
      <c r="AH71" s="310">
        <v>0</v>
      </c>
      <c r="AI71" s="310">
        <v>0</v>
      </c>
      <c r="AJ71" s="310">
        <v>0</v>
      </c>
      <c r="AK71" s="310">
        <v>0</v>
      </c>
      <c r="AL71" s="310">
        <v>0</v>
      </c>
      <c r="AM71" s="310">
        <v>0</v>
      </c>
      <c r="AN71" s="310">
        <v>0</v>
      </c>
      <c r="AO71" s="310">
        <v>0</v>
      </c>
      <c r="AP71" s="310">
        <v>0</v>
      </c>
      <c r="AQ71" s="310">
        <v>0</v>
      </c>
      <c r="AR71" s="310">
        <v>0</v>
      </c>
      <c r="AS71" s="310">
        <v>184686.52821315001</v>
      </c>
      <c r="AT71" s="310">
        <v>0</v>
      </c>
      <c r="AU71" s="310">
        <v>0</v>
      </c>
      <c r="AV71" s="310">
        <v>0</v>
      </c>
      <c r="AW71" s="310">
        <v>0</v>
      </c>
      <c r="AX71" s="310">
        <v>0</v>
      </c>
      <c r="AY71" s="310">
        <v>0</v>
      </c>
      <c r="AZ71" s="310">
        <v>0</v>
      </c>
      <c r="BA71" s="310">
        <v>0</v>
      </c>
      <c r="BB71" s="310">
        <v>0</v>
      </c>
      <c r="BC71" s="310">
        <v>0</v>
      </c>
      <c r="BD71" s="310">
        <v>0</v>
      </c>
      <c r="BE71" s="310">
        <v>0</v>
      </c>
      <c r="BF71" s="310">
        <v>0</v>
      </c>
      <c r="BG71" s="310">
        <v>0</v>
      </c>
      <c r="BH71" s="310">
        <v>0</v>
      </c>
      <c r="BI71" s="310">
        <v>0</v>
      </c>
      <c r="BJ71" s="310">
        <v>0</v>
      </c>
      <c r="BK71" s="310">
        <v>0</v>
      </c>
      <c r="BL71" s="310">
        <v>0</v>
      </c>
      <c r="BM71" s="310">
        <v>0</v>
      </c>
      <c r="BN71" s="310">
        <v>0</v>
      </c>
      <c r="BO71" s="310">
        <v>0</v>
      </c>
      <c r="BP71" s="310">
        <v>0</v>
      </c>
      <c r="BQ71" s="310">
        <v>0</v>
      </c>
      <c r="BR71" s="310">
        <v>0</v>
      </c>
    </row>
    <row r="72" spans="30:70" x14ac:dyDescent="0.2">
      <c r="AD72" s="307" t="s">
        <v>651</v>
      </c>
      <c r="AE72" s="310">
        <v>0</v>
      </c>
      <c r="AF72" s="310">
        <v>0</v>
      </c>
      <c r="AG72" s="310">
        <v>0</v>
      </c>
      <c r="AH72" s="310">
        <v>0</v>
      </c>
      <c r="AI72" s="310">
        <v>0</v>
      </c>
      <c r="AJ72" s="310">
        <v>0</v>
      </c>
      <c r="AK72" s="310">
        <v>0</v>
      </c>
      <c r="AL72" s="310">
        <v>0</v>
      </c>
      <c r="AM72" s="310">
        <v>0</v>
      </c>
      <c r="AN72" s="310">
        <v>0</v>
      </c>
      <c r="AO72" s="310">
        <v>0</v>
      </c>
      <c r="AP72" s="310">
        <v>0</v>
      </c>
      <c r="AQ72" s="310">
        <v>0</v>
      </c>
      <c r="AR72" s="310">
        <v>0</v>
      </c>
      <c r="AS72" s="310">
        <v>0</v>
      </c>
      <c r="AT72" s="310">
        <v>0</v>
      </c>
      <c r="AU72" s="310">
        <v>0</v>
      </c>
      <c r="AV72" s="310">
        <v>0</v>
      </c>
      <c r="AW72" s="310">
        <v>0</v>
      </c>
      <c r="AX72" s="310">
        <v>0</v>
      </c>
      <c r="AY72" s="310">
        <v>0</v>
      </c>
      <c r="AZ72" s="310">
        <v>0</v>
      </c>
      <c r="BA72" s="310">
        <v>0</v>
      </c>
      <c r="BB72" s="310">
        <v>0</v>
      </c>
      <c r="BC72" s="310">
        <v>0</v>
      </c>
      <c r="BD72" s="310">
        <v>0</v>
      </c>
      <c r="BE72" s="310">
        <v>0</v>
      </c>
      <c r="BF72" s="310">
        <v>0</v>
      </c>
      <c r="BG72" s="310">
        <v>0</v>
      </c>
      <c r="BH72" s="310">
        <v>0</v>
      </c>
      <c r="BI72" s="310">
        <v>0</v>
      </c>
      <c r="BJ72" s="310">
        <v>0</v>
      </c>
      <c r="BK72" s="310">
        <v>0</v>
      </c>
      <c r="BL72" s="310">
        <v>0</v>
      </c>
      <c r="BM72" s="310">
        <v>0</v>
      </c>
      <c r="BN72" s="310">
        <v>0</v>
      </c>
      <c r="BO72" s="310">
        <v>0</v>
      </c>
      <c r="BP72" s="310">
        <v>0</v>
      </c>
      <c r="BQ72" s="310">
        <v>0</v>
      </c>
      <c r="BR72" s="310">
        <v>0</v>
      </c>
    </row>
    <row r="73" spans="30:70" x14ac:dyDescent="0.2">
      <c r="AD73" s="307" t="s">
        <v>652</v>
      </c>
      <c r="AE73" s="310">
        <v>0</v>
      </c>
      <c r="AF73" s="310">
        <v>0</v>
      </c>
      <c r="AG73" s="310">
        <v>0</v>
      </c>
      <c r="AH73" s="310">
        <v>0</v>
      </c>
      <c r="AI73" s="310">
        <v>0</v>
      </c>
      <c r="AJ73" s="310">
        <v>0</v>
      </c>
      <c r="AK73" s="310">
        <v>0</v>
      </c>
      <c r="AL73" s="310">
        <v>0</v>
      </c>
      <c r="AM73" s="310">
        <v>0</v>
      </c>
      <c r="AN73" s="310">
        <v>0</v>
      </c>
      <c r="AO73" s="310">
        <v>0</v>
      </c>
      <c r="AP73" s="310">
        <v>0</v>
      </c>
      <c r="AQ73" s="310">
        <v>0</v>
      </c>
      <c r="AR73" s="310">
        <v>0</v>
      </c>
      <c r="AS73" s="310">
        <v>0</v>
      </c>
      <c r="AT73" s="310">
        <v>0</v>
      </c>
      <c r="AU73" s="310">
        <v>0</v>
      </c>
      <c r="AV73" s="310">
        <v>0</v>
      </c>
      <c r="AW73" s="310">
        <v>0</v>
      </c>
      <c r="AX73" s="310">
        <v>0</v>
      </c>
      <c r="AY73" s="310">
        <v>0</v>
      </c>
      <c r="AZ73" s="310">
        <v>0</v>
      </c>
      <c r="BA73" s="310">
        <v>0</v>
      </c>
      <c r="BB73" s="310">
        <v>0</v>
      </c>
      <c r="BC73" s="310">
        <v>0</v>
      </c>
      <c r="BD73" s="310">
        <v>0</v>
      </c>
      <c r="BE73" s="310">
        <v>0</v>
      </c>
      <c r="BF73" s="310">
        <v>0</v>
      </c>
      <c r="BG73" s="310">
        <v>0</v>
      </c>
      <c r="BH73" s="310">
        <v>0</v>
      </c>
      <c r="BI73" s="310">
        <v>0</v>
      </c>
      <c r="BJ73" s="310">
        <v>0</v>
      </c>
      <c r="BK73" s="310">
        <v>0</v>
      </c>
      <c r="BL73" s="310">
        <v>0</v>
      </c>
      <c r="BM73" s="310">
        <v>0</v>
      </c>
      <c r="BN73" s="310">
        <v>0</v>
      </c>
      <c r="BO73" s="310">
        <v>0</v>
      </c>
      <c r="BP73" s="310">
        <v>0</v>
      </c>
      <c r="BQ73" s="310">
        <v>0</v>
      </c>
      <c r="BR73" s="310">
        <v>0</v>
      </c>
    </row>
    <row r="74" spans="30:70" x14ac:dyDescent="0.2">
      <c r="AD74" s="307" t="s">
        <v>653</v>
      </c>
      <c r="AE74" s="310">
        <v>0</v>
      </c>
      <c r="AF74" s="310">
        <v>0</v>
      </c>
      <c r="AG74" s="310">
        <v>0</v>
      </c>
      <c r="AH74" s="310">
        <v>0</v>
      </c>
      <c r="AI74" s="310">
        <v>0</v>
      </c>
      <c r="AJ74" s="310">
        <v>0</v>
      </c>
      <c r="AK74" s="310">
        <v>0</v>
      </c>
      <c r="AL74" s="310">
        <v>0</v>
      </c>
      <c r="AM74" s="310">
        <v>0</v>
      </c>
      <c r="AN74" s="310">
        <v>0</v>
      </c>
      <c r="AO74" s="310">
        <v>0</v>
      </c>
      <c r="AP74" s="310">
        <v>0</v>
      </c>
      <c r="AQ74" s="310">
        <v>0</v>
      </c>
      <c r="AR74" s="310">
        <v>0</v>
      </c>
      <c r="AS74" s="310">
        <v>0</v>
      </c>
      <c r="AT74" s="310">
        <v>0</v>
      </c>
      <c r="AU74" s="310">
        <v>0</v>
      </c>
      <c r="AV74" s="310">
        <v>0</v>
      </c>
      <c r="AW74" s="310">
        <v>0</v>
      </c>
      <c r="AX74" s="310">
        <v>0</v>
      </c>
      <c r="AY74" s="310">
        <v>0</v>
      </c>
      <c r="AZ74" s="310">
        <v>0</v>
      </c>
      <c r="BA74" s="310">
        <v>0</v>
      </c>
      <c r="BB74" s="310">
        <v>0</v>
      </c>
      <c r="BC74" s="310">
        <v>0</v>
      </c>
      <c r="BD74" s="310">
        <v>0</v>
      </c>
      <c r="BE74" s="310">
        <v>0</v>
      </c>
      <c r="BF74" s="310">
        <v>0</v>
      </c>
      <c r="BG74" s="310">
        <v>0</v>
      </c>
      <c r="BH74" s="310">
        <v>0</v>
      </c>
      <c r="BI74" s="310">
        <v>0</v>
      </c>
      <c r="BJ74" s="310">
        <v>0</v>
      </c>
      <c r="BK74" s="310">
        <v>0</v>
      </c>
      <c r="BL74" s="310">
        <v>0</v>
      </c>
      <c r="BM74" s="310">
        <v>0</v>
      </c>
      <c r="BN74" s="310">
        <v>0</v>
      </c>
      <c r="BO74" s="310">
        <v>0</v>
      </c>
      <c r="BP74" s="310">
        <v>0</v>
      </c>
      <c r="BQ74" s="310">
        <v>0</v>
      </c>
      <c r="BR74" s="310">
        <v>0</v>
      </c>
    </row>
    <row r="75" spans="30:70" x14ac:dyDescent="0.2">
      <c r="AD75" s="307" t="s">
        <v>684</v>
      </c>
      <c r="AE75" s="310">
        <v>0</v>
      </c>
      <c r="AF75" s="310">
        <v>22059.242005331998</v>
      </c>
      <c r="AG75" s="310">
        <v>0</v>
      </c>
      <c r="AH75" s="310">
        <v>0</v>
      </c>
      <c r="AI75" s="310">
        <v>0</v>
      </c>
      <c r="AJ75" s="310">
        <v>0</v>
      </c>
      <c r="AK75" s="310">
        <v>0</v>
      </c>
      <c r="AL75" s="310">
        <v>0</v>
      </c>
      <c r="AM75" s="310">
        <v>0</v>
      </c>
      <c r="AN75" s="310">
        <v>0</v>
      </c>
      <c r="AO75" s="310">
        <v>0</v>
      </c>
      <c r="AP75" s="310">
        <v>0</v>
      </c>
      <c r="AQ75" s="310">
        <v>3204496.1178020099</v>
      </c>
      <c r="AR75" s="310">
        <v>0</v>
      </c>
      <c r="AS75" s="310">
        <v>0</v>
      </c>
      <c r="AT75" s="310">
        <v>0</v>
      </c>
      <c r="AU75" s="310">
        <v>0</v>
      </c>
      <c r="AV75" s="310">
        <v>0</v>
      </c>
      <c r="AW75" s="310">
        <v>0</v>
      </c>
      <c r="AX75" s="310">
        <v>0</v>
      </c>
      <c r="AY75" s="310">
        <v>0</v>
      </c>
      <c r="AZ75" s="310">
        <v>0</v>
      </c>
      <c r="BA75" s="310">
        <v>0</v>
      </c>
      <c r="BB75" s="310">
        <v>0</v>
      </c>
      <c r="BC75" s="310">
        <v>0</v>
      </c>
      <c r="BD75" s="310">
        <v>0</v>
      </c>
      <c r="BE75" s="310">
        <v>0</v>
      </c>
      <c r="BF75" s="310">
        <v>0</v>
      </c>
      <c r="BG75" s="310">
        <v>0</v>
      </c>
      <c r="BH75" s="310">
        <v>0</v>
      </c>
      <c r="BI75" s="310">
        <v>0</v>
      </c>
      <c r="BJ75" s="310">
        <v>0</v>
      </c>
      <c r="BK75" s="310">
        <v>0</v>
      </c>
      <c r="BL75" s="310">
        <v>0</v>
      </c>
      <c r="BM75" s="310">
        <v>0</v>
      </c>
      <c r="BN75" s="310">
        <v>0</v>
      </c>
      <c r="BO75" s="310">
        <v>0</v>
      </c>
      <c r="BP75" s="310">
        <v>0</v>
      </c>
      <c r="BQ75" s="310">
        <v>0</v>
      </c>
      <c r="BR75" s="310">
        <v>0</v>
      </c>
    </row>
    <row r="76" spans="30:70" x14ac:dyDescent="0.2">
      <c r="AD76" s="307" t="s">
        <v>685</v>
      </c>
      <c r="AE76" s="310">
        <v>0</v>
      </c>
      <c r="AF76" s="310">
        <v>0</v>
      </c>
      <c r="AG76" s="310">
        <v>3090735.3644190198</v>
      </c>
      <c r="AH76" s="310">
        <v>0</v>
      </c>
      <c r="AI76" s="310">
        <v>0</v>
      </c>
      <c r="AJ76" s="310">
        <v>0</v>
      </c>
      <c r="AK76" s="310">
        <v>0</v>
      </c>
      <c r="AL76" s="310">
        <v>0</v>
      </c>
      <c r="AM76" s="310">
        <v>0</v>
      </c>
      <c r="AN76" s="310">
        <v>0</v>
      </c>
      <c r="AO76" s="310">
        <v>0</v>
      </c>
      <c r="AP76" s="310">
        <v>0</v>
      </c>
      <c r="AQ76" s="310">
        <v>0</v>
      </c>
      <c r="AR76" s="310">
        <v>0</v>
      </c>
      <c r="AS76" s="310">
        <v>0</v>
      </c>
      <c r="AT76" s="310">
        <v>0</v>
      </c>
      <c r="AU76" s="310">
        <v>0</v>
      </c>
      <c r="AV76" s="310">
        <v>0</v>
      </c>
      <c r="AW76" s="310">
        <v>0</v>
      </c>
      <c r="AX76" s="310">
        <v>0</v>
      </c>
      <c r="AY76" s="310">
        <v>0</v>
      </c>
      <c r="AZ76" s="310">
        <v>0</v>
      </c>
      <c r="BA76" s="310">
        <v>0</v>
      </c>
      <c r="BB76" s="310">
        <v>0</v>
      </c>
      <c r="BC76" s="310">
        <v>0</v>
      </c>
      <c r="BD76" s="310">
        <v>0</v>
      </c>
      <c r="BE76" s="310">
        <v>0</v>
      </c>
      <c r="BF76" s="310">
        <v>0</v>
      </c>
      <c r="BG76" s="310">
        <v>0</v>
      </c>
      <c r="BH76" s="310">
        <v>0</v>
      </c>
      <c r="BI76" s="310">
        <v>0</v>
      </c>
      <c r="BJ76" s="310">
        <v>0</v>
      </c>
      <c r="BK76" s="310">
        <v>0</v>
      </c>
      <c r="BL76" s="310">
        <v>0</v>
      </c>
      <c r="BM76" s="310">
        <v>0</v>
      </c>
      <c r="BN76" s="310">
        <v>0</v>
      </c>
      <c r="BO76" s="310">
        <v>0</v>
      </c>
      <c r="BP76" s="310">
        <v>0</v>
      </c>
      <c r="BQ76" s="310">
        <v>0</v>
      </c>
      <c r="BR76" s="310">
        <v>0</v>
      </c>
    </row>
    <row r="77" spans="30:70" x14ac:dyDescent="0.2">
      <c r="AD77" s="307" t="s">
        <v>686</v>
      </c>
      <c r="AE77" s="310">
        <v>0</v>
      </c>
      <c r="AF77" s="310">
        <v>0</v>
      </c>
      <c r="AG77" s="310">
        <v>0</v>
      </c>
      <c r="AH77" s="310">
        <v>0</v>
      </c>
      <c r="AI77" s="310">
        <v>0</v>
      </c>
      <c r="AJ77" s="310">
        <v>0</v>
      </c>
      <c r="AK77" s="310">
        <v>0</v>
      </c>
      <c r="AL77" s="310">
        <v>0</v>
      </c>
      <c r="AM77" s="310">
        <v>0</v>
      </c>
      <c r="AN77" s="310">
        <v>0</v>
      </c>
      <c r="AO77" s="310">
        <v>0</v>
      </c>
      <c r="AP77" s="310">
        <v>0</v>
      </c>
      <c r="AQ77" s="310">
        <v>0</v>
      </c>
      <c r="AR77" s="310">
        <v>0</v>
      </c>
      <c r="AS77" s="310">
        <v>0</v>
      </c>
      <c r="AT77" s="310">
        <v>0</v>
      </c>
      <c r="AU77" s="310">
        <v>0</v>
      </c>
      <c r="AV77" s="310">
        <v>0</v>
      </c>
      <c r="AW77" s="310">
        <v>0</v>
      </c>
      <c r="AX77" s="310">
        <v>0</v>
      </c>
      <c r="AY77" s="310">
        <v>0</v>
      </c>
      <c r="AZ77" s="310">
        <v>0</v>
      </c>
      <c r="BA77" s="310">
        <v>0</v>
      </c>
      <c r="BB77" s="310">
        <v>0</v>
      </c>
      <c r="BC77" s="310">
        <v>0</v>
      </c>
      <c r="BD77" s="310">
        <v>0</v>
      </c>
      <c r="BE77" s="310">
        <v>0</v>
      </c>
      <c r="BF77" s="310">
        <v>0</v>
      </c>
      <c r="BG77" s="310">
        <v>0</v>
      </c>
      <c r="BH77" s="310">
        <v>0</v>
      </c>
      <c r="BI77" s="310">
        <v>0</v>
      </c>
      <c r="BJ77" s="310">
        <v>0</v>
      </c>
      <c r="BK77" s="310">
        <v>0</v>
      </c>
      <c r="BL77" s="310">
        <v>0</v>
      </c>
      <c r="BM77" s="310">
        <v>0</v>
      </c>
      <c r="BN77" s="310">
        <v>0</v>
      </c>
      <c r="BO77" s="310">
        <v>0</v>
      </c>
      <c r="BP77" s="310">
        <v>21683.690906267198</v>
      </c>
      <c r="BQ77" s="310">
        <v>0</v>
      </c>
      <c r="BR77" s="310">
        <v>0</v>
      </c>
    </row>
    <row r="78" spans="30:70" x14ac:dyDescent="0.2">
      <c r="AD78" s="307" t="s">
        <v>687</v>
      </c>
      <c r="AE78" s="310">
        <v>0</v>
      </c>
      <c r="AF78" s="310">
        <v>0</v>
      </c>
      <c r="AG78" s="310">
        <v>0</v>
      </c>
      <c r="AH78" s="310">
        <v>0</v>
      </c>
      <c r="AI78" s="310">
        <v>0</v>
      </c>
      <c r="AJ78" s="310">
        <v>0</v>
      </c>
      <c r="AK78" s="310">
        <v>0</v>
      </c>
      <c r="AL78" s="310">
        <v>0</v>
      </c>
      <c r="AM78" s="310">
        <v>0</v>
      </c>
      <c r="AN78" s="310">
        <v>0</v>
      </c>
      <c r="AO78" s="310">
        <v>0</v>
      </c>
      <c r="AP78" s="310">
        <v>0</v>
      </c>
      <c r="AQ78" s="310">
        <v>5048.7551388456604</v>
      </c>
      <c r="AR78" s="310">
        <v>0</v>
      </c>
      <c r="AS78" s="310">
        <v>0</v>
      </c>
      <c r="AT78" s="310">
        <v>0</v>
      </c>
      <c r="AU78" s="310">
        <v>0</v>
      </c>
      <c r="AV78" s="310">
        <v>0</v>
      </c>
      <c r="AW78" s="310">
        <v>0</v>
      </c>
      <c r="AX78" s="310">
        <v>0</v>
      </c>
      <c r="AY78" s="310">
        <v>0</v>
      </c>
      <c r="AZ78" s="310">
        <v>0</v>
      </c>
      <c r="BA78" s="310">
        <v>0</v>
      </c>
      <c r="BB78" s="310">
        <v>0</v>
      </c>
      <c r="BC78" s="310">
        <v>0</v>
      </c>
      <c r="BD78" s="310">
        <v>0</v>
      </c>
      <c r="BE78" s="310">
        <v>0</v>
      </c>
      <c r="BF78" s="310">
        <v>0</v>
      </c>
      <c r="BG78" s="310">
        <v>0</v>
      </c>
      <c r="BH78" s="310">
        <v>0</v>
      </c>
      <c r="BI78" s="310">
        <v>0</v>
      </c>
      <c r="BJ78" s="310">
        <v>0</v>
      </c>
      <c r="BK78" s="310">
        <v>0</v>
      </c>
      <c r="BL78" s="310">
        <v>0</v>
      </c>
      <c r="BM78" s="310">
        <v>0</v>
      </c>
      <c r="BN78" s="310">
        <v>0</v>
      </c>
      <c r="BO78" s="310">
        <v>0</v>
      </c>
      <c r="BP78" s="310">
        <v>0</v>
      </c>
      <c r="BQ78" s="310">
        <v>0</v>
      </c>
      <c r="BR78" s="310">
        <v>0</v>
      </c>
    </row>
    <row r="79" spans="30:70" x14ac:dyDescent="0.2">
      <c r="AD79" s="307" t="s">
        <v>688</v>
      </c>
      <c r="AE79" s="310">
        <v>0</v>
      </c>
      <c r="AF79" s="310">
        <v>0</v>
      </c>
      <c r="AG79" s="310">
        <v>0</v>
      </c>
      <c r="AH79" s="310">
        <v>0</v>
      </c>
      <c r="AI79" s="310">
        <v>0</v>
      </c>
      <c r="AJ79" s="310">
        <v>0</v>
      </c>
      <c r="AK79" s="310">
        <v>0</v>
      </c>
      <c r="AL79" s="310">
        <v>0</v>
      </c>
      <c r="AM79" s="310">
        <v>0</v>
      </c>
      <c r="AN79" s="310">
        <v>0</v>
      </c>
      <c r="AO79" s="310">
        <v>0</v>
      </c>
      <c r="AP79" s="310">
        <v>0</v>
      </c>
      <c r="AQ79" s="310">
        <v>0</v>
      </c>
      <c r="AR79" s="310">
        <v>0</v>
      </c>
      <c r="AS79" s="310">
        <v>0</v>
      </c>
      <c r="AT79" s="310">
        <v>5023.7890204089899</v>
      </c>
      <c r="AU79" s="310">
        <v>0</v>
      </c>
      <c r="AV79" s="310">
        <v>0</v>
      </c>
      <c r="AW79" s="310">
        <v>0</v>
      </c>
      <c r="AX79" s="310">
        <v>0</v>
      </c>
      <c r="AY79" s="310">
        <v>0</v>
      </c>
      <c r="AZ79" s="310">
        <v>0</v>
      </c>
      <c r="BA79" s="310">
        <v>0</v>
      </c>
      <c r="BB79" s="310">
        <v>0</v>
      </c>
      <c r="BC79" s="310">
        <v>0</v>
      </c>
      <c r="BD79" s="310">
        <v>0</v>
      </c>
      <c r="BE79" s="310">
        <v>0</v>
      </c>
      <c r="BF79" s="310">
        <v>0</v>
      </c>
      <c r="BG79" s="310">
        <v>0</v>
      </c>
      <c r="BH79" s="310">
        <v>0</v>
      </c>
      <c r="BI79" s="310">
        <v>0</v>
      </c>
      <c r="BJ79" s="310">
        <v>0</v>
      </c>
      <c r="BK79" s="310">
        <v>0</v>
      </c>
      <c r="BL79" s="310">
        <v>0</v>
      </c>
      <c r="BM79" s="310">
        <v>0</v>
      </c>
      <c r="BN79" s="310">
        <v>0</v>
      </c>
      <c r="BO79" s="310">
        <v>0</v>
      </c>
      <c r="BP79" s="310">
        <v>0</v>
      </c>
      <c r="BQ79" s="310">
        <v>0</v>
      </c>
      <c r="BR79" s="310">
        <v>0</v>
      </c>
    </row>
    <row r="80" spans="30:70" x14ac:dyDescent="0.2">
      <c r="AD80" s="307" t="s">
        <v>689</v>
      </c>
      <c r="AE80" s="310">
        <v>0</v>
      </c>
      <c r="AF80" s="310">
        <v>0</v>
      </c>
      <c r="AG80" s="310">
        <v>0</v>
      </c>
      <c r="AH80" s="310">
        <v>0</v>
      </c>
      <c r="AI80" s="310">
        <v>0</v>
      </c>
      <c r="AJ80" s="310">
        <v>0</v>
      </c>
      <c r="AK80" s="310">
        <v>0</v>
      </c>
      <c r="AL80" s="310">
        <v>0</v>
      </c>
      <c r="AM80" s="310">
        <v>0</v>
      </c>
      <c r="AN80" s="310">
        <v>0</v>
      </c>
      <c r="AO80" s="310">
        <v>0</v>
      </c>
      <c r="AP80" s="310">
        <v>0</v>
      </c>
      <c r="AQ80" s="310">
        <v>0</v>
      </c>
      <c r="AR80" s="310">
        <v>0</v>
      </c>
      <c r="AS80" s="310">
        <v>0</v>
      </c>
      <c r="AT80" s="310">
        <v>0</v>
      </c>
      <c r="AU80" s="310">
        <v>0</v>
      </c>
      <c r="AV80" s="310">
        <v>0</v>
      </c>
      <c r="AW80" s="310">
        <v>0</v>
      </c>
      <c r="AX80" s="310">
        <v>0</v>
      </c>
      <c r="AY80" s="310">
        <v>0</v>
      </c>
      <c r="AZ80" s="310">
        <v>0</v>
      </c>
      <c r="BA80" s="310">
        <v>0</v>
      </c>
      <c r="BB80" s="310">
        <v>0</v>
      </c>
      <c r="BC80" s="310">
        <v>0</v>
      </c>
      <c r="BD80" s="310">
        <v>0</v>
      </c>
      <c r="BE80" s="310">
        <v>0</v>
      </c>
      <c r="BF80" s="310">
        <v>0</v>
      </c>
      <c r="BG80" s="310">
        <v>0</v>
      </c>
      <c r="BH80" s="310">
        <v>0</v>
      </c>
      <c r="BI80" s="310">
        <v>0</v>
      </c>
      <c r="BJ80" s="310">
        <v>0</v>
      </c>
      <c r="BK80" s="310">
        <v>0</v>
      </c>
      <c r="BL80" s="310">
        <v>0</v>
      </c>
      <c r="BM80" s="310">
        <v>0</v>
      </c>
      <c r="BN80" s="310">
        <v>0</v>
      </c>
      <c r="BO80" s="310">
        <v>0</v>
      </c>
      <c r="BP80" s="310">
        <v>0</v>
      </c>
      <c r="BQ80" s="310">
        <v>0</v>
      </c>
      <c r="BR80" s="310">
        <v>0</v>
      </c>
    </row>
    <row r="81" spans="30:113" x14ac:dyDescent="0.2">
      <c r="AD81" s="307" t="s">
        <v>690</v>
      </c>
      <c r="AE81" s="310">
        <v>0</v>
      </c>
      <c r="AF81" s="310">
        <v>0</v>
      </c>
      <c r="AG81" s="310">
        <v>0</v>
      </c>
      <c r="AH81" s="310">
        <v>0</v>
      </c>
      <c r="AI81" s="310">
        <v>0</v>
      </c>
      <c r="AJ81" s="310">
        <v>0</v>
      </c>
      <c r="AK81" s="310">
        <v>0</v>
      </c>
      <c r="AL81" s="310">
        <v>0</v>
      </c>
      <c r="AM81" s="310">
        <v>0</v>
      </c>
      <c r="AN81" s="310">
        <v>0</v>
      </c>
      <c r="AO81" s="310">
        <v>0</v>
      </c>
      <c r="AP81" s="310">
        <v>0</v>
      </c>
      <c r="AQ81" s="310">
        <v>82.091627997489695</v>
      </c>
      <c r="AR81" s="310">
        <v>0</v>
      </c>
      <c r="AS81" s="310">
        <v>0</v>
      </c>
      <c r="AT81" s="310">
        <v>0</v>
      </c>
      <c r="AU81" s="310">
        <v>0</v>
      </c>
      <c r="AV81" s="310">
        <v>0</v>
      </c>
      <c r="AW81" s="310">
        <v>0</v>
      </c>
      <c r="AX81" s="310">
        <v>0</v>
      </c>
      <c r="AY81" s="310">
        <v>0</v>
      </c>
      <c r="AZ81" s="310">
        <v>0</v>
      </c>
      <c r="BA81" s="310">
        <v>0</v>
      </c>
      <c r="BB81" s="310">
        <v>0</v>
      </c>
      <c r="BC81" s="310">
        <v>0</v>
      </c>
      <c r="BD81" s="310">
        <v>0</v>
      </c>
      <c r="BE81" s="310">
        <v>0</v>
      </c>
      <c r="BF81" s="310">
        <v>0</v>
      </c>
      <c r="BG81" s="310">
        <v>0</v>
      </c>
      <c r="BH81" s="310">
        <v>0</v>
      </c>
      <c r="BI81" s="310">
        <v>0</v>
      </c>
      <c r="BJ81" s="310">
        <v>0</v>
      </c>
      <c r="BK81" s="310">
        <v>0</v>
      </c>
      <c r="BL81" s="310">
        <v>0</v>
      </c>
      <c r="BM81" s="310">
        <v>0</v>
      </c>
      <c r="BN81" s="310">
        <v>0</v>
      </c>
      <c r="BO81" s="310">
        <v>0</v>
      </c>
      <c r="BP81" s="310">
        <v>0</v>
      </c>
      <c r="BQ81" s="310">
        <v>0</v>
      </c>
      <c r="BR81" s="310">
        <v>0</v>
      </c>
    </row>
    <row r="82" spans="30:113" x14ac:dyDescent="0.2">
      <c r="AD82" s="307" t="s">
        <v>691</v>
      </c>
      <c r="AE82" s="310">
        <v>0</v>
      </c>
      <c r="AF82" s="310">
        <v>0</v>
      </c>
      <c r="AG82" s="310">
        <v>0</v>
      </c>
      <c r="AH82" s="310">
        <v>0</v>
      </c>
      <c r="AI82" s="310">
        <v>0</v>
      </c>
      <c r="AJ82" s="310">
        <v>0</v>
      </c>
      <c r="AK82" s="310">
        <v>0</v>
      </c>
      <c r="AL82" s="310">
        <v>0</v>
      </c>
      <c r="AM82" s="310">
        <v>0</v>
      </c>
      <c r="AN82" s="310">
        <v>0</v>
      </c>
      <c r="AO82" s="310">
        <v>0</v>
      </c>
      <c r="AP82" s="310">
        <v>0</v>
      </c>
      <c r="AQ82" s="310">
        <v>0</v>
      </c>
      <c r="AR82" s="310">
        <v>0</v>
      </c>
      <c r="AS82" s="310">
        <v>0</v>
      </c>
      <c r="AT82" s="310">
        <v>0</v>
      </c>
      <c r="AU82" s="310">
        <v>82.091627997489695</v>
      </c>
      <c r="AV82" s="310">
        <v>0</v>
      </c>
      <c r="AW82" s="310">
        <v>0</v>
      </c>
      <c r="AX82" s="310">
        <v>0</v>
      </c>
      <c r="AY82" s="310">
        <v>0</v>
      </c>
      <c r="AZ82" s="310">
        <v>0</v>
      </c>
      <c r="BA82" s="310">
        <v>0</v>
      </c>
      <c r="BB82" s="310">
        <v>0</v>
      </c>
      <c r="BC82" s="310">
        <v>0</v>
      </c>
      <c r="BD82" s="310">
        <v>0</v>
      </c>
      <c r="BE82" s="310">
        <v>0</v>
      </c>
      <c r="BF82" s="310">
        <v>0</v>
      </c>
      <c r="BG82" s="310">
        <v>0</v>
      </c>
      <c r="BH82" s="310">
        <v>0</v>
      </c>
      <c r="BI82" s="310">
        <v>0</v>
      </c>
      <c r="BJ82" s="310">
        <v>0</v>
      </c>
      <c r="BK82" s="310">
        <v>0</v>
      </c>
      <c r="BL82" s="310">
        <v>0</v>
      </c>
      <c r="BM82" s="310">
        <v>0</v>
      </c>
      <c r="BN82" s="310">
        <v>0</v>
      </c>
      <c r="BO82" s="310">
        <v>0</v>
      </c>
      <c r="BP82" s="310">
        <v>0</v>
      </c>
      <c r="BQ82" s="310">
        <v>0</v>
      </c>
      <c r="BR82" s="310">
        <v>0</v>
      </c>
    </row>
    <row r="83" spans="30:113" x14ac:dyDescent="0.2">
      <c r="AD83" s="307" t="s">
        <v>654</v>
      </c>
      <c r="AE83" s="310">
        <v>0</v>
      </c>
      <c r="AF83" s="310">
        <v>0</v>
      </c>
      <c r="AG83" s="310">
        <v>0</v>
      </c>
      <c r="AH83" s="310">
        <v>0</v>
      </c>
      <c r="AI83" s="310">
        <v>0</v>
      </c>
      <c r="AJ83" s="310">
        <v>0</v>
      </c>
      <c r="AK83" s="310">
        <v>0</v>
      </c>
      <c r="AL83" s="310">
        <v>0</v>
      </c>
      <c r="AM83" s="310">
        <v>0</v>
      </c>
      <c r="AN83" s="310">
        <v>0</v>
      </c>
      <c r="AO83" s="310">
        <v>0</v>
      </c>
      <c r="AP83" s="310">
        <v>0</v>
      </c>
      <c r="AQ83" s="310">
        <v>0</v>
      </c>
      <c r="AR83" s="310">
        <v>0</v>
      </c>
      <c r="AS83" s="310">
        <v>0</v>
      </c>
      <c r="AT83" s="310">
        <v>0</v>
      </c>
      <c r="AU83" s="310">
        <v>0</v>
      </c>
      <c r="AV83" s="310">
        <v>0</v>
      </c>
      <c r="AW83" s="310">
        <v>0</v>
      </c>
      <c r="AX83" s="310">
        <v>0</v>
      </c>
      <c r="AY83" s="310">
        <v>0</v>
      </c>
      <c r="AZ83" s="310">
        <v>0</v>
      </c>
      <c r="BA83" s="310">
        <v>0</v>
      </c>
      <c r="BB83" s="310">
        <v>0</v>
      </c>
      <c r="BC83" s="310">
        <v>0</v>
      </c>
      <c r="BD83" s="310">
        <v>0</v>
      </c>
      <c r="BE83" s="310">
        <v>0</v>
      </c>
      <c r="BF83" s="310">
        <v>0</v>
      </c>
      <c r="BG83" s="310">
        <v>0</v>
      </c>
      <c r="BH83" s="310">
        <v>0</v>
      </c>
      <c r="BI83" s="310">
        <v>0</v>
      </c>
      <c r="BJ83" s="310">
        <v>0</v>
      </c>
      <c r="BK83" s="310">
        <v>0</v>
      </c>
      <c r="BL83" s="310">
        <v>0</v>
      </c>
      <c r="BM83" s="310">
        <v>0</v>
      </c>
      <c r="BN83" s="310">
        <v>0</v>
      </c>
      <c r="BO83" s="310">
        <v>0</v>
      </c>
      <c r="BP83" s="310">
        <v>0</v>
      </c>
      <c r="BQ83" s="310">
        <v>0</v>
      </c>
      <c r="BR83" s="310">
        <v>0</v>
      </c>
    </row>
    <row r="84" spans="30:113" x14ac:dyDescent="0.2">
      <c r="AD84" s="307" t="s">
        <v>692</v>
      </c>
      <c r="AE84" s="310">
        <v>0</v>
      </c>
      <c r="AF84" s="310">
        <v>0</v>
      </c>
      <c r="AG84" s="310">
        <v>0</v>
      </c>
      <c r="AH84" s="310">
        <v>0</v>
      </c>
      <c r="AI84" s="310">
        <v>0</v>
      </c>
      <c r="AJ84" s="310">
        <v>0</v>
      </c>
      <c r="AK84" s="310">
        <v>0</v>
      </c>
      <c r="AL84" s="310">
        <v>0</v>
      </c>
      <c r="AM84" s="310">
        <v>0</v>
      </c>
      <c r="AN84" s="310">
        <v>0</v>
      </c>
      <c r="AO84" s="310">
        <v>0</v>
      </c>
      <c r="AP84" s="310">
        <v>0</v>
      </c>
      <c r="AQ84" s="310">
        <v>43.206119998678503</v>
      </c>
      <c r="AR84" s="310">
        <v>0</v>
      </c>
      <c r="AS84" s="310">
        <v>0</v>
      </c>
      <c r="AT84" s="310">
        <v>0</v>
      </c>
      <c r="AU84" s="310">
        <v>0</v>
      </c>
      <c r="AV84" s="310">
        <v>0</v>
      </c>
      <c r="AW84" s="310">
        <v>0</v>
      </c>
      <c r="AX84" s="310">
        <v>0</v>
      </c>
      <c r="AY84" s="310">
        <v>0</v>
      </c>
      <c r="AZ84" s="310">
        <v>0</v>
      </c>
      <c r="BA84" s="310">
        <v>0</v>
      </c>
      <c r="BB84" s="310">
        <v>0</v>
      </c>
      <c r="BC84" s="310">
        <v>0</v>
      </c>
      <c r="BD84" s="310">
        <v>0</v>
      </c>
      <c r="BE84" s="310">
        <v>0</v>
      </c>
      <c r="BF84" s="310">
        <v>0</v>
      </c>
      <c r="BG84" s="310">
        <v>0</v>
      </c>
      <c r="BH84" s="310">
        <v>0</v>
      </c>
      <c r="BI84" s="310">
        <v>0</v>
      </c>
      <c r="BJ84" s="310">
        <v>0</v>
      </c>
      <c r="BK84" s="310">
        <v>0</v>
      </c>
      <c r="BL84" s="310">
        <v>0</v>
      </c>
      <c r="BM84" s="310">
        <v>0</v>
      </c>
      <c r="BN84" s="310">
        <v>0</v>
      </c>
      <c r="BO84" s="310">
        <v>0</v>
      </c>
      <c r="BP84" s="310">
        <v>0</v>
      </c>
      <c r="BQ84" s="310">
        <v>0</v>
      </c>
      <c r="BR84" s="310">
        <v>0</v>
      </c>
    </row>
    <row r="85" spans="30:113" x14ac:dyDescent="0.2">
      <c r="AD85" s="307" t="s">
        <v>693</v>
      </c>
      <c r="AE85" s="310">
        <v>0</v>
      </c>
      <c r="AF85" s="310">
        <v>0</v>
      </c>
      <c r="AG85" s="310">
        <v>0</v>
      </c>
      <c r="AH85" s="310">
        <v>0</v>
      </c>
      <c r="AI85" s="310">
        <v>0</v>
      </c>
      <c r="AJ85" s="310">
        <v>0</v>
      </c>
      <c r="AK85" s="310">
        <v>0</v>
      </c>
      <c r="AL85" s="310">
        <v>0</v>
      </c>
      <c r="AM85" s="310">
        <v>0</v>
      </c>
      <c r="AN85" s="310">
        <v>0</v>
      </c>
      <c r="AO85" s="310">
        <v>0</v>
      </c>
      <c r="AP85" s="310">
        <v>0</v>
      </c>
      <c r="AQ85" s="310">
        <v>0</v>
      </c>
      <c r="AR85" s="310">
        <v>0</v>
      </c>
      <c r="AS85" s="310">
        <v>0</v>
      </c>
      <c r="AT85" s="310">
        <v>0</v>
      </c>
      <c r="AU85" s="310">
        <v>0</v>
      </c>
      <c r="AV85" s="310">
        <v>43.206119998678503</v>
      </c>
      <c r="AW85" s="310">
        <v>0</v>
      </c>
      <c r="AX85" s="310">
        <v>0</v>
      </c>
      <c r="AY85" s="310">
        <v>0</v>
      </c>
      <c r="AZ85" s="310">
        <v>0</v>
      </c>
      <c r="BA85" s="310">
        <v>0</v>
      </c>
      <c r="BB85" s="310">
        <v>0</v>
      </c>
      <c r="BC85" s="310">
        <v>0</v>
      </c>
      <c r="BD85" s="310">
        <v>0</v>
      </c>
      <c r="BE85" s="310">
        <v>0</v>
      </c>
      <c r="BF85" s="310">
        <v>0</v>
      </c>
      <c r="BG85" s="310">
        <v>0</v>
      </c>
      <c r="BH85" s="310">
        <v>0</v>
      </c>
      <c r="BI85" s="310">
        <v>0</v>
      </c>
      <c r="BJ85" s="310">
        <v>0</v>
      </c>
      <c r="BK85" s="310">
        <v>0</v>
      </c>
      <c r="BL85" s="310">
        <v>0</v>
      </c>
      <c r="BM85" s="310">
        <v>0</v>
      </c>
      <c r="BN85" s="310">
        <v>0</v>
      </c>
      <c r="BO85" s="310">
        <v>0</v>
      </c>
      <c r="BP85" s="310">
        <v>0</v>
      </c>
      <c r="BQ85" s="310">
        <v>0</v>
      </c>
      <c r="BR85" s="310">
        <v>0</v>
      </c>
    </row>
    <row r="86" spans="30:113" x14ac:dyDescent="0.2">
      <c r="AE86" s="432" t="s">
        <v>472</v>
      </c>
      <c r="AF86" s="433"/>
      <c r="AG86" s="433"/>
      <c r="AH86" s="433"/>
      <c r="AI86" s="433"/>
      <c r="AJ86" s="433"/>
      <c r="AK86" s="433"/>
      <c r="AL86" s="433"/>
      <c r="AM86" s="433"/>
      <c r="AN86" s="433"/>
      <c r="AO86" s="433"/>
      <c r="AP86" s="433"/>
      <c r="AQ86" s="433"/>
      <c r="AR86" s="433"/>
      <c r="AS86" s="433"/>
      <c r="AT86" s="433"/>
      <c r="AU86" s="433"/>
      <c r="AV86" s="433"/>
      <c r="AW86" s="433"/>
      <c r="AX86" s="433"/>
      <c r="AY86" s="433"/>
      <c r="AZ86" s="433"/>
      <c r="BA86" s="433"/>
      <c r="BB86" s="433"/>
      <c r="BC86" s="433"/>
      <c r="BD86" s="433"/>
      <c r="BE86" s="433"/>
      <c r="BF86" s="433"/>
      <c r="BG86" s="433"/>
      <c r="BH86" s="433"/>
      <c r="BI86" s="433"/>
      <c r="BJ86" s="433"/>
      <c r="BK86" s="433"/>
      <c r="BL86" s="433"/>
      <c r="BM86" s="433"/>
      <c r="BN86" s="433"/>
      <c r="BO86" s="433"/>
      <c r="BP86" s="433"/>
      <c r="BQ86" s="433"/>
      <c r="BR86" s="433"/>
    </row>
    <row r="89" spans="30:113" ht="185" x14ac:dyDescent="0.2">
      <c r="AE89" s="308" t="s">
        <v>641</v>
      </c>
      <c r="AF89" s="308" t="s">
        <v>642</v>
      </c>
      <c r="AG89" s="308" t="s">
        <v>643</v>
      </c>
      <c r="AH89" s="308" t="s">
        <v>644</v>
      </c>
      <c r="AI89" s="308" t="s">
        <v>645</v>
      </c>
      <c r="AJ89" s="308" t="s">
        <v>646</v>
      </c>
      <c r="AK89" s="308" t="s">
        <v>647</v>
      </c>
      <c r="AL89" s="308" t="s">
        <v>648</v>
      </c>
      <c r="AM89" s="308" t="s">
        <v>649</v>
      </c>
      <c r="AN89" s="308" t="s">
        <v>650</v>
      </c>
      <c r="AO89" s="308" t="s">
        <v>651</v>
      </c>
      <c r="AP89" s="308" t="s">
        <v>652</v>
      </c>
      <c r="AQ89" s="308" t="s">
        <v>653</v>
      </c>
      <c r="AR89" s="308" t="s">
        <v>654</v>
      </c>
      <c r="AS89" s="308" t="s">
        <v>673</v>
      </c>
      <c r="AT89" s="308" t="s">
        <v>674</v>
      </c>
      <c r="AU89" s="308" t="s">
        <v>675</v>
      </c>
      <c r="AV89" s="308" t="s">
        <v>676</v>
      </c>
      <c r="AW89" s="308" t="s">
        <v>342</v>
      </c>
      <c r="AX89" s="308" t="s">
        <v>448</v>
      </c>
      <c r="AY89" s="308" t="s">
        <v>462</v>
      </c>
      <c r="AZ89" s="308" t="s">
        <v>677</v>
      </c>
      <c r="BA89" s="308" t="s">
        <v>678</v>
      </c>
      <c r="BB89" s="308" t="s">
        <v>463</v>
      </c>
      <c r="BC89" s="308" t="s">
        <v>343</v>
      </c>
      <c r="BD89" s="308" t="s">
        <v>679</v>
      </c>
      <c r="BE89" s="308" t="s">
        <v>680</v>
      </c>
      <c r="BF89" s="308" t="s">
        <v>681</v>
      </c>
      <c r="BG89" s="308" t="s">
        <v>682</v>
      </c>
      <c r="BH89" s="308" t="s">
        <v>683</v>
      </c>
      <c r="BI89" s="308" t="s">
        <v>684</v>
      </c>
      <c r="BJ89" s="308" t="s">
        <v>685</v>
      </c>
      <c r="BK89" s="308" t="s">
        <v>686</v>
      </c>
      <c r="BL89" s="308" t="s">
        <v>687</v>
      </c>
      <c r="BM89" s="308" t="s">
        <v>688</v>
      </c>
      <c r="BN89" s="308" t="s">
        <v>689</v>
      </c>
      <c r="BO89" s="308" t="s">
        <v>690</v>
      </c>
      <c r="BP89" s="308" t="s">
        <v>691</v>
      </c>
      <c r="BQ89" s="308" t="s">
        <v>692</v>
      </c>
      <c r="BR89" s="308" t="s">
        <v>693</v>
      </c>
      <c r="BV89" s="308" t="s">
        <v>641</v>
      </c>
      <c r="BW89" s="308" t="s">
        <v>642</v>
      </c>
      <c r="BX89" s="308" t="s">
        <v>643</v>
      </c>
      <c r="BY89" s="308" t="s">
        <v>644</v>
      </c>
      <c r="BZ89" s="308" t="s">
        <v>645</v>
      </c>
      <c r="CA89" s="308" t="s">
        <v>646</v>
      </c>
      <c r="CB89" s="308" t="s">
        <v>647</v>
      </c>
      <c r="CC89" s="308" t="s">
        <v>648</v>
      </c>
      <c r="CD89" s="308" t="s">
        <v>649</v>
      </c>
      <c r="CE89" s="308" t="s">
        <v>650</v>
      </c>
      <c r="CF89" s="308" t="s">
        <v>651</v>
      </c>
      <c r="CG89" s="308" t="s">
        <v>652</v>
      </c>
      <c r="CH89" s="308" t="s">
        <v>653</v>
      </c>
      <c r="CI89" s="308" t="s">
        <v>654</v>
      </c>
      <c r="CJ89" s="308" t="s">
        <v>673</v>
      </c>
      <c r="CK89" s="308" t="s">
        <v>674</v>
      </c>
      <c r="CL89" s="308" t="s">
        <v>675</v>
      </c>
      <c r="CM89" s="308" t="s">
        <v>676</v>
      </c>
      <c r="CN89" s="308" t="s">
        <v>342</v>
      </c>
      <c r="CO89" s="308" t="s">
        <v>448</v>
      </c>
      <c r="CP89" s="308" t="s">
        <v>462</v>
      </c>
      <c r="CQ89" s="308" t="s">
        <v>677</v>
      </c>
      <c r="CR89" s="308" t="s">
        <v>678</v>
      </c>
      <c r="CS89" s="308" t="s">
        <v>463</v>
      </c>
      <c r="CT89" s="308" t="s">
        <v>343</v>
      </c>
      <c r="CU89" s="308" t="s">
        <v>679</v>
      </c>
      <c r="CV89" s="308" t="s">
        <v>680</v>
      </c>
      <c r="CW89" s="308" t="s">
        <v>681</v>
      </c>
      <c r="CX89" s="308" t="s">
        <v>682</v>
      </c>
      <c r="CY89" s="308" t="s">
        <v>683</v>
      </c>
      <c r="CZ89" s="308" t="s">
        <v>684</v>
      </c>
      <c r="DA89" s="308" t="s">
        <v>685</v>
      </c>
      <c r="DB89" s="308" t="s">
        <v>686</v>
      </c>
      <c r="DC89" s="308" t="s">
        <v>687</v>
      </c>
      <c r="DD89" s="308" t="s">
        <v>688</v>
      </c>
      <c r="DE89" s="308" t="s">
        <v>689</v>
      </c>
      <c r="DF89" s="308" t="s">
        <v>690</v>
      </c>
      <c r="DG89" s="308" t="s">
        <v>691</v>
      </c>
      <c r="DH89" s="308" t="s">
        <v>692</v>
      </c>
      <c r="DI89" s="308" t="s">
        <v>693</v>
      </c>
    </row>
    <row r="90" spans="30:113" x14ac:dyDescent="0.2">
      <c r="AD90" s="307" t="s">
        <v>673</v>
      </c>
      <c r="AE90" s="309">
        <v>0</v>
      </c>
      <c r="AF90" s="309">
        <v>45017.590801780199</v>
      </c>
      <c r="AG90" s="309">
        <v>0</v>
      </c>
      <c r="AH90" s="309">
        <v>0</v>
      </c>
      <c r="AI90" s="309">
        <v>0</v>
      </c>
      <c r="AJ90" s="309">
        <v>0</v>
      </c>
      <c r="AK90" s="309">
        <v>0</v>
      </c>
      <c r="AL90" s="309">
        <v>0</v>
      </c>
      <c r="AM90" s="309">
        <v>0</v>
      </c>
      <c r="AN90" s="309">
        <v>0</v>
      </c>
      <c r="AO90" s="309">
        <v>0</v>
      </c>
      <c r="AP90" s="309">
        <v>0</v>
      </c>
      <c r="AQ90" s="309">
        <v>0</v>
      </c>
      <c r="AR90" s="309">
        <v>0</v>
      </c>
      <c r="AS90" s="309">
        <v>0</v>
      </c>
      <c r="AT90" s="309">
        <v>0</v>
      </c>
      <c r="AU90" s="309">
        <v>0</v>
      </c>
      <c r="AV90" s="309">
        <v>0</v>
      </c>
      <c r="AW90" s="309">
        <v>0</v>
      </c>
      <c r="AX90" s="309">
        <v>0</v>
      </c>
      <c r="AY90" s="309">
        <v>0</v>
      </c>
      <c r="AZ90" s="309">
        <v>0</v>
      </c>
      <c r="BA90" s="309">
        <v>0</v>
      </c>
      <c r="BB90" s="309">
        <v>0</v>
      </c>
      <c r="BC90" s="309">
        <v>0</v>
      </c>
      <c r="BD90" s="309">
        <v>0</v>
      </c>
      <c r="BE90" s="309">
        <v>0</v>
      </c>
      <c r="BF90" s="309">
        <v>0</v>
      </c>
      <c r="BG90" s="309">
        <v>0</v>
      </c>
      <c r="BH90" s="309">
        <v>0</v>
      </c>
      <c r="BI90" s="309">
        <v>0</v>
      </c>
      <c r="BJ90" s="309">
        <v>0</v>
      </c>
      <c r="BK90" s="309">
        <v>0</v>
      </c>
      <c r="BL90" s="309">
        <v>0</v>
      </c>
      <c r="BM90" s="309">
        <v>0</v>
      </c>
      <c r="BN90" s="309">
        <v>0</v>
      </c>
      <c r="BO90" s="309">
        <v>0</v>
      </c>
      <c r="BP90" s="309">
        <v>0</v>
      </c>
      <c r="BQ90" s="309">
        <v>0</v>
      </c>
      <c r="BR90" s="309">
        <v>0</v>
      </c>
      <c r="BU90" s="307" t="s">
        <v>673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  <c r="CM90" s="306">
        <v>0</v>
      </c>
      <c r="CN90" s="306">
        <v>0</v>
      </c>
      <c r="CO90" s="306">
        <v>0</v>
      </c>
      <c r="CP90" s="306">
        <v>0</v>
      </c>
      <c r="CQ90" s="306">
        <v>0</v>
      </c>
      <c r="CR90" s="306">
        <v>0</v>
      </c>
      <c r="CS90" s="306">
        <v>0</v>
      </c>
      <c r="CT90" s="306">
        <v>0</v>
      </c>
      <c r="CU90" s="306">
        <v>0</v>
      </c>
      <c r="CV90" s="306">
        <v>0</v>
      </c>
      <c r="CW90" s="306">
        <v>0</v>
      </c>
      <c r="CX90" s="306">
        <v>0</v>
      </c>
      <c r="CY90" s="306">
        <v>0</v>
      </c>
      <c r="CZ90" s="306">
        <v>0</v>
      </c>
      <c r="DA90" s="306">
        <v>0</v>
      </c>
      <c r="DB90" s="306">
        <v>0</v>
      </c>
      <c r="DC90" s="306">
        <v>0</v>
      </c>
      <c r="DD90" s="306">
        <v>0</v>
      </c>
      <c r="DE90" s="306">
        <v>0</v>
      </c>
      <c r="DF90" s="306">
        <v>0</v>
      </c>
      <c r="DG90" s="306">
        <v>0</v>
      </c>
      <c r="DH90" s="306">
        <v>0</v>
      </c>
      <c r="DI90" s="306">
        <v>0</v>
      </c>
    </row>
    <row r="91" spans="30:113" x14ac:dyDescent="0.2">
      <c r="AD91" s="307" t="s">
        <v>641</v>
      </c>
      <c r="AE91" s="309">
        <v>0</v>
      </c>
      <c r="AF91" s="309">
        <v>0</v>
      </c>
      <c r="AG91" s="309">
        <v>0</v>
      </c>
      <c r="AH91" s="309">
        <v>0</v>
      </c>
      <c r="AI91" s="309">
        <v>0</v>
      </c>
      <c r="AJ91" s="309">
        <v>0</v>
      </c>
      <c r="AK91" s="309">
        <v>0</v>
      </c>
      <c r="AL91" s="309">
        <v>0</v>
      </c>
      <c r="AM91" s="309">
        <v>0</v>
      </c>
      <c r="AN91" s="309">
        <v>0</v>
      </c>
      <c r="AO91" s="309">
        <v>0</v>
      </c>
      <c r="AP91" s="309">
        <v>0</v>
      </c>
      <c r="AQ91" s="309">
        <v>0</v>
      </c>
      <c r="AR91" s="309">
        <v>0</v>
      </c>
      <c r="AS91" s="309">
        <v>0</v>
      </c>
      <c r="AT91" s="309">
        <v>0</v>
      </c>
      <c r="AU91" s="309">
        <v>0</v>
      </c>
      <c r="AV91" s="309">
        <v>0</v>
      </c>
      <c r="AW91" s="309">
        <v>0</v>
      </c>
      <c r="AX91" s="309">
        <v>0</v>
      </c>
      <c r="AY91" s="309">
        <v>0</v>
      </c>
      <c r="AZ91" s="309">
        <v>0</v>
      </c>
      <c r="BA91" s="309">
        <v>0</v>
      </c>
      <c r="BB91" s="309">
        <v>0</v>
      </c>
      <c r="BC91" s="309">
        <v>0</v>
      </c>
      <c r="BD91" s="309">
        <v>0</v>
      </c>
      <c r="BE91" s="309">
        <v>0</v>
      </c>
      <c r="BF91" s="309">
        <v>0</v>
      </c>
      <c r="BG91" s="309">
        <v>0</v>
      </c>
      <c r="BH91" s="309">
        <v>0</v>
      </c>
      <c r="BI91" s="309">
        <v>0</v>
      </c>
      <c r="BJ91" s="309">
        <v>0</v>
      </c>
      <c r="BK91" s="309">
        <v>0</v>
      </c>
      <c r="BL91" s="309">
        <v>0</v>
      </c>
      <c r="BM91" s="309">
        <v>0</v>
      </c>
      <c r="BN91" s="309">
        <v>0</v>
      </c>
      <c r="BO91" s="309">
        <v>0</v>
      </c>
      <c r="BP91" s="309">
        <v>0</v>
      </c>
      <c r="BQ91" s="309">
        <v>0</v>
      </c>
      <c r="BR91" s="309">
        <v>0</v>
      </c>
      <c r="BU91" s="307" t="s">
        <v>641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  <c r="CM91" s="306">
        <v>0</v>
      </c>
      <c r="CN91" s="306">
        <v>0</v>
      </c>
      <c r="CO91" s="306">
        <v>0</v>
      </c>
      <c r="CP91" s="306">
        <v>0</v>
      </c>
      <c r="CQ91" s="306">
        <v>0</v>
      </c>
      <c r="CR91" s="306">
        <v>0</v>
      </c>
      <c r="CS91" s="306">
        <v>0</v>
      </c>
      <c r="CT91" s="306">
        <v>0</v>
      </c>
      <c r="CU91" s="306">
        <v>0</v>
      </c>
      <c r="CV91" s="306">
        <v>0</v>
      </c>
      <c r="CW91" s="306">
        <v>0</v>
      </c>
      <c r="CX91" s="306">
        <v>0</v>
      </c>
      <c r="CY91" s="306">
        <v>0</v>
      </c>
      <c r="CZ91" s="306">
        <v>0</v>
      </c>
      <c r="DA91" s="306">
        <v>0</v>
      </c>
      <c r="DB91" s="306">
        <v>0</v>
      </c>
      <c r="DC91" s="306">
        <v>0</v>
      </c>
      <c r="DD91" s="306">
        <v>0</v>
      </c>
      <c r="DE91" s="306">
        <v>0</v>
      </c>
      <c r="DF91" s="306">
        <v>0</v>
      </c>
      <c r="DG91" s="306">
        <v>0</v>
      </c>
      <c r="DH91" s="306">
        <v>0</v>
      </c>
      <c r="DI91" s="306">
        <v>0</v>
      </c>
    </row>
    <row r="92" spans="30:113" x14ac:dyDescent="0.2">
      <c r="AD92" s="307" t="s">
        <v>642</v>
      </c>
      <c r="AE92" s="309">
        <v>0</v>
      </c>
      <c r="AF92" s="309">
        <v>0</v>
      </c>
      <c r="AG92" s="309">
        <v>0</v>
      </c>
      <c r="AH92" s="309">
        <v>0</v>
      </c>
      <c r="AI92" s="309">
        <v>0</v>
      </c>
      <c r="AJ92" s="309">
        <v>0</v>
      </c>
      <c r="AK92" s="309">
        <v>0</v>
      </c>
      <c r="AL92" s="309">
        <v>0</v>
      </c>
      <c r="AM92" s="309">
        <v>0</v>
      </c>
      <c r="AN92" s="309">
        <v>0</v>
      </c>
      <c r="AO92" s="309">
        <v>0</v>
      </c>
      <c r="AP92" s="309">
        <v>0</v>
      </c>
      <c r="AQ92" s="309">
        <v>0</v>
      </c>
      <c r="AR92" s="309">
        <v>0</v>
      </c>
      <c r="AS92" s="309">
        <v>0</v>
      </c>
      <c r="AT92" s="309">
        <v>0</v>
      </c>
      <c r="AU92" s="309">
        <v>0</v>
      </c>
      <c r="AV92" s="309">
        <v>0</v>
      </c>
      <c r="AW92" s="309">
        <v>0</v>
      </c>
      <c r="AX92" s="309">
        <v>0</v>
      </c>
      <c r="AY92" s="309">
        <v>0</v>
      </c>
      <c r="AZ92" s="309">
        <v>0</v>
      </c>
      <c r="BA92" s="309">
        <v>0</v>
      </c>
      <c r="BB92" s="309">
        <v>0</v>
      </c>
      <c r="BC92" s="309">
        <v>0</v>
      </c>
      <c r="BD92" s="309">
        <v>0</v>
      </c>
      <c r="BE92" s="309">
        <v>0</v>
      </c>
      <c r="BF92" s="309">
        <v>0</v>
      </c>
      <c r="BG92" s="309">
        <v>0</v>
      </c>
      <c r="BH92" s="309">
        <v>0</v>
      </c>
      <c r="BI92" s="309">
        <v>0</v>
      </c>
      <c r="BJ92" s="309">
        <v>0</v>
      </c>
      <c r="BK92" s="309">
        <v>0</v>
      </c>
      <c r="BL92" s="309">
        <v>0</v>
      </c>
      <c r="BM92" s="309">
        <v>0</v>
      </c>
      <c r="BN92" s="309">
        <v>0</v>
      </c>
      <c r="BO92" s="309">
        <v>0</v>
      </c>
      <c r="BP92" s="309">
        <v>0</v>
      </c>
      <c r="BQ92" s="309">
        <v>0</v>
      </c>
      <c r="BR92" s="309">
        <v>0</v>
      </c>
      <c r="BU92" s="307" t="s">
        <v>642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0</v>
      </c>
      <c r="CL92" s="306">
        <v>0</v>
      </c>
      <c r="CM92" s="306">
        <v>0</v>
      </c>
      <c r="CN92" s="306">
        <v>0</v>
      </c>
      <c r="CO92" s="306">
        <v>0</v>
      </c>
      <c r="CP92" s="306">
        <v>0</v>
      </c>
      <c r="CQ92" s="306">
        <v>0</v>
      </c>
      <c r="CR92" s="306">
        <v>0</v>
      </c>
      <c r="CS92" s="306">
        <v>0</v>
      </c>
      <c r="CT92" s="306">
        <v>0</v>
      </c>
      <c r="CU92" s="306">
        <v>0</v>
      </c>
      <c r="CV92" s="306">
        <v>0</v>
      </c>
      <c r="CW92" s="306">
        <v>0</v>
      </c>
      <c r="CX92" s="306">
        <v>0</v>
      </c>
      <c r="CY92" s="306">
        <v>0</v>
      </c>
      <c r="CZ92" s="306">
        <v>0</v>
      </c>
      <c r="DA92" s="306">
        <v>0</v>
      </c>
      <c r="DB92" s="306">
        <v>0</v>
      </c>
      <c r="DC92" s="306">
        <v>0</v>
      </c>
      <c r="DD92" s="306">
        <v>0</v>
      </c>
      <c r="DE92" s="306">
        <v>0</v>
      </c>
      <c r="DF92" s="306">
        <v>0</v>
      </c>
      <c r="DG92" s="306">
        <v>0</v>
      </c>
      <c r="DH92" s="306">
        <v>0</v>
      </c>
      <c r="DI92" s="306">
        <v>0</v>
      </c>
    </row>
    <row r="93" spans="30:113" x14ac:dyDescent="0.2">
      <c r="AD93" s="307" t="s">
        <v>674</v>
      </c>
      <c r="AE93" s="309">
        <v>0</v>
      </c>
      <c r="AF93" s="309">
        <v>66251.174567632304</v>
      </c>
      <c r="AG93" s="309">
        <v>0</v>
      </c>
      <c r="AH93" s="309">
        <v>0</v>
      </c>
      <c r="AI93" s="309">
        <v>0</v>
      </c>
      <c r="AJ93" s="309">
        <v>0</v>
      </c>
      <c r="AK93" s="309">
        <v>0</v>
      </c>
      <c r="AL93" s="309">
        <v>0</v>
      </c>
      <c r="AM93" s="309">
        <v>0</v>
      </c>
      <c r="AN93" s="309">
        <v>0</v>
      </c>
      <c r="AO93" s="309">
        <v>0</v>
      </c>
      <c r="AP93" s="309">
        <v>0</v>
      </c>
      <c r="AQ93" s="309">
        <v>0</v>
      </c>
      <c r="AR93" s="309">
        <v>0</v>
      </c>
      <c r="AS93" s="309">
        <v>0</v>
      </c>
      <c r="AT93" s="309">
        <v>0</v>
      </c>
      <c r="AU93" s="309">
        <v>0</v>
      </c>
      <c r="AV93" s="309">
        <v>0</v>
      </c>
      <c r="AW93" s="309">
        <v>0</v>
      </c>
      <c r="AX93" s="309">
        <v>0</v>
      </c>
      <c r="AY93" s="309">
        <v>0</v>
      </c>
      <c r="AZ93" s="309">
        <v>0</v>
      </c>
      <c r="BA93" s="309">
        <v>0</v>
      </c>
      <c r="BB93" s="309">
        <v>0</v>
      </c>
      <c r="BC93" s="309">
        <v>0</v>
      </c>
      <c r="BD93" s="309">
        <v>0</v>
      </c>
      <c r="BE93" s="309">
        <v>0</v>
      </c>
      <c r="BF93" s="309">
        <v>0</v>
      </c>
      <c r="BG93" s="309">
        <v>0</v>
      </c>
      <c r="BH93" s="309">
        <v>0</v>
      </c>
      <c r="BI93" s="309">
        <v>0</v>
      </c>
      <c r="BJ93" s="309">
        <v>0</v>
      </c>
      <c r="BK93" s="309">
        <v>0</v>
      </c>
      <c r="BL93" s="309">
        <v>0</v>
      </c>
      <c r="BM93" s="309">
        <v>0</v>
      </c>
      <c r="BN93" s="309">
        <v>0</v>
      </c>
      <c r="BO93" s="309">
        <v>0</v>
      </c>
      <c r="BP93" s="309">
        <v>0</v>
      </c>
      <c r="BQ93" s="309">
        <v>0</v>
      </c>
      <c r="BR93" s="309">
        <v>0</v>
      </c>
      <c r="BU93" s="307" t="s">
        <v>674</v>
      </c>
      <c r="BV93" s="306">
        <v>0</v>
      </c>
      <c r="BW93" s="306">
        <v>0</v>
      </c>
      <c r="BX93" s="306">
        <v>0</v>
      </c>
      <c r="BY93" s="306">
        <v>0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  <c r="CM93" s="306">
        <v>0</v>
      </c>
      <c r="CN93" s="306">
        <v>0</v>
      </c>
      <c r="CO93" s="306">
        <v>0</v>
      </c>
      <c r="CP93" s="306">
        <v>0</v>
      </c>
      <c r="CQ93" s="306">
        <v>0</v>
      </c>
      <c r="CR93" s="306">
        <v>0</v>
      </c>
      <c r="CS93" s="306">
        <v>0</v>
      </c>
      <c r="CT93" s="306">
        <v>0</v>
      </c>
      <c r="CU93" s="306">
        <v>0</v>
      </c>
      <c r="CV93" s="306">
        <v>0</v>
      </c>
      <c r="CW93" s="306">
        <v>0</v>
      </c>
      <c r="CX93" s="306">
        <v>0</v>
      </c>
      <c r="CY93" s="306">
        <v>0</v>
      </c>
      <c r="CZ93" s="306">
        <v>0</v>
      </c>
      <c r="DA93" s="306">
        <v>0</v>
      </c>
      <c r="DB93" s="306">
        <v>0</v>
      </c>
      <c r="DC93" s="306">
        <v>0</v>
      </c>
      <c r="DD93" s="306">
        <v>0</v>
      </c>
      <c r="DE93" s="306">
        <v>0</v>
      </c>
      <c r="DF93" s="306">
        <v>0</v>
      </c>
      <c r="DG93" s="306">
        <v>0</v>
      </c>
      <c r="DH93" s="306">
        <v>0</v>
      </c>
      <c r="DI93" s="306">
        <v>0</v>
      </c>
    </row>
    <row r="94" spans="30:113" x14ac:dyDescent="0.2">
      <c r="AD94" s="307" t="s">
        <v>675</v>
      </c>
      <c r="AE94" s="309">
        <v>0</v>
      </c>
      <c r="AF94" s="309">
        <v>0</v>
      </c>
      <c r="AG94" s="309">
        <v>0</v>
      </c>
      <c r="AH94" s="309">
        <v>0</v>
      </c>
      <c r="AI94" s="309">
        <v>0</v>
      </c>
      <c r="AJ94" s="309">
        <v>0</v>
      </c>
      <c r="AK94" s="309">
        <v>0</v>
      </c>
      <c r="AL94" s="309">
        <v>0</v>
      </c>
      <c r="AM94" s="309">
        <v>0</v>
      </c>
      <c r="AN94" s="309">
        <v>0</v>
      </c>
      <c r="AO94" s="309">
        <v>0</v>
      </c>
      <c r="AP94" s="309">
        <v>0</v>
      </c>
      <c r="AQ94" s="309">
        <v>91837.795018258301</v>
      </c>
      <c r="AR94" s="309">
        <v>0</v>
      </c>
      <c r="AS94" s="309">
        <v>0</v>
      </c>
      <c r="AT94" s="309">
        <v>0</v>
      </c>
      <c r="AU94" s="309">
        <v>0</v>
      </c>
      <c r="AV94" s="309">
        <v>0</v>
      </c>
      <c r="AW94" s="309">
        <v>0</v>
      </c>
      <c r="AX94" s="309">
        <v>0</v>
      </c>
      <c r="AY94" s="309">
        <v>0</v>
      </c>
      <c r="AZ94" s="309">
        <v>0</v>
      </c>
      <c r="BA94" s="309">
        <v>0</v>
      </c>
      <c r="BB94" s="309">
        <v>0</v>
      </c>
      <c r="BC94" s="309">
        <v>0</v>
      </c>
      <c r="BD94" s="309">
        <v>0</v>
      </c>
      <c r="BE94" s="309">
        <v>0</v>
      </c>
      <c r="BF94" s="309">
        <v>0</v>
      </c>
      <c r="BG94" s="309">
        <v>0</v>
      </c>
      <c r="BH94" s="309">
        <v>0</v>
      </c>
      <c r="BI94" s="309">
        <v>0</v>
      </c>
      <c r="BJ94" s="309">
        <v>0</v>
      </c>
      <c r="BK94" s="309">
        <v>0</v>
      </c>
      <c r="BL94" s="309">
        <v>0</v>
      </c>
      <c r="BM94" s="309">
        <v>0</v>
      </c>
      <c r="BN94" s="309">
        <v>0</v>
      </c>
      <c r="BO94" s="309">
        <v>0</v>
      </c>
      <c r="BP94" s="309">
        <v>0</v>
      </c>
      <c r="BQ94" s="309">
        <v>0</v>
      </c>
      <c r="BR94" s="309">
        <v>0</v>
      </c>
      <c r="BU94" s="307" t="s">
        <v>675</v>
      </c>
      <c r="BV94" s="306">
        <v>0</v>
      </c>
      <c r="BW94" s="306">
        <v>0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  <c r="CM94" s="306">
        <v>0</v>
      </c>
      <c r="CN94" s="306">
        <v>0</v>
      </c>
      <c r="CO94" s="306">
        <v>0</v>
      </c>
      <c r="CP94" s="306">
        <v>0</v>
      </c>
      <c r="CQ94" s="306">
        <v>0</v>
      </c>
      <c r="CR94" s="306">
        <v>0</v>
      </c>
      <c r="CS94" s="306">
        <v>0</v>
      </c>
      <c r="CT94" s="306">
        <v>0</v>
      </c>
      <c r="CU94" s="306">
        <v>0</v>
      </c>
      <c r="CV94" s="306">
        <v>0</v>
      </c>
      <c r="CW94" s="306">
        <v>0</v>
      </c>
      <c r="CX94" s="306">
        <v>0</v>
      </c>
      <c r="CY94" s="306">
        <v>0</v>
      </c>
      <c r="CZ94" s="306">
        <v>0</v>
      </c>
      <c r="DA94" s="306">
        <v>0</v>
      </c>
      <c r="DB94" s="306">
        <v>0</v>
      </c>
      <c r="DC94" s="306">
        <v>0</v>
      </c>
      <c r="DD94" s="306">
        <v>0</v>
      </c>
      <c r="DE94" s="306">
        <v>0</v>
      </c>
      <c r="DF94" s="306">
        <v>0</v>
      </c>
      <c r="DG94" s="306">
        <v>0</v>
      </c>
      <c r="DH94" s="306">
        <v>0</v>
      </c>
      <c r="DI94" s="306">
        <v>0</v>
      </c>
    </row>
    <row r="95" spans="30:113" x14ac:dyDescent="0.2">
      <c r="AD95" s="307" t="s">
        <v>676</v>
      </c>
      <c r="AE95" s="309">
        <v>0</v>
      </c>
      <c r="AF95" s="309">
        <v>0</v>
      </c>
      <c r="AG95" s="309">
        <v>0</v>
      </c>
      <c r="AH95" s="309">
        <v>0</v>
      </c>
      <c r="AI95" s="309">
        <v>0</v>
      </c>
      <c r="AJ95" s="309">
        <v>0</v>
      </c>
      <c r="AK95" s="309">
        <v>0</v>
      </c>
      <c r="AL95" s="309">
        <v>0</v>
      </c>
      <c r="AM95" s="309">
        <v>0</v>
      </c>
      <c r="AN95" s="309">
        <v>0</v>
      </c>
      <c r="AO95" s="309">
        <v>0</v>
      </c>
      <c r="AP95" s="309">
        <v>290.15291867903898</v>
      </c>
      <c r="AQ95" s="309">
        <v>0</v>
      </c>
      <c r="AR95" s="309">
        <v>0</v>
      </c>
      <c r="AS95" s="309">
        <v>0</v>
      </c>
      <c r="AT95" s="309">
        <v>0</v>
      </c>
      <c r="AU95" s="309">
        <v>0</v>
      </c>
      <c r="AV95" s="309">
        <v>0</v>
      </c>
      <c r="AW95" s="309">
        <v>0</v>
      </c>
      <c r="AX95" s="309">
        <v>0</v>
      </c>
      <c r="AY95" s="309">
        <v>0</v>
      </c>
      <c r="AZ95" s="309">
        <v>0</v>
      </c>
      <c r="BA95" s="309">
        <v>0</v>
      </c>
      <c r="BB95" s="309">
        <v>0</v>
      </c>
      <c r="BC95" s="309">
        <v>0</v>
      </c>
      <c r="BD95" s="309">
        <v>0</v>
      </c>
      <c r="BE95" s="309">
        <v>0</v>
      </c>
      <c r="BF95" s="309">
        <v>0</v>
      </c>
      <c r="BG95" s="309">
        <v>0</v>
      </c>
      <c r="BH95" s="309">
        <v>0</v>
      </c>
      <c r="BI95" s="309">
        <v>0</v>
      </c>
      <c r="BJ95" s="309">
        <v>0</v>
      </c>
      <c r="BK95" s="309">
        <v>0</v>
      </c>
      <c r="BL95" s="309">
        <v>0</v>
      </c>
      <c r="BM95" s="309">
        <v>0</v>
      </c>
      <c r="BN95" s="309">
        <v>0</v>
      </c>
      <c r="BO95" s="309">
        <v>0</v>
      </c>
      <c r="BP95" s="309">
        <v>0</v>
      </c>
      <c r="BQ95" s="309">
        <v>0</v>
      </c>
      <c r="BR95" s="309">
        <v>0</v>
      </c>
      <c r="BU95" s="307" t="s">
        <v>676</v>
      </c>
      <c r="BV95" s="306">
        <v>0</v>
      </c>
      <c r="BW95" s="306">
        <v>0</v>
      </c>
      <c r="BX95" s="306">
        <v>0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  <c r="CM95" s="306">
        <v>0</v>
      </c>
      <c r="CN95" s="306">
        <v>0</v>
      </c>
      <c r="CO95" s="306">
        <v>0</v>
      </c>
      <c r="CP95" s="306">
        <v>0</v>
      </c>
      <c r="CQ95" s="306">
        <v>0</v>
      </c>
      <c r="CR95" s="306">
        <v>0</v>
      </c>
      <c r="CS95" s="306">
        <v>0</v>
      </c>
      <c r="CT95" s="306">
        <v>0</v>
      </c>
      <c r="CU95" s="306">
        <v>0</v>
      </c>
      <c r="CV95" s="306">
        <v>0</v>
      </c>
      <c r="CW95" s="306">
        <v>0</v>
      </c>
      <c r="CX95" s="306">
        <v>0</v>
      </c>
      <c r="CY95" s="306">
        <v>0</v>
      </c>
      <c r="CZ95" s="306">
        <v>0</v>
      </c>
      <c r="DA95" s="306">
        <v>0</v>
      </c>
      <c r="DB95" s="306">
        <v>0</v>
      </c>
      <c r="DC95" s="306">
        <v>0</v>
      </c>
      <c r="DD95" s="306">
        <v>0</v>
      </c>
      <c r="DE95" s="306">
        <v>0</v>
      </c>
      <c r="DF95" s="306">
        <v>0</v>
      </c>
      <c r="DG95" s="306">
        <v>0</v>
      </c>
      <c r="DH95" s="306">
        <v>0</v>
      </c>
      <c r="DI95" s="306">
        <v>0</v>
      </c>
    </row>
    <row r="96" spans="30:113" x14ac:dyDescent="0.2">
      <c r="AD96" s="307" t="s">
        <v>342</v>
      </c>
      <c r="AE96" s="309">
        <v>0</v>
      </c>
      <c r="AF96" s="309">
        <v>5820.7321553561396</v>
      </c>
      <c r="AG96" s="309">
        <v>0</v>
      </c>
      <c r="AH96" s="309">
        <v>67354.020465940004</v>
      </c>
      <c r="AI96" s="309">
        <v>0</v>
      </c>
      <c r="AJ96" s="309">
        <v>0</v>
      </c>
      <c r="AK96" s="309">
        <v>0</v>
      </c>
      <c r="AL96" s="309">
        <v>0</v>
      </c>
      <c r="AM96" s="309">
        <v>0</v>
      </c>
      <c r="AN96" s="309">
        <v>0</v>
      </c>
      <c r="AO96" s="309">
        <v>0</v>
      </c>
      <c r="AP96" s="309">
        <v>0</v>
      </c>
      <c r="AQ96" s="309">
        <v>3155.63573488975</v>
      </c>
      <c r="AR96" s="309">
        <v>0</v>
      </c>
      <c r="AS96" s="309">
        <v>0</v>
      </c>
      <c r="AT96" s="309">
        <v>0</v>
      </c>
      <c r="AU96" s="309">
        <v>0</v>
      </c>
      <c r="AV96" s="309">
        <v>0</v>
      </c>
      <c r="AW96" s="309">
        <v>0</v>
      </c>
      <c r="AX96" s="309">
        <v>0</v>
      </c>
      <c r="AY96" s="309">
        <v>0</v>
      </c>
      <c r="AZ96" s="309">
        <v>0</v>
      </c>
      <c r="BA96" s="309">
        <v>0</v>
      </c>
      <c r="BB96" s="309">
        <v>0</v>
      </c>
      <c r="BC96" s="309">
        <v>0</v>
      </c>
      <c r="BD96" s="309">
        <v>0</v>
      </c>
      <c r="BE96" s="309">
        <v>0</v>
      </c>
      <c r="BF96" s="309">
        <v>0</v>
      </c>
      <c r="BG96" s="309">
        <v>0</v>
      </c>
      <c r="BH96" s="309">
        <v>0</v>
      </c>
      <c r="BI96" s="309">
        <v>0</v>
      </c>
      <c r="BJ96" s="309">
        <v>0</v>
      </c>
      <c r="BK96" s="309">
        <v>0</v>
      </c>
      <c r="BL96" s="309">
        <v>0</v>
      </c>
      <c r="BM96" s="309">
        <v>0</v>
      </c>
      <c r="BN96" s="309">
        <v>0</v>
      </c>
      <c r="BO96" s="309">
        <v>0</v>
      </c>
      <c r="BP96" s="309">
        <v>0</v>
      </c>
      <c r="BQ96" s="309">
        <v>0</v>
      </c>
      <c r="BR96" s="309">
        <v>0</v>
      </c>
      <c r="BU96" s="307" t="s">
        <v>342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  <c r="CM96" s="306">
        <v>0</v>
      </c>
      <c r="CN96" s="306">
        <v>0</v>
      </c>
      <c r="CO96" s="306">
        <v>0</v>
      </c>
      <c r="CP96" s="306">
        <v>0</v>
      </c>
      <c r="CQ96" s="306">
        <v>0</v>
      </c>
      <c r="CR96" s="306">
        <v>0</v>
      </c>
      <c r="CS96" s="306">
        <v>0</v>
      </c>
      <c r="CT96" s="306">
        <v>0</v>
      </c>
      <c r="CU96" s="306">
        <v>0</v>
      </c>
      <c r="CV96" s="306">
        <v>0</v>
      </c>
      <c r="CW96" s="306">
        <v>0</v>
      </c>
      <c r="CX96" s="306">
        <v>0</v>
      </c>
      <c r="CY96" s="306">
        <v>0</v>
      </c>
      <c r="CZ96" s="306">
        <v>0</v>
      </c>
      <c r="DA96" s="306">
        <v>0</v>
      </c>
      <c r="DB96" s="306">
        <v>0</v>
      </c>
      <c r="DC96" s="306">
        <v>0</v>
      </c>
      <c r="DD96" s="306">
        <v>0</v>
      </c>
      <c r="DE96" s="306">
        <v>0</v>
      </c>
      <c r="DF96" s="306">
        <v>0</v>
      </c>
      <c r="DG96" s="306">
        <v>0</v>
      </c>
      <c r="DH96" s="306">
        <v>0</v>
      </c>
      <c r="DI96" s="306">
        <v>0</v>
      </c>
    </row>
    <row r="97" spans="30:113" x14ac:dyDescent="0.2">
      <c r="AD97" s="307" t="s">
        <v>448</v>
      </c>
      <c r="AE97" s="309">
        <v>0</v>
      </c>
      <c r="AF97" s="309">
        <v>0</v>
      </c>
      <c r="AG97" s="309">
        <v>0</v>
      </c>
      <c r="AH97" s="309">
        <v>0</v>
      </c>
      <c r="AI97" s="309">
        <v>0</v>
      </c>
      <c r="AJ97" s="309">
        <v>0</v>
      </c>
      <c r="AK97" s="309">
        <v>0</v>
      </c>
      <c r="AL97" s="309">
        <v>0</v>
      </c>
      <c r="AM97" s="309">
        <v>0</v>
      </c>
      <c r="AN97" s="309">
        <v>0</v>
      </c>
      <c r="AO97" s="309">
        <v>0</v>
      </c>
      <c r="AP97" s="309">
        <v>0</v>
      </c>
      <c r="AQ97" s="309">
        <v>0</v>
      </c>
      <c r="AR97" s="309">
        <v>0</v>
      </c>
      <c r="AS97" s="309">
        <v>0</v>
      </c>
      <c r="AT97" s="309">
        <v>0</v>
      </c>
      <c r="AU97" s="309">
        <v>0</v>
      </c>
      <c r="AV97" s="309">
        <v>0</v>
      </c>
      <c r="AW97" s="309">
        <v>0</v>
      </c>
      <c r="AX97" s="309">
        <v>0</v>
      </c>
      <c r="AY97" s="309">
        <v>0</v>
      </c>
      <c r="AZ97" s="309">
        <v>0</v>
      </c>
      <c r="BA97" s="309">
        <v>0</v>
      </c>
      <c r="BB97" s="309">
        <v>0</v>
      </c>
      <c r="BC97" s="309">
        <v>0</v>
      </c>
      <c r="BD97" s="309">
        <v>0</v>
      </c>
      <c r="BE97" s="309">
        <v>0</v>
      </c>
      <c r="BF97" s="309">
        <v>0</v>
      </c>
      <c r="BG97" s="309">
        <v>0</v>
      </c>
      <c r="BH97" s="309">
        <v>0</v>
      </c>
      <c r="BI97" s="309">
        <v>0</v>
      </c>
      <c r="BJ97" s="309">
        <v>0</v>
      </c>
      <c r="BK97" s="309">
        <v>0</v>
      </c>
      <c r="BL97" s="309">
        <v>0</v>
      </c>
      <c r="BM97" s="309">
        <v>0</v>
      </c>
      <c r="BN97" s="309">
        <v>0</v>
      </c>
      <c r="BO97" s="309">
        <v>0</v>
      </c>
      <c r="BP97" s="309">
        <v>0</v>
      </c>
      <c r="BQ97" s="309">
        <v>0</v>
      </c>
      <c r="BR97" s="309">
        <v>0</v>
      </c>
      <c r="BU97" s="307" t="s">
        <v>448</v>
      </c>
      <c r="BV97" s="306">
        <v>0</v>
      </c>
      <c r="BW97" s="306">
        <v>0</v>
      </c>
      <c r="BX97" s="306">
        <v>0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  <c r="CM97" s="306">
        <v>0</v>
      </c>
      <c r="CN97" s="306">
        <v>0</v>
      </c>
      <c r="CO97" s="306">
        <v>0</v>
      </c>
      <c r="CP97" s="306">
        <v>0</v>
      </c>
      <c r="CQ97" s="306">
        <v>0</v>
      </c>
      <c r="CR97" s="306">
        <v>0</v>
      </c>
      <c r="CS97" s="306">
        <v>0</v>
      </c>
      <c r="CT97" s="306">
        <v>0</v>
      </c>
      <c r="CU97" s="306">
        <v>0</v>
      </c>
      <c r="CV97" s="306">
        <v>0</v>
      </c>
      <c r="CW97" s="306">
        <v>0</v>
      </c>
      <c r="CX97" s="306">
        <v>0</v>
      </c>
      <c r="CY97" s="306">
        <v>0</v>
      </c>
      <c r="CZ97" s="306">
        <v>0</v>
      </c>
      <c r="DA97" s="306">
        <v>0</v>
      </c>
      <c r="DB97" s="306">
        <v>0</v>
      </c>
      <c r="DC97" s="306">
        <v>0</v>
      </c>
      <c r="DD97" s="306">
        <v>0</v>
      </c>
      <c r="DE97" s="306">
        <v>0</v>
      </c>
      <c r="DF97" s="306">
        <v>0</v>
      </c>
      <c r="DG97" s="306">
        <v>0</v>
      </c>
      <c r="DH97" s="306">
        <v>0</v>
      </c>
      <c r="DI97" s="306">
        <v>0</v>
      </c>
    </row>
    <row r="98" spans="30:113" x14ac:dyDescent="0.2">
      <c r="AD98" s="307" t="s">
        <v>643</v>
      </c>
      <c r="AE98" s="309">
        <v>0</v>
      </c>
      <c r="AF98" s="309">
        <v>0</v>
      </c>
      <c r="AG98" s="309">
        <v>0</v>
      </c>
      <c r="AH98" s="309">
        <v>0</v>
      </c>
      <c r="AI98" s="309">
        <v>0</v>
      </c>
      <c r="AJ98" s="309">
        <v>0</v>
      </c>
      <c r="AK98" s="309">
        <v>0</v>
      </c>
      <c r="AL98" s="309">
        <v>0</v>
      </c>
      <c r="AM98" s="309">
        <v>0</v>
      </c>
      <c r="AN98" s="309">
        <v>0</v>
      </c>
      <c r="AO98" s="309">
        <v>0</v>
      </c>
      <c r="AP98" s="309">
        <v>0</v>
      </c>
      <c r="AQ98" s="309">
        <v>0</v>
      </c>
      <c r="AR98" s="309">
        <v>0</v>
      </c>
      <c r="AS98" s="309">
        <v>0</v>
      </c>
      <c r="AT98" s="309">
        <v>0</v>
      </c>
      <c r="AU98" s="309">
        <v>0</v>
      </c>
      <c r="AV98" s="309">
        <v>0</v>
      </c>
      <c r="AW98" s="309">
        <v>0</v>
      </c>
      <c r="AX98" s="309">
        <v>0</v>
      </c>
      <c r="AY98" s="309">
        <v>0</v>
      </c>
      <c r="AZ98" s="309">
        <v>0</v>
      </c>
      <c r="BA98" s="309">
        <v>0</v>
      </c>
      <c r="BB98" s="309">
        <v>0</v>
      </c>
      <c r="BC98" s="309">
        <v>0</v>
      </c>
      <c r="BD98" s="309">
        <v>0</v>
      </c>
      <c r="BE98" s="309">
        <v>0</v>
      </c>
      <c r="BF98" s="309">
        <v>0</v>
      </c>
      <c r="BG98" s="309">
        <v>0</v>
      </c>
      <c r="BH98" s="309">
        <v>0</v>
      </c>
      <c r="BI98" s="309">
        <v>0</v>
      </c>
      <c r="BJ98" s="309">
        <v>0</v>
      </c>
      <c r="BK98" s="309">
        <v>0</v>
      </c>
      <c r="BL98" s="309">
        <v>0</v>
      </c>
      <c r="BM98" s="309">
        <v>0</v>
      </c>
      <c r="BN98" s="309">
        <v>0</v>
      </c>
      <c r="BO98" s="309">
        <v>0</v>
      </c>
      <c r="BP98" s="309">
        <v>0</v>
      </c>
      <c r="BQ98" s="309">
        <v>0</v>
      </c>
      <c r="BR98" s="309">
        <v>0</v>
      </c>
      <c r="BU98" s="307" t="s">
        <v>643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0</v>
      </c>
      <c r="CL98" s="306">
        <v>0</v>
      </c>
      <c r="CM98" s="306">
        <v>0</v>
      </c>
      <c r="CN98" s="306">
        <v>0</v>
      </c>
      <c r="CO98" s="306">
        <v>0</v>
      </c>
      <c r="CP98" s="306">
        <v>0</v>
      </c>
      <c r="CQ98" s="306">
        <v>0</v>
      </c>
      <c r="CR98" s="306">
        <v>0</v>
      </c>
      <c r="CS98" s="306">
        <v>0</v>
      </c>
      <c r="CT98" s="306">
        <v>0</v>
      </c>
      <c r="CU98" s="306">
        <v>0</v>
      </c>
      <c r="CV98" s="306">
        <v>0</v>
      </c>
      <c r="CW98" s="306">
        <v>0</v>
      </c>
      <c r="CX98" s="306">
        <v>0</v>
      </c>
      <c r="CY98" s="306">
        <v>0</v>
      </c>
      <c r="CZ98" s="306">
        <v>0</v>
      </c>
      <c r="DA98" s="306">
        <v>0</v>
      </c>
      <c r="DB98" s="306">
        <v>0</v>
      </c>
      <c r="DC98" s="306">
        <v>0</v>
      </c>
      <c r="DD98" s="306">
        <v>0</v>
      </c>
      <c r="DE98" s="306">
        <v>0</v>
      </c>
      <c r="DF98" s="306">
        <v>0</v>
      </c>
      <c r="DG98" s="306">
        <v>0</v>
      </c>
      <c r="DH98" s="306">
        <v>0</v>
      </c>
      <c r="DI98" s="306">
        <v>0</v>
      </c>
    </row>
    <row r="99" spans="30:113" x14ac:dyDescent="0.2">
      <c r="AD99" s="307" t="s">
        <v>462</v>
      </c>
      <c r="AE99" s="309">
        <v>0</v>
      </c>
      <c r="AF99" s="309">
        <v>0</v>
      </c>
      <c r="AG99" s="309">
        <v>0</v>
      </c>
      <c r="AH99" s="309">
        <v>2511.39821094118</v>
      </c>
      <c r="AI99" s="309">
        <v>0</v>
      </c>
      <c r="AJ99" s="309">
        <v>0</v>
      </c>
      <c r="AK99" s="309">
        <v>0</v>
      </c>
      <c r="AL99" s="309">
        <v>0</v>
      </c>
      <c r="AM99" s="309">
        <v>0</v>
      </c>
      <c r="AN99" s="309">
        <v>0</v>
      </c>
      <c r="AO99" s="309">
        <v>0</v>
      </c>
      <c r="AP99" s="309">
        <v>0</v>
      </c>
      <c r="AQ99" s="309">
        <v>0</v>
      </c>
      <c r="AR99" s="309">
        <v>0</v>
      </c>
      <c r="AS99" s="309">
        <v>0</v>
      </c>
      <c r="AT99" s="309">
        <v>0</v>
      </c>
      <c r="AU99" s="309">
        <v>0</v>
      </c>
      <c r="AV99" s="309">
        <v>0</v>
      </c>
      <c r="AW99" s="309">
        <v>0</v>
      </c>
      <c r="AX99" s="309">
        <v>0</v>
      </c>
      <c r="AY99" s="309">
        <v>0</v>
      </c>
      <c r="AZ99" s="309">
        <v>0</v>
      </c>
      <c r="BA99" s="309">
        <v>0</v>
      </c>
      <c r="BB99" s="309">
        <v>0</v>
      </c>
      <c r="BC99" s="309">
        <v>0</v>
      </c>
      <c r="BD99" s="309">
        <v>0</v>
      </c>
      <c r="BE99" s="309">
        <v>0</v>
      </c>
      <c r="BF99" s="309">
        <v>0</v>
      </c>
      <c r="BG99" s="309">
        <v>0</v>
      </c>
      <c r="BH99" s="309">
        <v>0</v>
      </c>
      <c r="BI99" s="309">
        <v>0</v>
      </c>
      <c r="BJ99" s="309">
        <v>0</v>
      </c>
      <c r="BK99" s="309">
        <v>0</v>
      </c>
      <c r="BL99" s="309">
        <v>0</v>
      </c>
      <c r="BM99" s="309">
        <v>0</v>
      </c>
      <c r="BN99" s="309">
        <v>0</v>
      </c>
      <c r="BO99" s="309">
        <v>0</v>
      </c>
      <c r="BP99" s="309">
        <v>0</v>
      </c>
      <c r="BQ99" s="309">
        <v>0</v>
      </c>
      <c r="BR99" s="309">
        <v>0</v>
      </c>
      <c r="BU99" s="307" t="s">
        <v>462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0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  <c r="CM99" s="306">
        <v>0</v>
      </c>
      <c r="CN99" s="306">
        <v>0</v>
      </c>
      <c r="CO99" s="306">
        <v>0</v>
      </c>
      <c r="CP99" s="306">
        <v>0</v>
      </c>
      <c r="CQ99" s="306">
        <v>0</v>
      </c>
      <c r="CR99" s="306">
        <v>0</v>
      </c>
      <c r="CS99" s="306">
        <v>0</v>
      </c>
      <c r="CT99" s="306">
        <v>0</v>
      </c>
      <c r="CU99" s="306">
        <v>0</v>
      </c>
      <c r="CV99" s="306">
        <v>0</v>
      </c>
      <c r="CW99" s="306">
        <v>0</v>
      </c>
      <c r="CX99" s="306">
        <v>0</v>
      </c>
      <c r="CY99" s="306">
        <v>0</v>
      </c>
      <c r="CZ99" s="306">
        <v>0</v>
      </c>
      <c r="DA99" s="306">
        <v>0</v>
      </c>
      <c r="DB99" s="306">
        <v>0</v>
      </c>
      <c r="DC99" s="306">
        <v>0</v>
      </c>
      <c r="DD99" s="306">
        <v>0</v>
      </c>
      <c r="DE99" s="306">
        <v>0</v>
      </c>
      <c r="DF99" s="306">
        <v>0</v>
      </c>
      <c r="DG99" s="306">
        <v>0</v>
      </c>
      <c r="DH99" s="306">
        <v>0</v>
      </c>
      <c r="DI99" s="306">
        <v>0</v>
      </c>
    </row>
    <row r="100" spans="30:113" x14ac:dyDescent="0.2">
      <c r="AD100" s="307" t="s">
        <v>677</v>
      </c>
      <c r="AE100" s="309">
        <v>0</v>
      </c>
      <c r="AF100" s="309">
        <v>0</v>
      </c>
      <c r="AG100" s="309">
        <v>0</v>
      </c>
      <c r="AH100" s="309">
        <v>4830.4442158522497</v>
      </c>
      <c r="AI100" s="309">
        <v>0</v>
      </c>
      <c r="AJ100" s="309">
        <v>0</v>
      </c>
      <c r="AK100" s="309">
        <v>0</v>
      </c>
      <c r="AL100" s="309">
        <v>0</v>
      </c>
      <c r="AM100" s="309">
        <v>0</v>
      </c>
      <c r="AN100" s="309">
        <v>0</v>
      </c>
      <c r="AO100" s="309">
        <v>0</v>
      </c>
      <c r="AP100" s="309">
        <v>0</v>
      </c>
      <c r="AQ100" s="309">
        <v>0</v>
      </c>
      <c r="AR100" s="309">
        <v>0</v>
      </c>
      <c r="AS100" s="309">
        <v>0</v>
      </c>
      <c r="AT100" s="309">
        <v>0</v>
      </c>
      <c r="AU100" s="309">
        <v>0</v>
      </c>
      <c r="AV100" s="309">
        <v>0</v>
      </c>
      <c r="AW100" s="309">
        <v>0</v>
      </c>
      <c r="AX100" s="309">
        <v>0</v>
      </c>
      <c r="AY100" s="309">
        <v>0</v>
      </c>
      <c r="AZ100" s="309">
        <v>0</v>
      </c>
      <c r="BA100" s="309">
        <v>0</v>
      </c>
      <c r="BB100" s="309">
        <v>0</v>
      </c>
      <c r="BC100" s="309">
        <v>0</v>
      </c>
      <c r="BD100" s="309">
        <v>0</v>
      </c>
      <c r="BE100" s="309">
        <v>0</v>
      </c>
      <c r="BF100" s="309">
        <v>0</v>
      </c>
      <c r="BG100" s="309">
        <v>0</v>
      </c>
      <c r="BH100" s="309">
        <v>0</v>
      </c>
      <c r="BI100" s="309">
        <v>0</v>
      </c>
      <c r="BJ100" s="309">
        <v>0</v>
      </c>
      <c r="BK100" s="309">
        <v>0</v>
      </c>
      <c r="BL100" s="309">
        <v>0</v>
      </c>
      <c r="BM100" s="309">
        <v>0</v>
      </c>
      <c r="BN100" s="309">
        <v>0</v>
      </c>
      <c r="BO100" s="309">
        <v>0</v>
      </c>
      <c r="BP100" s="309">
        <v>0</v>
      </c>
      <c r="BQ100" s="309">
        <v>0</v>
      </c>
      <c r="BR100" s="309">
        <v>0</v>
      </c>
      <c r="BU100" s="307" t="s">
        <v>677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0</v>
      </c>
      <c r="CK100" s="306">
        <v>0</v>
      </c>
      <c r="CL100" s="306">
        <v>0</v>
      </c>
      <c r="CM100" s="306">
        <v>0</v>
      </c>
      <c r="CN100" s="306">
        <v>0</v>
      </c>
      <c r="CO100" s="306">
        <v>0</v>
      </c>
      <c r="CP100" s="306">
        <v>0</v>
      </c>
      <c r="CQ100" s="306">
        <v>0</v>
      </c>
      <c r="CR100" s="306">
        <v>0</v>
      </c>
      <c r="CS100" s="306">
        <v>0</v>
      </c>
      <c r="CT100" s="306">
        <v>0</v>
      </c>
      <c r="CU100" s="306">
        <v>0</v>
      </c>
      <c r="CV100" s="306">
        <v>0</v>
      </c>
      <c r="CW100" s="306">
        <v>0</v>
      </c>
      <c r="CX100" s="306">
        <v>0</v>
      </c>
      <c r="CY100" s="306">
        <v>0</v>
      </c>
      <c r="CZ100" s="306">
        <v>0</v>
      </c>
      <c r="DA100" s="306">
        <v>0</v>
      </c>
      <c r="DB100" s="306">
        <v>0</v>
      </c>
      <c r="DC100" s="306">
        <v>0</v>
      </c>
      <c r="DD100" s="306">
        <v>0</v>
      </c>
      <c r="DE100" s="306">
        <v>0</v>
      </c>
      <c r="DF100" s="306">
        <v>0</v>
      </c>
      <c r="DG100" s="306">
        <v>0</v>
      </c>
      <c r="DH100" s="306">
        <v>0</v>
      </c>
      <c r="DI100" s="306">
        <v>0</v>
      </c>
    </row>
    <row r="101" spans="30:113" x14ac:dyDescent="0.2">
      <c r="AD101" s="307" t="s">
        <v>678</v>
      </c>
      <c r="AE101" s="309">
        <v>0</v>
      </c>
      <c r="AF101" s="309">
        <v>0</v>
      </c>
      <c r="AG101" s="309">
        <v>0</v>
      </c>
      <c r="AH101" s="309">
        <v>0</v>
      </c>
      <c r="AI101" s="309">
        <v>4830.4442158522497</v>
      </c>
      <c r="AJ101" s="309">
        <v>0</v>
      </c>
      <c r="AK101" s="309">
        <v>0</v>
      </c>
      <c r="AL101" s="309">
        <v>0</v>
      </c>
      <c r="AM101" s="309">
        <v>0</v>
      </c>
      <c r="AN101" s="309">
        <v>0</v>
      </c>
      <c r="AO101" s="309">
        <v>0</v>
      </c>
      <c r="AP101" s="309">
        <v>0</v>
      </c>
      <c r="AQ101" s="309">
        <v>0</v>
      </c>
      <c r="AR101" s="309">
        <v>0</v>
      </c>
      <c r="AS101" s="309">
        <v>0</v>
      </c>
      <c r="AT101" s="309">
        <v>0</v>
      </c>
      <c r="AU101" s="309">
        <v>0</v>
      </c>
      <c r="AV101" s="309">
        <v>0</v>
      </c>
      <c r="AW101" s="309">
        <v>0</v>
      </c>
      <c r="AX101" s="309">
        <v>0</v>
      </c>
      <c r="AY101" s="309">
        <v>0</v>
      </c>
      <c r="AZ101" s="309">
        <v>0</v>
      </c>
      <c r="BA101" s="309">
        <v>0</v>
      </c>
      <c r="BB101" s="309">
        <v>0</v>
      </c>
      <c r="BC101" s="309">
        <v>0</v>
      </c>
      <c r="BD101" s="309">
        <v>0</v>
      </c>
      <c r="BE101" s="309">
        <v>0</v>
      </c>
      <c r="BF101" s="309">
        <v>0</v>
      </c>
      <c r="BG101" s="309">
        <v>0</v>
      </c>
      <c r="BH101" s="309">
        <v>0</v>
      </c>
      <c r="BI101" s="309">
        <v>0</v>
      </c>
      <c r="BJ101" s="309">
        <v>0</v>
      </c>
      <c r="BK101" s="309">
        <v>0</v>
      </c>
      <c r="BL101" s="309">
        <v>0</v>
      </c>
      <c r="BM101" s="309">
        <v>0</v>
      </c>
      <c r="BN101" s="309">
        <v>0</v>
      </c>
      <c r="BO101" s="309">
        <v>0</v>
      </c>
      <c r="BP101" s="309">
        <v>0</v>
      </c>
      <c r="BQ101" s="309">
        <v>0</v>
      </c>
      <c r="BR101" s="309">
        <v>0</v>
      </c>
      <c r="BU101" s="307" t="s">
        <v>678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0</v>
      </c>
      <c r="CJ101" s="306">
        <v>0</v>
      </c>
      <c r="CK101" s="306">
        <v>0</v>
      </c>
      <c r="CL101" s="306">
        <v>0</v>
      </c>
      <c r="CM101" s="306">
        <v>0</v>
      </c>
      <c r="CN101" s="306">
        <v>0</v>
      </c>
      <c r="CO101" s="306">
        <v>0</v>
      </c>
      <c r="CP101" s="306">
        <v>0</v>
      </c>
      <c r="CQ101" s="306">
        <v>0</v>
      </c>
      <c r="CR101" s="306">
        <v>0</v>
      </c>
      <c r="CS101" s="306">
        <v>0</v>
      </c>
      <c r="CT101" s="306">
        <v>0</v>
      </c>
      <c r="CU101" s="306">
        <v>0</v>
      </c>
      <c r="CV101" s="306">
        <v>0</v>
      </c>
      <c r="CW101" s="306">
        <v>0</v>
      </c>
      <c r="CX101" s="306">
        <v>0</v>
      </c>
      <c r="CY101" s="306">
        <v>0</v>
      </c>
      <c r="CZ101" s="306">
        <v>0</v>
      </c>
      <c r="DA101" s="306">
        <v>0</v>
      </c>
      <c r="DB101" s="306">
        <v>0</v>
      </c>
      <c r="DC101" s="306">
        <v>0</v>
      </c>
      <c r="DD101" s="306">
        <v>0</v>
      </c>
      <c r="DE101" s="306">
        <v>0</v>
      </c>
      <c r="DF101" s="306">
        <v>0</v>
      </c>
      <c r="DG101" s="306">
        <v>0</v>
      </c>
      <c r="DH101" s="306">
        <v>0</v>
      </c>
      <c r="DI101" s="306">
        <v>0</v>
      </c>
    </row>
    <row r="102" spans="30:113" x14ac:dyDescent="0.2">
      <c r="AD102" s="307" t="s">
        <v>644</v>
      </c>
      <c r="AE102" s="309">
        <v>0</v>
      </c>
      <c r="AF102" s="309">
        <v>0</v>
      </c>
      <c r="AG102" s="309">
        <v>0</v>
      </c>
      <c r="AH102" s="309">
        <v>0</v>
      </c>
      <c r="AI102" s="309">
        <v>0</v>
      </c>
      <c r="AJ102" s="309">
        <v>0</v>
      </c>
      <c r="AK102" s="309">
        <v>0</v>
      </c>
      <c r="AL102" s="309">
        <v>0</v>
      </c>
      <c r="AM102" s="309">
        <v>0</v>
      </c>
      <c r="AN102" s="309">
        <v>0</v>
      </c>
      <c r="AO102" s="309">
        <v>0</v>
      </c>
      <c r="AP102" s="309">
        <v>0</v>
      </c>
      <c r="AQ102" s="309">
        <v>0</v>
      </c>
      <c r="AR102" s="309">
        <v>0</v>
      </c>
      <c r="AS102" s="309">
        <v>0</v>
      </c>
      <c r="AT102" s="309">
        <v>0</v>
      </c>
      <c r="AU102" s="309">
        <v>0</v>
      </c>
      <c r="AV102" s="309">
        <v>0</v>
      </c>
      <c r="AW102" s="309">
        <v>0</v>
      </c>
      <c r="AX102" s="309">
        <v>0</v>
      </c>
      <c r="AY102" s="309">
        <v>0</v>
      </c>
      <c r="AZ102" s="309">
        <v>0</v>
      </c>
      <c r="BA102" s="309">
        <v>0</v>
      </c>
      <c r="BB102" s="309">
        <v>0</v>
      </c>
      <c r="BC102" s="309">
        <v>0</v>
      </c>
      <c r="BD102" s="309">
        <v>0</v>
      </c>
      <c r="BE102" s="309">
        <v>0</v>
      </c>
      <c r="BF102" s="309">
        <v>0</v>
      </c>
      <c r="BG102" s="309">
        <v>0</v>
      </c>
      <c r="BH102" s="309">
        <v>0</v>
      </c>
      <c r="BI102" s="309">
        <v>0</v>
      </c>
      <c r="BJ102" s="309">
        <v>0</v>
      </c>
      <c r="BK102" s="309">
        <v>0</v>
      </c>
      <c r="BL102" s="309">
        <v>0</v>
      </c>
      <c r="BM102" s="309">
        <v>0</v>
      </c>
      <c r="BN102" s="309">
        <v>0</v>
      </c>
      <c r="BO102" s="309">
        <v>0</v>
      </c>
      <c r="BP102" s="309">
        <v>0</v>
      </c>
      <c r="BQ102" s="309">
        <v>0</v>
      </c>
      <c r="BR102" s="309">
        <v>0</v>
      </c>
      <c r="BU102" s="307" t="s">
        <v>644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0</v>
      </c>
      <c r="CI102" s="306">
        <v>0</v>
      </c>
      <c r="CJ102" s="306">
        <v>0</v>
      </c>
      <c r="CK102" s="306">
        <v>0</v>
      </c>
      <c r="CL102" s="306">
        <v>0</v>
      </c>
      <c r="CM102" s="306">
        <v>0</v>
      </c>
      <c r="CN102" s="306">
        <v>0</v>
      </c>
      <c r="CO102" s="306">
        <v>0</v>
      </c>
      <c r="CP102" s="306">
        <v>0</v>
      </c>
      <c r="CQ102" s="306">
        <v>0</v>
      </c>
      <c r="CR102" s="306">
        <v>0</v>
      </c>
      <c r="CS102" s="306">
        <v>0</v>
      </c>
      <c r="CT102" s="306">
        <v>0</v>
      </c>
      <c r="CU102" s="306">
        <v>0</v>
      </c>
      <c r="CV102" s="306">
        <v>0</v>
      </c>
      <c r="CW102" s="306">
        <v>0</v>
      </c>
      <c r="CX102" s="306">
        <v>0</v>
      </c>
      <c r="CY102" s="306">
        <v>0</v>
      </c>
      <c r="CZ102" s="306">
        <v>0</v>
      </c>
      <c r="DA102" s="306">
        <v>0</v>
      </c>
      <c r="DB102" s="306">
        <v>0</v>
      </c>
      <c r="DC102" s="306">
        <v>0</v>
      </c>
      <c r="DD102" s="306">
        <v>0</v>
      </c>
      <c r="DE102" s="306">
        <v>0</v>
      </c>
      <c r="DF102" s="306">
        <v>0</v>
      </c>
      <c r="DG102" s="306">
        <v>0</v>
      </c>
      <c r="DH102" s="306">
        <v>0</v>
      </c>
      <c r="DI102" s="306">
        <v>0</v>
      </c>
    </row>
    <row r="103" spans="30:113" x14ac:dyDescent="0.2">
      <c r="AD103" s="307" t="s">
        <v>645</v>
      </c>
      <c r="AE103" s="309">
        <v>0</v>
      </c>
      <c r="AF103" s="309">
        <v>0</v>
      </c>
      <c r="AG103" s="309">
        <v>0</v>
      </c>
      <c r="AH103" s="309">
        <v>0</v>
      </c>
      <c r="AI103" s="309">
        <v>0</v>
      </c>
      <c r="AJ103" s="309">
        <v>0</v>
      </c>
      <c r="AK103" s="309">
        <v>0</v>
      </c>
      <c r="AL103" s="309">
        <v>0</v>
      </c>
      <c r="AM103" s="309">
        <v>0</v>
      </c>
      <c r="AN103" s="309">
        <v>0</v>
      </c>
      <c r="AO103" s="309">
        <v>0</v>
      </c>
      <c r="AP103" s="309">
        <v>0</v>
      </c>
      <c r="AQ103" s="309">
        <v>0</v>
      </c>
      <c r="AR103" s="309">
        <v>0</v>
      </c>
      <c r="AS103" s="309">
        <v>0</v>
      </c>
      <c r="AT103" s="309">
        <v>0</v>
      </c>
      <c r="AU103" s="309">
        <v>0</v>
      </c>
      <c r="AV103" s="309">
        <v>0</v>
      </c>
      <c r="AW103" s="309">
        <v>0</v>
      </c>
      <c r="AX103" s="309">
        <v>0</v>
      </c>
      <c r="AY103" s="309">
        <v>0</v>
      </c>
      <c r="AZ103" s="309">
        <v>0</v>
      </c>
      <c r="BA103" s="309">
        <v>0</v>
      </c>
      <c r="BB103" s="309">
        <v>0</v>
      </c>
      <c r="BC103" s="309">
        <v>0</v>
      </c>
      <c r="BD103" s="309">
        <v>0</v>
      </c>
      <c r="BE103" s="309">
        <v>0</v>
      </c>
      <c r="BF103" s="309">
        <v>0</v>
      </c>
      <c r="BG103" s="309">
        <v>0</v>
      </c>
      <c r="BH103" s="309">
        <v>0</v>
      </c>
      <c r="BI103" s="309">
        <v>0</v>
      </c>
      <c r="BJ103" s="309">
        <v>0</v>
      </c>
      <c r="BK103" s="309">
        <v>0</v>
      </c>
      <c r="BL103" s="309">
        <v>0</v>
      </c>
      <c r="BM103" s="309">
        <v>0</v>
      </c>
      <c r="BN103" s="309">
        <v>0</v>
      </c>
      <c r="BO103" s="309">
        <v>0</v>
      </c>
      <c r="BP103" s="309">
        <v>0</v>
      </c>
      <c r="BQ103" s="309">
        <v>0</v>
      </c>
      <c r="BR103" s="309">
        <v>0</v>
      </c>
      <c r="BU103" s="307" t="s">
        <v>645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0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  <c r="CM103" s="306">
        <v>0</v>
      </c>
      <c r="CN103" s="306">
        <v>0</v>
      </c>
      <c r="CO103" s="306">
        <v>0</v>
      </c>
      <c r="CP103" s="306">
        <v>0</v>
      </c>
      <c r="CQ103" s="306">
        <v>0</v>
      </c>
      <c r="CR103" s="306">
        <v>0</v>
      </c>
      <c r="CS103" s="306">
        <v>0</v>
      </c>
      <c r="CT103" s="306">
        <v>0</v>
      </c>
      <c r="CU103" s="306">
        <v>0</v>
      </c>
      <c r="CV103" s="306">
        <v>0</v>
      </c>
      <c r="CW103" s="306">
        <v>0</v>
      </c>
      <c r="CX103" s="306">
        <v>0</v>
      </c>
      <c r="CY103" s="306">
        <v>0</v>
      </c>
      <c r="CZ103" s="306">
        <v>0</v>
      </c>
      <c r="DA103" s="306">
        <v>0</v>
      </c>
      <c r="DB103" s="306">
        <v>0</v>
      </c>
      <c r="DC103" s="306">
        <v>0</v>
      </c>
      <c r="DD103" s="306">
        <v>0</v>
      </c>
      <c r="DE103" s="306">
        <v>0</v>
      </c>
      <c r="DF103" s="306">
        <v>0</v>
      </c>
      <c r="DG103" s="306">
        <v>0</v>
      </c>
      <c r="DH103" s="306">
        <v>0</v>
      </c>
      <c r="DI103" s="306">
        <v>0</v>
      </c>
    </row>
    <row r="104" spans="30:113" x14ac:dyDescent="0.2">
      <c r="AD104" s="307" t="s">
        <v>646</v>
      </c>
      <c r="AE104" s="309">
        <v>0</v>
      </c>
      <c r="AF104" s="309">
        <v>0</v>
      </c>
      <c r="AG104" s="309">
        <v>0</v>
      </c>
      <c r="AH104" s="309">
        <v>0</v>
      </c>
      <c r="AI104" s="309">
        <v>0</v>
      </c>
      <c r="AJ104" s="309">
        <v>0</v>
      </c>
      <c r="AK104" s="309">
        <v>0</v>
      </c>
      <c r="AL104" s="309">
        <v>0</v>
      </c>
      <c r="AM104" s="309">
        <v>0</v>
      </c>
      <c r="AN104" s="309">
        <v>0</v>
      </c>
      <c r="AO104" s="309">
        <v>0</v>
      </c>
      <c r="AP104" s="309">
        <v>0</v>
      </c>
      <c r="AQ104" s="309">
        <v>0</v>
      </c>
      <c r="AR104" s="309">
        <v>0</v>
      </c>
      <c r="AS104" s="309">
        <v>0</v>
      </c>
      <c r="AT104" s="309">
        <v>0</v>
      </c>
      <c r="AU104" s="309">
        <v>0</v>
      </c>
      <c r="AV104" s="309">
        <v>0</v>
      </c>
      <c r="AW104" s="309">
        <v>0</v>
      </c>
      <c r="AX104" s="309">
        <v>0</v>
      </c>
      <c r="AY104" s="309">
        <v>0</v>
      </c>
      <c r="AZ104" s="309">
        <v>0</v>
      </c>
      <c r="BA104" s="309">
        <v>0</v>
      </c>
      <c r="BB104" s="309">
        <v>0</v>
      </c>
      <c r="BC104" s="309">
        <v>0</v>
      </c>
      <c r="BD104" s="309">
        <v>0</v>
      </c>
      <c r="BE104" s="309">
        <v>0</v>
      </c>
      <c r="BF104" s="309">
        <v>0</v>
      </c>
      <c r="BG104" s="309">
        <v>0</v>
      </c>
      <c r="BH104" s="309">
        <v>0</v>
      </c>
      <c r="BI104" s="309">
        <v>0</v>
      </c>
      <c r="BJ104" s="309">
        <v>0</v>
      </c>
      <c r="BK104" s="309">
        <v>0</v>
      </c>
      <c r="BL104" s="309">
        <v>0</v>
      </c>
      <c r="BM104" s="309">
        <v>0</v>
      </c>
      <c r="BN104" s="309">
        <v>0</v>
      </c>
      <c r="BO104" s="309">
        <v>0</v>
      </c>
      <c r="BP104" s="309">
        <v>0</v>
      </c>
      <c r="BQ104" s="309">
        <v>0</v>
      </c>
      <c r="BR104" s="309">
        <v>0</v>
      </c>
      <c r="BU104" s="307" t="s">
        <v>646</v>
      </c>
      <c r="BV104" s="306">
        <v>0</v>
      </c>
      <c r="BW104" s="306">
        <v>0</v>
      </c>
      <c r="BX104" s="306">
        <v>0</v>
      </c>
      <c r="BY104" s="306">
        <v>0</v>
      </c>
      <c r="BZ104" s="306">
        <v>0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  <c r="CM104" s="306">
        <v>0</v>
      </c>
      <c r="CN104" s="306">
        <v>0</v>
      </c>
      <c r="CO104" s="306">
        <v>0</v>
      </c>
      <c r="CP104" s="306">
        <v>0</v>
      </c>
      <c r="CQ104" s="306">
        <v>0</v>
      </c>
      <c r="CR104" s="306">
        <v>0</v>
      </c>
      <c r="CS104" s="306">
        <v>0</v>
      </c>
      <c r="CT104" s="306">
        <v>0</v>
      </c>
      <c r="CU104" s="306">
        <v>0</v>
      </c>
      <c r="CV104" s="306">
        <v>0</v>
      </c>
      <c r="CW104" s="306">
        <v>0</v>
      </c>
      <c r="CX104" s="306">
        <v>0</v>
      </c>
      <c r="CY104" s="306">
        <v>0</v>
      </c>
      <c r="CZ104" s="306">
        <v>0</v>
      </c>
      <c r="DA104" s="306">
        <v>0</v>
      </c>
      <c r="DB104" s="306">
        <v>0</v>
      </c>
      <c r="DC104" s="306">
        <v>0</v>
      </c>
      <c r="DD104" s="306">
        <v>0</v>
      </c>
      <c r="DE104" s="306">
        <v>0</v>
      </c>
      <c r="DF104" s="306">
        <v>0</v>
      </c>
      <c r="DG104" s="306">
        <v>0</v>
      </c>
      <c r="DH104" s="306">
        <v>0</v>
      </c>
      <c r="DI104" s="306">
        <v>0</v>
      </c>
    </row>
    <row r="105" spans="30:113" x14ac:dyDescent="0.2">
      <c r="AD105" s="307" t="s">
        <v>647</v>
      </c>
      <c r="AE105" s="309">
        <v>0</v>
      </c>
      <c r="AF105" s="309">
        <v>0</v>
      </c>
      <c r="AG105" s="309">
        <v>0</v>
      </c>
      <c r="AH105" s="309">
        <v>0</v>
      </c>
      <c r="AI105" s="309">
        <v>0</v>
      </c>
      <c r="AJ105" s="309">
        <v>0</v>
      </c>
      <c r="AK105" s="309">
        <v>0</v>
      </c>
      <c r="AL105" s="309">
        <v>0</v>
      </c>
      <c r="AM105" s="309">
        <v>0</v>
      </c>
      <c r="AN105" s="309">
        <v>0</v>
      </c>
      <c r="AO105" s="309">
        <v>0</v>
      </c>
      <c r="AP105" s="309">
        <v>0</v>
      </c>
      <c r="AQ105" s="309">
        <v>0</v>
      </c>
      <c r="AR105" s="309">
        <v>0</v>
      </c>
      <c r="AS105" s="309">
        <v>0</v>
      </c>
      <c r="AT105" s="309">
        <v>0</v>
      </c>
      <c r="AU105" s="309">
        <v>0</v>
      </c>
      <c r="AV105" s="309">
        <v>0</v>
      </c>
      <c r="AW105" s="309">
        <v>0</v>
      </c>
      <c r="AX105" s="309">
        <v>0</v>
      </c>
      <c r="AY105" s="309">
        <v>0</v>
      </c>
      <c r="AZ105" s="309">
        <v>0</v>
      </c>
      <c r="BA105" s="309">
        <v>0</v>
      </c>
      <c r="BB105" s="309">
        <v>0</v>
      </c>
      <c r="BC105" s="309">
        <v>0</v>
      </c>
      <c r="BD105" s="309">
        <v>0</v>
      </c>
      <c r="BE105" s="309">
        <v>0</v>
      </c>
      <c r="BF105" s="309">
        <v>0</v>
      </c>
      <c r="BG105" s="309">
        <v>0</v>
      </c>
      <c r="BH105" s="309">
        <v>0</v>
      </c>
      <c r="BI105" s="309">
        <v>0</v>
      </c>
      <c r="BJ105" s="309">
        <v>0</v>
      </c>
      <c r="BK105" s="309">
        <v>0</v>
      </c>
      <c r="BL105" s="309">
        <v>0</v>
      </c>
      <c r="BM105" s="309">
        <v>0</v>
      </c>
      <c r="BN105" s="309">
        <v>0</v>
      </c>
      <c r="BO105" s="309">
        <v>0</v>
      </c>
      <c r="BP105" s="309">
        <v>0</v>
      </c>
      <c r="BQ105" s="309">
        <v>0</v>
      </c>
      <c r="BR105" s="309">
        <v>0</v>
      </c>
      <c r="BU105" s="307" t="s">
        <v>647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  <c r="CM105" s="306">
        <v>0</v>
      </c>
      <c r="CN105" s="306">
        <v>0</v>
      </c>
      <c r="CO105" s="306">
        <v>0</v>
      </c>
      <c r="CP105" s="306">
        <v>0</v>
      </c>
      <c r="CQ105" s="306">
        <v>0</v>
      </c>
      <c r="CR105" s="306">
        <v>0</v>
      </c>
      <c r="CS105" s="306">
        <v>0</v>
      </c>
      <c r="CT105" s="306">
        <v>0</v>
      </c>
      <c r="CU105" s="306">
        <v>0</v>
      </c>
      <c r="CV105" s="306">
        <v>0</v>
      </c>
      <c r="CW105" s="306">
        <v>0</v>
      </c>
      <c r="CX105" s="306">
        <v>0</v>
      </c>
      <c r="CY105" s="306">
        <v>0</v>
      </c>
      <c r="CZ105" s="306">
        <v>0</v>
      </c>
      <c r="DA105" s="306">
        <v>0</v>
      </c>
      <c r="DB105" s="306">
        <v>0</v>
      </c>
      <c r="DC105" s="306">
        <v>0</v>
      </c>
      <c r="DD105" s="306">
        <v>0</v>
      </c>
      <c r="DE105" s="306">
        <v>0</v>
      </c>
      <c r="DF105" s="306">
        <v>0</v>
      </c>
      <c r="DG105" s="306">
        <v>0</v>
      </c>
      <c r="DH105" s="306">
        <v>0</v>
      </c>
      <c r="DI105" s="306">
        <v>0</v>
      </c>
    </row>
    <row r="106" spans="30:113" x14ac:dyDescent="0.2">
      <c r="AD106" s="307" t="s">
        <v>648</v>
      </c>
      <c r="AE106" s="309">
        <v>0</v>
      </c>
      <c r="AF106" s="309">
        <v>0</v>
      </c>
      <c r="AG106" s="309">
        <v>0</v>
      </c>
      <c r="AH106" s="309">
        <v>0</v>
      </c>
      <c r="AI106" s="309">
        <v>0</v>
      </c>
      <c r="AJ106" s="309">
        <v>0</v>
      </c>
      <c r="AK106" s="309">
        <v>0</v>
      </c>
      <c r="AL106" s="309">
        <v>0</v>
      </c>
      <c r="AM106" s="309">
        <v>0</v>
      </c>
      <c r="AN106" s="309">
        <v>0</v>
      </c>
      <c r="AO106" s="309">
        <v>0</v>
      </c>
      <c r="AP106" s="309">
        <v>0</v>
      </c>
      <c r="AQ106" s="309">
        <v>0</v>
      </c>
      <c r="AR106" s="309">
        <v>0</v>
      </c>
      <c r="AS106" s="309">
        <v>0</v>
      </c>
      <c r="AT106" s="309">
        <v>0</v>
      </c>
      <c r="AU106" s="309">
        <v>0</v>
      </c>
      <c r="AV106" s="309">
        <v>0</v>
      </c>
      <c r="AW106" s="309">
        <v>0</v>
      </c>
      <c r="AX106" s="309">
        <v>0</v>
      </c>
      <c r="AY106" s="309">
        <v>0</v>
      </c>
      <c r="AZ106" s="309">
        <v>0</v>
      </c>
      <c r="BA106" s="309">
        <v>0</v>
      </c>
      <c r="BB106" s="309">
        <v>0</v>
      </c>
      <c r="BC106" s="309">
        <v>0</v>
      </c>
      <c r="BD106" s="309">
        <v>0</v>
      </c>
      <c r="BE106" s="309">
        <v>0</v>
      </c>
      <c r="BF106" s="309">
        <v>0</v>
      </c>
      <c r="BG106" s="309">
        <v>0</v>
      </c>
      <c r="BH106" s="309">
        <v>0</v>
      </c>
      <c r="BI106" s="309">
        <v>0</v>
      </c>
      <c r="BJ106" s="309">
        <v>0</v>
      </c>
      <c r="BK106" s="309">
        <v>0</v>
      </c>
      <c r="BL106" s="309">
        <v>0</v>
      </c>
      <c r="BM106" s="309">
        <v>0</v>
      </c>
      <c r="BN106" s="309">
        <v>0</v>
      </c>
      <c r="BO106" s="309">
        <v>0</v>
      </c>
      <c r="BP106" s="309">
        <v>0</v>
      </c>
      <c r="BQ106" s="309">
        <v>0</v>
      </c>
      <c r="BR106" s="309">
        <v>0</v>
      </c>
      <c r="BU106" s="307" t="s">
        <v>648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0</v>
      </c>
      <c r="CM106" s="306">
        <v>0</v>
      </c>
      <c r="CN106" s="306">
        <v>0</v>
      </c>
      <c r="CO106" s="306">
        <v>0</v>
      </c>
      <c r="CP106" s="306">
        <v>0</v>
      </c>
      <c r="CQ106" s="306">
        <v>0</v>
      </c>
      <c r="CR106" s="306">
        <v>0</v>
      </c>
      <c r="CS106" s="306">
        <v>0</v>
      </c>
      <c r="CT106" s="306">
        <v>0</v>
      </c>
      <c r="CU106" s="306">
        <v>0</v>
      </c>
      <c r="CV106" s="306">
        <v>0</v>
      </c>
      <c r="CW106" s="306">
        <v>0</v>
      </c>
      <c r="CX106" s="306">
        <v>0</v>
      </c>
      <c r="CY106" s="306">
        <v>0</v>
      </c>
      <c r="CZ106" s="306">
        <v>0</v>
      </c>
      <c r="DA106" s="306">
        <v>0</v>
      </c>
      <c r="DB106" s="306">
        <v>0</v>
      </c>
      <c r="DC106" s="306">
        <v>0</v>
      </c>
      <c r="DD106" s="306">
        <v>0</v>
      </c>
      <c r="DE106" s="306">
        <v>0</v>
      </c>
      <c r="DF106" s="306">
        <v>0</v>
      </c>
      <c r="DG106" s="306">
        <v>0</v>
      </c>
      <c r="DH106" s="306">
        <v>0</v>
      </c>
      <c r="DI106" s="306">
        <v>0</v>
      </c>
    </row>
    <row r="107" spans="30:113" x14ac:dyDescent="0.2">
      <c r="AD107" s="307" t="s">
        <v>649</v>
      </c>
      <c r="AE107" s="309">
        <v>0</v>
      </c>
      <c r="AF107" s="309">
        <v>0</v>
      </c>
      <c r="AG107" s="309">
        <v>0</v>
      </c>
      <c r="AH107" s="309">
        <v>0</v>
      </c>
      <c r="AI107" s="309">
        <v>0</v>
      </c>
      <c r="AJ107" s="309">
        <v>0</v>
      </c>
      <c r="AK107" s="309">
        <v>0</v>
      </c>
      <c r="AL107" s="309">
        <v>0</v>
      </c>
      <c r="AM107" s="309">
        <v>0</v>
      </c>
      <c r="AN107" s="309">
        <v>0</v>
      </c>
      <c r="AO107" s="309">
        <v>0</v>
      </c>
      <c r="AP107" s="309">
        <v>0</v>
      </c>
      <c r="AQ107" s="309">
        <v>0</v>
      </c>
      <c r="AR107" s="309">
        <v>0</v>
      </c>
      <c r="AS107" s="309">
        <v>0</v>
      </c>
      <c r="AT107" s="309">
        <v>0</v>
      </c>
      <c r="AU107" s="309">
        <v>0</v>
      </c>
      <c r="AV107" s="309">
        <v>0</v>
      </c>
      <c r="AW107" s="309">
        <v>0</v>
      </c>
      <c r="AX107" s="309">
        <v>0</v>
      </c>
      <c r="AY107" s="309">
        <v>0</v>
      </c>
      <c r="AZ107" s="309">
        <v>0</v>
      </c>
      <c r="BA107" s="309">
        <v>0</v>
      </c>
      <c r="BB107" s="309">
        <v>0</v>
      </c>
      <c r="BC107" s="309">
        <v>0</v>
      </c>
      <c r="BD107" s="309">
        <v>0</v>
      </c>
      <c r="BE107" s="309">
        <v>0</v>
      </c>
      <c r="BF107" s="309">
        <v>0</v>
      </c>
      <c r="BG107" s="309">
        <v>0</v>
      </c>
      <c r="BH107" s="309">
        <v>0</v>
      </c>
      <c r="BI107" s="309">
        <v>0</v>
      </c>
      <c r="BJ107" s="309">
        <v>0</v>
      </c>
      <c r="BK107" s="309">
        <v>0</v>
      </c>
      <c r="BL107" s="309">
        <v>0</v>
      </c>
      <c r="BM107" s="309">
        <v>0</v>
      </c>
      <c r="BN107" s="309">
        <v>0</v>
      </c>
      <c r="BO107" s="309">
        <v>0</v>
      </c>
      <c r="BP107" s="309">
        <v>0</v>
      </c>
      <c r="BQ107" s="309">
        <v>0</v>
      </c>
      <c r="BR107" s="309">
        <v>0</v>
      </c>
      <c r="BU107" s="307" t="s">
        <v>649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  <c r="CM107" s="306">
        <v>0</v>
      </c>
      <c r="CN107" s="306">
        <v>0</v>
      </c>
      <c r="CO107" s="306">
        <v>0</v>
      </c>
      <c r="CP107" s="306">
        <v>0</v>
      </c>
      <c r="CQ107" s="306">
        <v>0</v>
      </c>
      <c r="CR107" s="306">
        <v>0</v>
      </c>
      <c r="CS107" s="306">
        <v>0</v>
      </c>
      <c r="CT107" s="306">
        <v>0</v>
      </c>
      <c r="CU107" s="306">
        <v>0</v>
      </c>
      <c r="CV107" s="306">
        <v>0</v>
      </c>
      <c r="CW107" s="306">
        <v>0</v>
      </c>
      <c r="CX107" s="306">
        <v>0</v>
      </c>
      <c r="CY107" s="306">
        <v>0</v>
      </c>
      <c r="CZ107" s="306">
        <v>0</v>
      </c>
      <c r="DA107" s="306">
        <v>0</v>
      </c>
      <c r="DB107" s="306">
        <v>0</v>
      </c>
      <c r="DC107" s="306">
        <v>0</v>
      </c>
      <c r="DD107" s="306">
        <v>0</v>
      </c>
      <c r="DE107" s="306">
        <v>0</v>
      </c>
      <c r="DF107" s="306">
        <v>0</v>
      </c>
      <c r="DG107" s="306">
        <v>0</v>
      </c>
      <c r="DH107" s="306">
        <v>0</v>
      </c>
      <c r="DI107" s="306">
        <v>0</v>
      </c>
    </row>
    <row r="108" spans="30:113" x14ac:dyDescent="0.2">
      <c r="AD108" s="307" t="s">
        <v>463</v>
      </c>
      <c r="AE108" s="309">
        <v>0</v>
      </c>
      <c r="AF108" s="309">
        <v>0</v>
      </c>
      <c r="AG108" s="309">
        <v>0</v>
      </c>
      <c r="AH108" s="309">
        <v>0</v>
      </c>
      <c r="AI108" s="309">
        <v>0</v>
      </c>
      <c r="AJ108" s="309">
        <v>0</v>
      </c>
      <c r="AK108" s="309">
        <v>0</v>
      </c>
      <c r="AL108" s="309">
        <v>0</v>
      </c>
      <c r="AM108" s="309">
        <v>0</v>
      </c>
      <c r="AN108" s="309">
        <v>0</v>
      </c>
      <c r="AO108" s="309">
        <v>0</v>
      </c>
      <c r="AP108" s="309">
        <v>0</v>
      </c>
      <c r="AQ108" s="309">
        <v>0</v>
      </c>
      <c r="AR108" s="309">
        <v>0</v>
      </c>
      <c r="AS108" s="309">
        <v>0</v>
      </c>
      <c r="AT108" s="309">
        <v>0</v>
      </c>
      <c r="AU108" s="309">
        <v>0</v>
      </c>
      <c r="AV108" s="309">
        <v>0</v>
      </c>
      <c r="AW108" s="309">
        <v>0</v>
      </c>
      <c r="AX108" s="309">
        <v>0</v>
      </c>
      <c r="AY108" s="309">
        <v>0</v>
      </c>
      <c r="AZ108" s="309">
        <v>0</v>
      </c>
      <c r="BA108" s="309">
        <v>0</v>
      </c>
      <c r="BB108" s="309">
        <v>0</v>
      </c>
      <c r="BC108" s="309">
        <v>0</v>
      </c>
      <c r="BD108" s="309">
        <v>0</v>
      </c>
      <c r="BE108" s="309">
        <v>0</v>
      </c>
      <c r="BF108" s="309">
        <v>0</v>
      </c>
      <c r="BG108" s="309">
        <v>0</v>
      </c>
      <c r="BH108" s="309">
        <v>0</v>
      </c>
      <c r="BI108" s="309">
        <v>0</v>
      </c>
      <c r="BJ108" s="309">
        <v>0</v>
      </c>
      <c r="BK108" s="309">
        <v>0</v>
      </c>
      <c r="BL108" s="309">
        <v>0</v>
      </c>
      <c r="BM108" s="309">
        <v>0</v>
      </c>
      <c r="BN108" s="309">
        <v>0</v>
      </c>
      <c r="BO108" s="309">
        <v>0</v>
      </c>
      <c r="BP108" s="309">
        <v>0</v>
      </c>
      <c r="BQ108" s="309">
        <v>0</v>
      </c>
      <c r="BR108" s="309">
        <v>0</v>
      </c>
      <c r="BU108" s="307" t="s">
        <v>463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  <c r="CM108" s="306">
        <v>0</v>
      </c>
      <c r="CN108" s="306">
        <v>0</v>
      </c>
      <c r="CO108" s="306">
        <v>0</v>
      </c>
      <c r="CP108" s="306">
        <v>0</v>
      </c>
      <c r="CQ108" s="306">
        <v>0</v>
      </c>
      <c r="CR108" s="306">
        <v>0</v>
      </c>
      <c r="CS108" s="306">
        <v>0</v>
      </c>
      <c r="CT108" s="306">
        <v>0</v>
      </c>
      <c r="CU108" s="306">
        <v>0</v>
      </c>
      <c r="CV108" s="306">
        <v>0</v>
      </c>
      <c r="CW108" s="306">
        <v>0</v>
      </c>
      <c r="CX108" s="306">
        <v>0</v>
      </c>
      <c r="CY108" s="306">
        <v>0</v>
      </c>
      <c r="CZ108" s="306">
        <v>0</v>
      </c>
      <c r="DA108" s="306">
        <v>0</v>
      </c>
      <c r="DB108" s="306">
        <v>0</v>
      </c>
      <c r="DC108" s="306">
        <v>0</v>
      </c>
      <c r="DD108" s="306">
        <v>0</v>
      </c>
      <c r="DE108" s="306">
        <v>0</v>
      </c>
      <c r="DF108" s="306">
        <v>0</v>
      </c>
      <c r="DG108" s="306">
        <v>0</v>
      </c>
      <c r="DH108" s="306">
        <v>0</v>
      </c>
      <c r="DI108" s="306">
        <v>0</v>
      </c>
    </row>
    <row r="109" spans="30:113" x14ac:dyDescent="0.2">
      <c r="AD109" s="307" t="s">
        <v>343</v>
      </c>
      <c r="AE109" s="309">
        <v>0</v>
      </c>
      <c r="AF109" s="309">
        <v>0</v>
      </c>
      <c r="AG109" s="309">
        <v>10407.5335702297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09">
        <v>0</v>
      </c>
      <c r="BB109" s="309">
        <v>0</v>
      </c>
      <c r="BC109" s="309">
        <v>0</v>
      </c>
      <c r="BD109" s="309">
        <v>0</v>
      </c>
      <c r="BE109" s="309">
        <v>0</v>
      </c>
      <c r="BF109" s="309">
        <v>0</v>
      </c>
      <c r="BG109" s="309">
        <v>0</v>
      </c>
      <c r="BH109" s="309">
        <v>0</v>
      </c>
      <c r="BI109" s="309">
        <v>0</v>
      </c>
      <c r="BJ109" s="309">
        <v>0</v>
      </c>
      <c r="BK109" s="309">
        <v>0</v>
      </c>
      <c r="BL109" s="309">
        <v>0</v>
      </c>
      <c r="BM109" s="309">
        <v>0</v>
      </c>
      <c r="BN109" s="309">
        <v>0</v>
      </c>
      <c r="BO109" s="309">
        <v>0</v>
      </c>
      <c r="BP109" s="309">
        <v>0</v>
      </c>
      <c r="BQ109" s="309">
        <v>0</v>
      </c>
      <c r="BR109" s="309">
        <v>0</v>
      </c>
      <c r="BU109" s="307" t="s">
        <v>343</v>
      </c>
      <c r="BV109" s="306">
        <v>0</v>
      </c>
      <c r="BW109" s="306">
        <v>0</v>
      </c>
      <c r="BX109" s="306">
        <v>0</v>
      </c>
      <c r="BY109" s="306">
        <v>0</v>
      </c>
      <c r="BZ109" s="306">
        <v>0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  <c r="CM109" s="306">
        <v>0</v>
      </c>
      <c r="CN109" s="306">
        <v>0</v>
      </c>
      <c r="CO109" s="306">
        <v>0</v>
      </c>
      <c r="CP109" s="306">
        <v>0</v>
      </c>
      <c r="CQ109" s="306">
        <v>0</v>
      </c>
      <c r="CR109" s="306">
        <v>0</v>
      </c>
      <c r="CS109" s="306">
        <v>0</v>
      </c>
      <c r="CT109" s="306">
        <v>0</v>
      </c>
      <c r="CU109" s="306">
        <v>0</v>
      </c>
      <c r="CV109" s="306">
        <v>0</v>
      </c>
      <c r="CW109" s="306">
        <v>0</v>
      </c>
      <c r="CX109" s="306">
        <v>0</v>
      </c>
      <c r="CY109" s="306">
        <v>0</v>
      </c>
      <c r="CZ109" s="306">
        <v>0</v>
      </c>
      <c r="DA109" s="306">
        <v>0</v>
      </c>
      <c r="DB109" s="306">
        <v>0</v>
      </c>
      <c r="DC109" s="306">
        <v>0</v>
      </c>
      <c r="DD109" s="306">
        <v>0</v>
      </c>
      <c r="DE109" s="306">
        <v>0</v>
      </c>
      <c r="DF109" s="306">
        <v>0</v>
      </c>
      <c r="DG109" s="306">
        <v>0</v>
      </c>
      <c r="DH109" s="306">
        <v>0</v>
      </c>
      <c r="DI109" s="306">
        <v>0</v>
      </c>
    </row>
    <row r="110" spans="30:113" x14ac:dyDescent="0.2">
      <c r="AD110" s="307" t="s">
        <v>679</v>
      </c>
      <c r="AE110" s="309">
        <v>0</v>
      </c>
      <c r="AF110" s="309">
        <v>0</v>
      </c>
      <c r="AG110" s="309">
        <v>0</v>
      </c>
      <c r="AH110" s="309">
        <v>0</v>
      </c>
      <c r="AI110" s="309">
        <v>0</v>
      </c>
      <c r="AJ110" s="309">
        <v>0</v>
      </c>
      <c r="AK110" s="309">
        <v>0</v>
      </c>
      <c r="AL110" s="309">
        <v>0</v>
      </c>
      <c r="AM110" s="309">
        <v>0</v>
      </c>
      <c r="AN110" s="309">
        <v>3749358.3680556798</v>
      </c>
      <c r="AO110" s="309">
        <v>0</v>
      </c>
      <c r="AP110" s="309">
        <v>0</v>
      </c>
      <c r="AQ110" s="309">
        <v>0</v>
      </c>
      <c r="AR110" s="309">
        <v>0</v>
      </c>
      <c r="AS110" s="309">
        <v>0</v>
      </c>
      <c r="AT110" s="309">
        <v>0</v>
      </c>
      <c r="AU110" s="309">
        <v>0</v>
      </c>
      <c r="AV110" s="309">
        <v>0</v>
      </c>
      <c r="AW110" s="309">
        <v>0</v>
      </c>
      <c r="AX110" s="309">
        <v>0</v>
      </c>
      <c r="AY110" s="309">
        <v>0</v>
      </c>
      <c r="AZ110" s="309">
        <v>0</v>
      </c>
      <c r="BA110" s="309">
        <v>0</v>
      </c>
      <c r="BB110" s="309">
        <v>0</v>
      </c>
      <c r="BC110" s="309">
        <v>0</v>
      </c>
      <c r="BD110" s="309">
        <v>0</v>
      </c>
      <c r="BE110" s="309">
        <v>0</v>
      </c>
      <c r="BF110" s="309">
        <v>0</v>
      </c>
      <c r="BG110" s="309">
        <v>0</v>
      </c>
      <c r="BH110" s="309">
        <v>0</v>
      </c>
      <c r="BI110" s="309">
        <v>0</v>
      </c>
      <c r="BJ110" s="309">
        <v>0</v>
      </c>
      <c r="BK110" s="309">
        <v>0</v>
      </c>
      <c r="BL110" s="309">
        <v>0</v>
      </c>
      <c r="BM110" s="309">
        <v>0</v>
      </c>
      <c r="BN110" s="309">
        <v>0</v>
      </c>
      <c r="BO110" s="309">
        <v>0</v>
      </c>
      <c r="BP110" s="309">
        <v>0</v>
      </c>
      <c r="BQ110" s="309">
        <v>0</v>
      </c>
      <c r="BR110" s="309">
        <v>0</v>
      </c>
      <c r="BU110" s="307" t="s">
        <v>679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0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  <c r="CM110" s="306">
        <v>0</v>
      </c>
      <c r="CN110" s="306">
        <v>0</v>
      </c>
      <c r="CO110" s="306">
        <v>0</v>
      </c>
      <c r="CP110" s="306">
        <v>0</v>
      </c>
      <c r="CQ110" s="306">
        <v>0</v>
      </c>
      <c r="CR110" s="306">
        <v>0</v>
      </c>
      <c r="CS110" s="306">
        <v>0</v>
      </c>
      <c r="CT110" s="306">
        <v>0</v>
      </c>
      <c r="CU110" s="306">
        <v>0</v>
      </c>
      <c r="CV110" s="306">
        <v>0</v>
      </c>
      <c r="CW110" s="306">
        <v>0</v>
      </c>
      <c r="CX110" s="306">
        <v>0</v>
      </c>
      <c r="CY110" s="306">
        <v>0</v>
      </c>
      <c r="CZ110" s="306">
        <v>0</v>
      </c>
      <c r="DA110" s="306">
        <v>0</v>
      </c>
      <c r="DB110" s="306">
        <v>0</v>
      </c>
      <c r="DC110" s="306">
        <v>0</v>
      </c>
      <c r="DD110" s="306">
        <v>0</v>
      </c>
      <c r="DE110" s="306">
        <v>0</v>
      </c>
      <c r="DF110" s="306">
        <v>0</v>
      </c>
      <c r="DG110" s="306">
        <v>0</v>
      </c>
      <c r="DH110" s="306">
        <v>0</v>
      </c>
      <c r="DI110" s="306">
        <v>0</v>
      </c>
    </row>
    <row r="111" spans="30:113" x14ac:dyDescent="0.2">
      <c r="AD111" s="307" t="s">
        <v>650</v>
      </c>
      <c r="AE111" s="309">
        <v>0</v>
      </c>
      <c r="AF111" s="309">
        <v>0</v>
      </c>
      <c r="AG111" s="309">
        <v>0</v>
      </c>
      <c r="AH111" s="309">
        <v>0</v>
      </c>
      <c r="AI111" s="309">
        <v>0</v>
      </c>
      <c r="AJ111" s="309">
        <v>0</v>
      </c>
      <c r="AK111" s="309">
        <v>0</v>
      </c>
      <c r="AL111" s="309">
        <v>0</v>
      </c>
      <c r="AM111" s="309">
        <v>0</v>
      </c>
      <c r="AN111" s="309">
        <v>0</v>
      </c>
      <c r="AO111" s="309">
        <v>0</v>
      </c>
      <c r="AP111" s="309">
        <v>0</v>
      </c>
      <c r="AQ111" s="309">
        <v>0</v>
      </c>
      <c r="AR111" s="309">
        <v>0</v>
      </c>
      <c r="AS111" s="309">
        <v>0</v>
      </c>
      <c r="AT111" s="309">
        <v>0</v>
      </c>
      <c r="AU111" s="309">
        <v>0</v>
      </c>
      <c r="AV111" s="309">
        <v>0</v>
      </c>
      <c r="AW111" s="309">
        <v>0</v>
      </c>
      <c r="AX111" s="309">
        <v>0</v>
      </c>
      <c r="AY111" s="309">
        <v>0</v>
      </c>
      <c r="AZ111" s="309">
        <v>0</v>
      </c>
      <c r="BA111" s="309">
        <v>0</v>
      </c>
      <c r="BB111" s="309">
        <v>0</v>
      </c>
      <c r="BC111" s="309">
        <v>0</v>
      </c>
      <c r="BD111" s="309">
        <v>0</v>
      </c>
      <c r="BE111" s="309">
        <v>0</v>
      </c>
      <c r="BF111" s="309">
        <v>0</v>
      </c>
      <c r="BG111" s="309">
        <v>0</v>
      </c>
      <c r="BH111" s="309">
        <v>0</v>
      </c>
      <c r="BI111" s="309">
        <v>0</v>
      </c>
      <c r="BJ111" s="309">
        <v>0</v>
      </c>
      <c r="BK111" s="309">
        <v>0</v>
      </c>
      <c r="BL111" s="309">
        <v>0</v>
      </c>
      <c r="BM111" s="309">
        <v>0</v>
      </c>
      <c r="BN111" s="309">
        <v>0</v>
      </c>
      <c r="BO111" s="309">
        <v>0</v>
      </c>
      <c r="BP111" s="309">
        <v>0</v>
      </c>
      <c r="BQ111" s="309">
        <v>0</v>
      </c>
      <c r="BR111" s="309">
        <v>0</v>
      </c>
      <c r="BU111" s="307" t="s">
        <v>650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0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  <c r="CM111" s="306">
        <v>0</v>
      </c>
      <c r="CN111" s="306">
        <v>0</v>
      </c>
      <c r="CO111" s="306">
        <v>0</v>
      </c>
      <c r="CP111" s="306">
        <v>0</v>
      </c>
      <c r="CQ111" s="306">
        <v>0</v>
      </c>
      <c r="CR111" s="306">
        <v>0</v>
      </c>
      <c r="CS111" s="306">
        <v>0</v>
      </c>
      <c r="CT111" s="306">
        <v>0</v>
      </c>
      <c r="CU111" s="306">
        <v>0</v>
      </c>
      <c r="CV111" s="306">
        <v>0</v>
      </c>
      <c r="CW111" s="306">
        <v>0</v>
      </c>
      <c r="CX111" s="306">
        <v>0</v>
      </c>
      <c r="CY111" s="306">
        <v>0</v>
      </c>
      <c r="CZ111" s="306">
        <v>0</v>
      </c>
      <c r="DA111" s="306">
        <v>0</v>
      </c>
      <c r="DB111" s="306">
        <v>0</v>
      </c>
      <c r="DC111" s="306">
        <v>0</v>
      </c>
      <c r="DD111" s="306">
        <v>0</v>
      </c>
      <c r="DE111" s="306">
        <v>0</v>
      </c>
      <c r="DF111" s="306">
        <v>0</v>
      </c>
      <c r="DG111" s="306">
        <v>0</v>
      </c>
      <c r="DH111" s="306">
        <v>0</v>
      </c>
      <c r="DI111" s="306">
        <v>0</v>
      </c>
    </row>
    <row r="112" spans="30:113" x14ac:dyDescent="0.2">
      <c r="AD112" s="307" t="s">
        <v>680</v>
      </c>
      <c r="AE112" s="309">
        <v>0</v>
      </c>
      <c r="AF112" s="309">
        <v>0</v>
      </c>
      <c r="AG112" s="309">
        <v>0</v>
      </c>
      <c r="AH112" s="309">
        <v>0</v>
      </c>
      <c r="AI112" s="309">
        <v>0</v>
      </c>
      <c r="AJ112" s="309">
        <v>0</v>
      </c>
      <c r="AK112" s="309">
        <v>0</v>
      </c>
      <c r="AL112" s="309">
        <v>0</v>
      </c>
      <c r="AM112" s="309">
        <v>0</v>
      </c>
      <c r="AN112" s="309">
        <v>0</v>
      </c>
      <c r="AO112" s="309">
        <v>0</v>
      </c>
      <c r="AP112" s="309">
        <v>0</v>
      </c>
      <c r="AQ112" s="309">
        <v>668.84165319492104</v>
      </c>
      <c r="AR112" s="309">
        <v>0</v>
      </c>
      <c r="AS112" s="309">
        <v>0</v>
      </c>
      <c r="AT112" s="309">
        <v>0</v>
      </c>
      <c r="AU112" s="309">
        <v>0</v>
      </c>
      <c r="AV112" s="309">
        <v>0</v>
      </c>
      <c r="AW112" s="309">
        <v>0</v>
      </c>
      <c r="AX112" s="309">
        <v>0</v>
      </c>
      <c r="AY112" s="309">
        <v>0</v>
      </c>
      <c r="AZ112" s="309">
        <v>0</v>
      </c>
      <c r="BA112" s="309">
        <v>0</v>
      </c>
      <c r="BB112" s="309">
        <v>0</v>
      </c>
      <c r="BC112" s="309">
        <v>0</v>
      </c>
      <c r="BD112" s="309">
        <v>0</v>
      </c>
      <c r="BE112" s="309">
        <v>0</v>
      </c>
      <c r="BF112" s="309">
        <v>0</v>
      </c>
      <c r="BG112" s="309">
        <v>0</v>
      </c>
      <c r="BH112" s="309">
        <v>0</v>
      </c>
      <c r="BI112" s="309">
        <v>0</v>
      </c>
      <c r="BJ112" s="309">
        <v>0</v>
      </c>
      <c r="BK112" s="309">
        <v>0</v>
      </c>
      <c r="BL112" s="309">
        <v>0</v>
      </c>
      <c r="BM112" s="309">
        <v>0</v>
      </c>
      <c r="BN112" s="309">
        <v>0</v>
      </c>
      <c r="BO112" s="309">
        <v>0</v>
      </c>
      <c r="BP112" s="309">
        <v>0</v>
      </c>
      <c r="BQ112" s="309">
        <v>0</v>
      </c>
      <c r="BR112" s="309">
        <v>0</v>
      </c>
      <c r="BU112" s="307" t="s">
        <v>680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  <c r="CM112" s="306">
        <v>0</v>
      </c>
      <c r="CN112" s="306">
        <v>0</v>
      </c>
      <c r="CO112" s="306">
        <v>0</v>
      </c>
      <c r="CP112" s="306">
        <v>0</v>
      </c>
      <c r="CQ112" s="306">
        <v>0</v>
      </c>
      <c r="CR112" s="306">
        <v>0</v>
      </c>
      <c r="CS112" s="306">
        <v>0</v>
      </c>
      <c r="CT112" s="306">
        <v>0</v>
      </c>
      <c r="CU112" s="306">
        <v>0</v>
      </c>
      <c r="CV112" s="306">
        <v>0</v>
      </c>
      <c r="CW112" s="306">
        <v>0</v>
      </c>
      <c r="CX112" s="306">
        <v>0</v>
      </c>
      <c r="CY112" s="306">
        <v>0</v>
      </c>
      <c r="CZ112" s="306">
        <v>0</v>
      </c>
      <c r="DA112" s="306">
        <v>0</v>
      </c>
      <c r="DB112" s="306">
        <v>0</v>
      </c>
      <c r="DC112" s="306">
        <v>0</v>
      </c>
      <c r="DD112" s="306">
        <v>0</v>
      </c>
      <c r="DE112" s="306">
        <v>0</v>
      </c>
      <c r="DF112" s="306">
        <v>0</v>
      </c>
      <c r="DG112" s="306">
        <v>0</v>
      </c>
      <c r="DH112" s="306">
        <v>0</v>
      </c>
      <c r="DI112" s="306">
        <v>0</v>
      </c>
    </row>
    <row r="113" spans="30:113" x14ac:dyDescent="0.2">
      <c r="AD113" s="307" t="s">
        <v>681</v>
      </c>
      <c r="AE113" s="309">
        <v>0</v>
      </c>
      <c r="AF113" s="309">
        <v>0</v>
      </c>
      <c r="AG113" s="309">
        <v>0</v>
      </c>
      <c r="AH113" s="309">
        <v>0</v>
      </c>
      <c r="AI113" s="309">
        <v>0</v>
      </c>
      <c r="AJ113" s="309">
        <v>0</v>
      </c>
      <c r="AK113" s="309">
        <v>0</v>
      </c>
      <c r="AL113" s="309">
        <v>0</v>
      </c>
      <c r="AM113" s="309">
        <v>0</v>
      </c>
      <c r="AN113" s="309">
        <v>0</v>
      </c>
      <c r="AO113" s="309">
        <v>0</v>
      </c>
      <c r="AP113" s="309">
        <v>668.84165319492104</v>
      </c>
      <c r="AQ113" s="309">
        <v>0</v>
      </c>
      <c r="AR113" s="309">
        <v>0</v>
      </c>
      <c r="AS113" s="309">
        <v>0</v>
      </c>
      <c r="AT113" s="309">
        <v>0</v>
      </c>
      <c r="AU113" s="309">
        <v>0</v>
      </c>
      <c r="AV113" s="309">
        <v>0</v>
      </c>
      <c r="AW113" s="309">
        <v>0</v>
      </c>
      <c r="AX113" s="309">
        <v>0</v>
      </c>
      <c r="AY113" s="309">
        <v>0</v>
      </c>
      <c r="AZ113" s="309">
        <v>0</v>
      </c>
      <c r="BA113" s="309">
        <v>0</v>
      </c>
      <c r="BB113" s="309">
        <v>0</v>
      </c>
      <c r="BC113" s="309">
        <v>0</v>
      </c>
      <c r="BD113" s="309">
        <v>0</v>
      </c>
      <c r="BE113" s="309">
        <v>0</v>
      </c>
      <c r="BF113" s="309">
        <v>0</v>
      </c>
      <c r="BG113" s="309">
        <v>0</v>
      </c>
      <c r="BH113" s="309">
        <v>0</v>
      </c>
      <c r="BI113" s="309">
        <v>0</v>
      </c>
      <c r="BJ113" s="309">
        <v>0</v>
      </c>
      <c r="BK113" s="309">
        <v>0</v>
      </c>
      <c r="BL113" s="309">
        <v>0</v>
      </c>
      <c r="BM113" s="309">
        <v>0</v>
      </c>
      <c r="BN113" s="309">
        <v>0</v>
      </c>
      <c r="BO113" s="309">
        <v>0</v>
      </c>
      <c r="BP113" s="309">
        <v>0</v>
      </c>
      <c r="BQ113" s="309">
        <v>0</v>
      </c>
      <c r="BR113" s="309">
        <v>0</v>
      </c>
      <c r="BU113" s="307" t="s">
        <v>681</v>
      </c>
      <c r="BV113" s="306">
        <v>0</v>
      </c>
      <c r="BW113" s="306">
        <v>0</v>
      </c>
      <c r="BX113" s="306">
        <v>0</v>
      </c>
      <c r="BY113" s="306">
        <v>0</v>
      </c>
      <c r="BZ113" s="306">
        <v>0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  <c r="CM113" s="306">
        <v>0</v>
      </c>
      <c r="CN113" s="306">
        <v>0</v>
      </c>
      <c r="CO113" s="306">
        <v>0</v>
      </c>
      <c r="CP113" s="306">
        <v>0</v>
      </c>
      <c r="CQ113" s="306">
        <v>0</v>
      </c>
      <c r="CR113" s="306">
        <v>0</v>
      </c>
      <c r="CS113" s="306">
        <v>0</v>
      </c>
      <c r="CT113" s="306">
        <v>0</v>
      </c>
      <c r="CU113" s="306">
        <v>0</v>
      </c>
      <c r="CV113" s="306">
        <v>0</v>
      </c>
      <c r="CW113" s="306">
        <v>0</v>
      </c>
      <c r="CX113" s="306">
        <v>0</v>
      </c>
      <c r="CY113" s="306">
        <v>0</v>
      </c>
      <c r="CZ113" s="306">
        <v>0</v>
      </c>
      <c r="DA113" s="306">
        <v>0</v>
      </c>
      <c r="DB113" s="306">
        <v>0</v>
      </c>
      <c r="DC113" s="306">
        <v>0</v>
      </c>
      <c r="DD113" s="306">
        <v>0</v>
      </c>
      <c r="DE113" s="306">
        <v>0</v>
      </c>
      <c r="DF113" s="306">
        <v>0</v>
      </c>
      <c r="DG113" s="306">
        <v>0</v>
      </c>
      <c r="DH113" s="306">
        <v>0</v>
      </c>
      <c r="DI113" s="306">
        <v>0</v>
      </c>
    </row>
    <row r="114" spans="30:113" x14ac:dyDescent="0.2">
      <c r="AD114" s="307" t="s">
        <v>682</v>
      </c>
      <c r="AE114" s="309">
        <v>0</v>
      </c>
      <c r="AF114" s="309">
        <v>0</v>
      </c>
      <c r="AG114" s="309">
        <v>0</v>
      </c>
      <c r="AH114" s="309">
        <v>0</v>
      </c>
      <c r="AI114" s="309">
        <v>0</v>
      </c>
      <c r="AJ114" s="309">
        <v>0</v>
      </c>
      <c r="AK114" s="309">
        <v>0</v>
      </c>
      <c r="AL114" s="309">
        <v>0</v>
      </c>
      <c r="AM114" s="309">
        <v>0</v>
      </c>
      <c r="AN114" s="309">
        <v>0</v>
      </c>
      <c r="AO114" s="309">
        <v>184686.52821315001</v>
      </c>
      <c r="AP114" s="309">
        <v>0</v>
      </c>
      <c r="AQ114" s="309">
        <v>0</v>
      </c>
      <c r="AR114" s="309">
        <v>0</v>
      </c>
      <c r="AS114" s="309">
        <v>0</v>
      </c>
      <c r="AT114" s="309">
        <v>0</v>
      </c>
      <c r="AU114" s="309">
        <v>0</v>
      </c>
      <c r="AV114" s="309">
        <v>0</v>
      </c>
      <c r="AW114" s="309">
        <v>0</v>
      </c>
      <c r="AX114" s="309">
        <v>0</v>
      </c>
      <c r="AY114" s="309">
        <v>0</v>
      </c>
      <c r="AZ114" s="309">
        <v>0</v>
      </c>
      <c r="BA114" s="309">
        <v>0</v>
      </c>
      <c r="BB114" s="309">
        <v>0</v>
      </c>
      <c r="BC114" s="309">
        <v>0</v>
      </c>
      <c r="BD114" s="309">
        <v>0</v>
      </c>
      <c r="BE114" s="309">
        <v>0</v>
      </c>
      <c r="BF114" s="309">
        <v>0</v>
      </c>
      <c r="BG114" s="309">
        <v>0</v>
      </c>
      <c r="BH114" s="309">
        <v>0</v>
      </c>
      <c r="BI114" s="309">
        <v>0</v>
      </c>
      <c r="BJ114" s="309">
        <v>0</v>
      </c>
      <c r="BK114" s="309">
        <v>0</v>
      </c>
      <c r="BL114" s="309">
        <v>0</v>
      </c>
      <c r="BM114" s="309">
        <v>0</v>
      </c>
      <c r="BN114" s="309">
        <v>0</v>
      </c>
      <c r="BO114" s="309">
        <v>0</v>
      </c>
      <c r="BP114" s="309">
        <v>0</v>
      </c>
      <c r="BQ114" s="309">
        <v>0</v>
      </c>
      <c r="BR114" s="309">
        <v>0</v>
      </c>
      <c r="BU114" s="307" t="s">
        <v>682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0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  <c r="CM114" s="306">
        <v>0</v>
      </c>
      <c r="CN114" s="306">
        <v>0</v>
      </c>
      <c r="CO114" s="306">
        <v>0</v>
      </c>
      <c r="CP114" s="306">
        <v>0</v>
      </c>
      <c r="CQ114" s="306">
        <v>0</v>
      </c>
      <c r="CR114" s="306">
        <v>0</v>
      </c>
      <c r="CS114" s="306">
        <v>0</v>
      </c>
      <c r="CT114" s="306">
        <v>0</v>
      </c>
      <c r="CU114" s="306">
        <v>0</v>
      </c>
      <c r="CV114" s="306">
        <v>0</v>
      </c>
      <c r="CW114" s="306">
        <v>0</v>
      </c>
      <c r="CX114" s="306">
        <v>0</v>
      </c>
      <c r="CY114" s="306">
        <v>0</v>
      </c>
      <c r="CZ114" s="306">
        <v>0</v>
      </c>
      <c r="DA114" s="306">
        <v>0</v>
      </c>
      <c r="DB114" s="306">
        <v>0</v>
      </c>
      <c r="DC114" s="306">
        <v>0</v>
      </c>
      <c r="DD114" s="306">
        <v>0</v>
      </c>
      <c r="DE114" s="306">
        <v>0</v>
      </c>
      <c r="DF114" s="306">
        <v>0</v>
      </c>
      <c r="DG114" s="306">
        <v>0</v>
      </c>
      <c r="DH114" s="306">
        <v>0</v>
      </c>
      <c r="DI114" s="306">
        <v>0</v>
      </c>
    </row>
    <row r="115" spans="30:113" x14ac:dyDescent="0.2">
      <c r="AD115" s="307" t="s">
        <v>683</v>
      </c>
      <c r="AE115" s="309">
        <v>0</v>
      </c>
      <c r="AF115" s="309">
        <v>0</v>
      </c>
      <c r="AG115" s="309">
        <v>0</v>
      </c>
      <c r="AH115" s="309">
        <v>0</v>
      </c>
      <c r="AI115" s="309">
        <v>0</v>
      </c>
      <c r="AJ115" s="309">
        <v>184686.52821315001</v>
      </c>
      <c r="AK115" s="309">
        <v>0</v>
      </c>
      <c r="AL115" s="309">
        <v>0</v>
      </c>
      <c r="AM115" s="309">
        <v>0</v>
      </c>
      <c r="AN115" s="309">
        <v>0</v>
      </c>
      <c r="AO115" s="309">
        <v>0</v>
      </c>
      <c r="AP115" s="309">
        <v>0</v>
      </c>
      <c r="AQ115" s="309">
        <v>0</v>
      </c>
      <c r="AR115" s="309">
        <v>0</v>
      </c>
      <c r="AS115" s="309">
        <v>0</v>
      </c>
      <c r="AT115" s="309">
        <v>0</v>
      </c>
      <c r="AU115" s="309">
        <v>0</v>
      </c>
      <c r="AV115" s="309">
        <v>0</v>
      </c>
      <c r="AW115" s="309">
        <v>0</v>
      </c>
      <c r="AX115" s="309">
        <v>0</v>
      </c>
      <c r="AY115" s="309">
        <v>0</v>
      </c>
      <c r="AZ115" s="309">
        <v>0</v>
      </c>
      <c r="BA115" s="309">
        <v>0</v>
      </c>
      <c r="BB115" s="309">
        <v>0</v>
      </c>
      <c r="BC115" s="309">
        <v>0</v>
      </c>
      <c r="BD115" s="309">
        <v>0</v>
      </c>
      <c r="BE115" s="309">
        <v>0</v>
      </c>
      <c r="BF115" s="309">
        <v>0</v>
      </c>
      <c r="BG115" s="309">
        <v>0</v>
      </c>
      <c r="BH115" s="309">
        <v>0</v>
      </c>
      <c r="BI115" s="309">
        <v>0</v>
      </c>
      <c r="BJ115" s="309">
        <v>0</v>
      </c>
      <c r="BK115" s="309">
        <v>0</v>
      </c>
      <c r="BL115" s="309">
        <v>0</v>
      </c>
      <c r="BM115" s="309">
        <v>0</v>
      </c>
      <c r="BN115" s="309">
        <v>0</v>
      </c>
      <c r="BO115" s="309">
        <v>0</v>
      </c>
      <c r="BP115" s="309">
        <v>0</v>
      </c>
      <c r="BQ115" s="309">
        <v>0</v>
      </c>
      <c r="BR115" s="309">
        <v>0</v>
      </c>
      <c r="BU115" s="307" t="s">
        <v>683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  <c r="CM115" s="306">
        <v>0</v>
      </c>
      <c r="CN115" s="306">
        <v>0</v>
      </c>
      <c r="CO115" s="306">
        <v>0</v>
      </c>
      <c r="CP115" s="306">
        <v>0</v>
      </c>
      <c r="CQ115" s="306">
        <v>0</v>
      </c>
      <c r="CR115" s="306">
        <v>0</v>
      </c>
      <c r="CS115" s="306">
        <v>0</v>
      </c>
      <c r="CT115" s="306">
        <v>0</v>
      </c>
      <c r="CU115" s="306">
        <v>0</v>
      </c>
      <c r="CV115" s="306">
        <v>0</v>
      </c>
      <c r="CW115" s="306">
        <v>0</v>
      </c>
      <c r="CX115" s="306">
        <v>0</v>
      </c>
      <c r="CY115" s="306">
        <v>0</v>
      </c>
      <c r="CZ115" s="306">
        <v>0</v>
      </c>
      <c r="DA115" s="306">
        <v>0</v>
      </c>
      <c r="DB115" s="306">
        <v>0</v>
      </c>
      <c r="DC115" s="306">
        <v>0</v>
      </c>
      <c r="DD115" s="306">
        <v>0</v>
      </c>
      <c r="DE115" s="306">
        <v>0</v>
      </c>
      <c r="DF115" s="306">
        <v>0</v>
      </c>
      <c r="DG115" s="306">
        <v>0</v>
      </c>
      <c r="DH115" s="306">
        <v>0</v>
      </c>
      <c r="DI115" s="306">
        <v>0</v>
      </c>
    </row>
    <row r="116" spans="30:113" x14ac:dyDescent="0.2">
      <c r="AD116" s="307" t="s">
        <v>651</v>
      </c>
      <c r="AE116" s="309">
        <v>0</v>
      </c>
      <c r="AF116" s="309">
        <v>0</v>
      </c>
      <c r="AG116" s="309">
        <v>0</v>
      </c>
      <c r="AH116" s="309">
        <v>0</v>
      </c>
      <c r="AI116" s="309">
        <v>0</v>
      </c>
      <c r="AJ116" s="309">
        <v>0</v>
      </c>
      <c r="AK116" s="309">
        <v>0</v>
      </c>
      <c r="AL116" s="309">
        <v>0</v>
      </c>
      <c r="AM116" s="309">
        <v>0</v>
      </c>
      <c r="AN116" s="309">
        <v>0</v>
      </c>
      <c r="AO116" s="309">
        <v>0</v>
      </c>
      <c r="AP116" s="309">
        <v>0</v>
      </c>
      <c r="AQ116" s="309">
        <v>0</v>
      </c>
      <c r="AR116" s="309">
        <v>0</v>
      </c>
      <c r="AS116" s="309">
        <v>0</v>
      </c>
      <c r="AT116" s="309">
        <v>0</v>
      </c>
      <c r="AU116" s="309">
        <v>0</v>
      </c>
      <c r="AV116" s="309">
        <v>0</v>
      </c>
      <c r="AW116" s="309">
        <v>0</v>
      </c>
      <c r="AX116" s="309">
        <v>0</v>
      </c>
      <c r="AY116" s="309">
        <v>0</v>
      </c>
      <c r="AZ116" s="309">
        <v>0</v>
      </c>
      <c r="BA116" s="309">
        <v>0</v>
      </c>
      <c r="BB116" s="309">
        <v>0</v>
      </c>
      <c r="BC116" s="309">
        <v>0</v>
      </c>
      <c r="BD116" s="309">
        <v>0</v>
      </c>
      <c r="BE116" s="309">
        <v>0</v>
      </c>
      <c r="BF116" s="309">
        <v>0</v>
      </c>
      <c r="BG116" s="309">
        <v>0</v>
      </c>
      <c r="BH116" s="309">
        <v>0</v>
      </c>
      <c r="BI116" s="309">
        <v>0</v>
      </c>
      <c r="BJ116" s="309">
        <v>0</v>
      </c>
      <c r="BK116" s="309">
        <v>0</v>
      </c>
      <c r="BL116" s="309">
        <v>0</v>
      </c>
      <c r="BM116" s="309">
        <v>0</v>
      </c>
      <c r="BN116" s="309">
        <v>0</v>
      </c>
      <c r="BO116" s="309">
        <v>0</v>
      </c>
      <c r="BP116" s="309">
        <v>0</v>
      </c>
      <c r="BQ116" s="309">
        <v>0</v>
      </c>
      <c r="BR116" s="309">
        <v>0</v>
      </c>
      <c r="BU116" s="307" t="s">
        <v>651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  <c r="CM116" s="306">
        <v>0</v>
      </c>
      <c r="CN116" s="306">
        <v>0</v>
      </c>
      <c r="CO116" s="306">
        <v>0</v>
      </c>
      <c r="CP116" s="306">
        <v>0</v>
      </c>
      <c r="CQ116" s="306">
        <v>0</v>
      </c>
      <c r="CR116" s="306">
        <v>0</v>
      </c>
      <c r="CS116" s="306">
        <v>0</v>
      </c>
      <c r="CT116" s="306">
        <v>0</v>
      </c>
      <c r="CU116" s="306">
        <v>0</v>
      </c>
      <c r="CV116" s="306">
        <v>0</v>
      </c>
      <c r="CW116" s="306">
        <v>0</v>
      </c>
      <c r="CX116" s="306">
        <v>0</v>
      </c>
      <c r="CY116" s="306">
        <v>0</v>
      </c>
      <c r="CZ116" s="306">
        <v>0</v>
      </c>
      <c r="DA116" s="306">
        <v>0</v>
      </c>
      <c r="DB116" s="306">
        <v>0</v>
      </c>
      <c r="DC116" s="306">
        <v>0</v>
      </c>
      <c r="DD116" s="306">
        <v>0</v>
      </c>
      <c r="DE116" s="306">
        <v>0</v>
      </c>
      <c r="DF116" s="306">
        <v>0</v>
      </c>
      <c r="DG116" s="306">
        <v>0</v>
      </c>
      <c r="DH116" s="306">
        <v>0</v>
      </c>
      <c r="DI116" s="306">
        <v>0</v>
      </c>
    </row>
    <row r="117" spans="30:113" x14ac:dyDescent="0.2">
      <c r="AD117" s="307" t="s">
        <v>652</v>
      </c>
      <c r="AE117" s="309">
        <v>0</v>
      </c>
      <c r="AF117" s="309">
        <v>0</v>
      </c>
      <c r="AG117" s="309">
        <v>0</v>
      </c>
      <c r="AH117" s="309">
        <v>0</v>
      </c>
      <c r="AI117" s="309">
        <v>0</v>
      </c>
      <c r="AJ117" s="309">
        <v>0</v>
      </c>
      <c r="AK117" s="309">
        <v>0</v>
      </c>
      <c r="AL117" s="309">
        <v>0</v>
      </c>
      <c r="AM117" s="309">
        <v>0</v>
      </c>
      <c r="AN117" s="309">
        <v>0</v>
      </c>
      <c r="AO117" s="309">
        <v>0</v>
      </c>
      <c r="AP117" s="309">
        <v>0</v>
      </c>
      <c r="AQ117" s="309">
        <v>0</v>
      </c>
      <c r="AR117" s="309">
        <v>0</v>
      </c>
      <c r="AS117" s="309">
        <v>0</v>
      </c>
      <c r="AT117" s="309">
        <v>0</v>
      </c>
      <c r="AU117" s="309">
        <v>0</v>
      </c>
      <c r="AV117" s="309">
        <v>0</v>
      </c>
      <c r="AW117" s="309">
        <v>0</v>
      </c>
      <c r="AX117" s="309">
        <v>0</v>
      </c>
      <c r="AY117" s="309">
        <v>0</v>
      </c>
      <c r="AZ117" s="309">
        <v>0</v>
      </c>
      <c r="BA117" s="309">
        <v>0</v>
      </c>
      <c r="BB117" s="309">
        <v>0</v>
      </c>
      <c r="BC117" s="309">
        <v>0</v>
      </c>
      <c r="BD117" s="309">
        <v>0</v>
      </c>
      <c r="BE117" s="309">
        <v>0</v>
      </c>
      <c r="BF117" s="309">
        <v>0</v>
      </c>
      <c r="BG117" s="309">
        <v>0</v>
      </c>
      <c r="BH117" s="309">
        <v>0</v>
      </c>
      <c r="BI117" s="309">
        <v>0</v>
      </c>
      <c r="BJ117" s="309">
        <v>0</v>
      </c>
      <c r="BK117" s="309">
        <v>0</v>
      </c>
      <c r="BL117" s="309">
        <v>0</v>
      </c>
      <c r="BM117" s="309">
        <v>0</v>
      </c>
      <c r="BN117" s="309">
        <v>0</v>
      </c>
      <c r="BO117" s="309">
        <v>0</v>
      </c>
      <c r="BP117" s="309">
        <v>0</v>
      </c>
      <c r="BQ117" s="309">
        <v>0</v>
      </c>
      <c r="BR117" s="309">
        <v>0</v>
      </c>
      <c r="BU117" s="307" t="s">
        <v>652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  <c r="CM117" s="306">
        <v>0</v>
      </c>
      <c r="CN117" s="306">
        <v>0</v>
      </c>
      <c r="CO117" s="306">
        <v>0</v>
      </c>
      <c r="CP117" s="306">
        <v>0</v>
      </c>
      <c r="CQ117" s="306">
        <v>0</v>
      </c>
      <c r="CR117" s="306">
        <v>0</v>
      </c>
      <c r="CS117" s="306">
        <v>0</v>
      </c>
      <c r="CT117" s="306">
        <v>0</v>
      </c>
      <c r="CU117" s="306">
        <v>0</v>
      </c>
      <c r="CV117" s="306">
        <v>0</v>
      </c>
      <c r="CW117" s="306">
        <v>0</v>
      </c>
      <c r="CX117" s="306">
        <v>0</v>
      </c>
      <c r="CY117" s="306">
        <v>0</v>
      </c>
      <c r="CZ117" s="306">
        <v>0</v>
      </c>
      <c r="DA117" s="306">
        <v>0</v>
      </c>
      <c r="DB117" s="306">
        <v>0</v>
      </c>
      <c r="DC117" s="306">
        <v>0</v>
      </c>
      <c r="DD117" s="306">
        <v>0</v>
      </c>
      <c r="DE117" s="306">
        <v>0</v>
      </c>
      <c r="DF117" s="306">
        <v>0</v>
      </c>
      <c r="DG117" s="306">
        <v>0</v>
      </c>
      <c r="DH117" s="306">
        <v>0</v>
      </c>
      <c r="DI117" s="306">
        <v>0</v>
      </c>
    </row>
    <row r="118" spans="30:113" x14ac:dyDescent="0.2">
      <c r="AD118" s="307" t="s">
        <v>653</v>
      </c>
      <c r="AE118" s="309">
        <v>0</v>
      </c>
      <c r="AF118" s="309">
        <v>0</v>
      </c>
      <c r="AG118" s="309">
        <v>0</v>
      </c>
      <c r="AH118" s="309">
        <v>0</v>
      </c>
      <c r="AI118" s="309">
        <v>0</v>
      </c>
      <c r="AJ118" s="309">
        <v>0</v>
      </c>
      <c r="AK118" s="309">
        <v>0</v>
      </c>
      <c r="AL118" s="309">
        <v>0</v>
      </c>
      <c r="AM118" s="309">
        <v>0</v>
      </c>
      <c r="AN118" s="309">
        <v>0</v>
      </c>
      <c r="AO118" s="309">
        <v>0</v>
      </c>
      <c r="AP118" s="309">
        <v>0</v>
      </c>
      <c r="AQ118" s="309">
        <v>0</v>
      </c>
      <c r="AR118" s="309">
        <v>0</v>
      </c>
      <c r="AS118" s="309">
        <v>0</v>
      </c>
      <c r="AT118" s="309">
        <v>0</v>
      </c>
      <c r="AU118" s="309">
        <v>0</v>
      </c>
      <c r="AV118" s="309">
        <v>0</v>
      </c>
      <c r="AW118" s="309">
        <v>0</v>
      </c>
      <c r="AX118" s="309">
        <v>0</v>
      </c>
      <c r="AY118" s="309">
        <v>0</v>
      </c>
      <c r="AZ118" s="309">
        <v>0</v>
      </c>
      <c r="BA118" s="309">
        <v>0</v>
      </c>
      <c r="BB118" s="309">
        <v>0</v>
      </c>
      <c r="BC118" s="309">
        <v>0</v>
      </c>
      <c r="BD118" s="309">
        <v>0</v>
      </c>
      <c r="BE118" s="309">
        <v>0</v>
      </c>
      <c r="BF118" s="309">
        <v>0</v>
      </c>
      <c r="BG118" s="309">
        <v>0</v>
      </c>
      <c r="BH118" s="309">
        <v>0</v>
      </c>
      <c r="BI118" s="309">
        <v>0</v>
      </c>
      <c r="BJ118" s="309">
        <v>0</v>
      </c>
      <c r="BK118" s="309">
        <v>0</v>
      </c>
      <c r="BL118" s="309">
        <v>0</v>
      </c>
      <c r="BM118" s="309">
        <v>0</v>
      </c>
      <c r="BN118" s="309">
        <v>0</v>
      </c>
      <c r="BO118" s="309">
        <v>0</v>
      </c>
      <c r="BP118" s="309">
        <v>0</v>
      </c>
      <c r="BQ118" s="309">
        <v>0</v>
      </c>
      <c r="BR118" s="309">
        <v>0</v>
      </c>
      <c r="BU118" s="307" t="s">
        <v>653</v>
      </c>
      <c r="BV118" s="306">
        <v>0</v>
      </c>
      <c r="BW118" s="306">
        <v>0</v>
      </c>
      <c r="BX118" s="306">
        <v>0</v>
      </c>
      <c r="BY118" s="306">
        <v>0</v>
      </c>
      <c r="BZ118" s="306">
        <v>0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  <c r="CM118" s="306">
        <v>0</v>
      </c>
      <c r="CN118" s="306">
        <v>0</v>
      </c>
      <c r="CO118" s="306">
        <v>0</v>
      </c>
      <c r="CP118" s="306">
        <v>0</v>
      </c>
      <c r="CQ118" s="306">
        <v>0</v>
      </c>
      <c r="CR118" s="306">
        <v>0</v>
      </c>
      <c r="CS118" s="306">
        <v>0</v>
      </c>
      <c r="CT118" s="306">
        <v>0</v>
      </c>
      <c r="CU118" s="306">
        <v>0</v>
      </c>
      <c r="CV118" s="306">
        <v>0</v>
      </c>
      <c r="CW118" s="306">
        <v>0</v>
      </c>
      <c r="CX118" s="306">
        <v>0</v>
      </c>
      <c r="CY118" s="306">
        <v>0</v>
      </c>
      <c r="CZ118" s="306">
        <v>0</v>
      </c>
      <c r="DA118" s="306">
        <v>0</v>
      </c>
      <c r="DB118" s="306">
        <v>0</v>
      </c>
      <c r="DC118" s="306">
        <v>0</v>
      </c>
      <c r="DD118" s="306">
        <v>0</v>
      </c>
      <c r="DE118" s="306">
        <v>0</v>
      </c>
      <c r="DF118" s="306">
        <v>0</v>
      </c>
      <c r="DG118" s="306">
        <v>0</v>
      </c>
      <c r="DH118" s="306">
        <v>0</v>
      </c>
      <c r="DI118" s="306">
        <v>0</v>
      </c>
    </row>
    <row r="119" spans="30:113" x14ac:dyDescent="0.2">
      <c r="AD119" s="307" t="s">
        <v>684</v>
      </c>
      <c r="AE119" s="309">
        <v>80113.817233021196</v>
      </c>
      <c r="AF119" s="309">
        <v>0</v>
      </c>
      <c r="AG119" s="309">
        <v>0</v>
      </c>
      <c r="AH119" s="309">
        <v>3204496.1178020099</v>
      </c>
      <c r="AI119" s="309">
        <v>0</v>
      </c>
      <c r="AJ119" s="309">
        <v>0</v>
      </c>
      <c r="AK119" s="309">
        <v>0</v>
      </c>
      <c r="AL119" s="309">
        <v>0</v>
      </c>
      <c r="AM119" s="309">
        <v>0</v>
      </c>
      <c r="AN119" s="309">
        <v>0</v>
      </c>
      <c r="AO119" s="309">
        <v>0</v>
      </c>
      <c r="AP119" s="309">
        <v>0</v>
      </c>
      <c r="AQ119" s="309">
        <v>0</v>
      </c>
      <c r="AR119" s="309">
        <v>0</v>
      </c>
      <c r="AS119" s="309">
        <v>0</v>
      </c>
      <c r="AT119" s="309">
        <v>0</v>
      </c>
      <c r="AU119" s="309">
        <v>0</v>
      </c>
      <c r="AV119" s="309">
        <v>0</v>
      </c>
      <c r="AW119" s="309">
        <v>0</v>
      </c>
      <c r="AX119" s="309">
        <v>0</v>
      </c>
      <c r="AY119" s="309">
        <v>0</v>
      </c>
      <c r="AZ119" s="309">
        <v>0</v>
      </c>
      <c r="BA119" s="309">
        <v>0</v>
      </c>
      <c r="BB119" s="309">
        <v>0</v>
      </c>
      <c r="BC119" s="309">
        <v>0</v>
      </c>
      <c r="BD119" s="309">
        <v>0</v>
      </c>
      <c r="BE119" s="309">
        <v>0</v>
      </c>
      <c r="BF119" s="309">
        <v>0</v>
      </c>
      <c r="BG119" s="309">
        <v>0</v>
      </c>
      <c r="BH119" s="309">
        <v>0</v>
      </c>
      <c r="BI119" s="309">
        <v>0</v>
      </c>
      <c r="BJ119" s="309">
        <v>0</v>
      </c>
      <c r="BK119" s="309">
        <v>0</v>
      </c>
      <c r="BL119" s="309">
        <v>0</v>
      </c>
      <c r="BM119" s="309">
        <v>0</v>
      </c>
      <c r="BN119" s="309">
        <v>0</v>
      </c>
      <c r="BO119" s="309">
        <v>0</v>
      </c>
      <c r="BP119" s="309">
        <v>0</v>
      </c>
      <c r="BQ119" s="309">
        <v>0</v>
      </c>
      <c r="BR119" s="309">
        <v>0</v>
      </c>
      <c r="BU119" s="307" t="s">
        <v>684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0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  <c r="CM119" s="306">
        <v>0</v>
      </c>
      <c r="CN119" s="306">
        <v>0</v>
      </c>
      <c r="CO119" s="306">
        <v>0</v>
      </c>
      <c r="CP119" s="306">
        <v>0</v>
      </c>
      <c r="CQ119" s="306">
        <v>0</v>
      </c>
      <c r="CR119" s="306">
        <v>0</v>
      </c>
      <c r="CS119" s="306">
        <v>0</v>
      </c>
      <c r="CT119" s="306">
        <v>0</v>
      </c>
      <c r="CU119" s="306">
        <v>0</v>
      </c>
      <c r="CV119" s="306">
        <v>0</v>
      </c>
      <c r="CW119" s="306">
        <v>0</v>
      </c>
      <c r="CX119" s="306">
        <v>0</v>
      </c>
      <c r="CY119" s="306">
        <v>0</v>
      </c>
      <c r="CZ119" s="306">
        <v>0</v>
      </c>
      <c r="DA119" s="306">
        <v>0</v>
      </c>
      <c r="DB119" s="306">
        <v>0</v>
      </c>
      <c r="DC119" s="306">
        <v>0</v>
      </c>
      <c r="DD119" s="306">
        <v>0</v>
      </c>
      <c r="DE119" s="306">
        <v>0</v>
      </c>
      <c r="DF119" s="306">
        <v>0</v>
      </c>
      <c r="DG119" s="306">
        <v>0</v>
      </c>
      <c r="DH119" s="306">
        <v>0</v>
      </c>
      <c r="DI119" s="306">
        <v>0</v>
      </c>
    </row>
    <row r="120" spans="30:113" x14ac:dyDescent="0.2">
      <c r="AD120" s="307" t="s">
        <v>685</v>
      </c>
      <c r="AE120" s="309">
        <v>0</v>
      </c>
      <c r="AF120" s="309">
        <v>3090735.3644190198</v>
      </c>
      <c r="AG120" s="309">
        <v>0</v>
      </c>
      <c r="AH120" s="309">
        <v>0</v>
      </c>
      <c r="AI120" s="309">
        <v>0</v>
      </c>
      <c r="AJ120" s="309">
        <v>0</v>
      </c>
      <c r="AK120" s="309">
        <v>0</v>
      </c>
      <c r="AL120" s="309">
        <v>0</v>
      </c>
      <c r="AM120" s="309">
        <v>0</v>
      </c>
      <c r="AN120" s="309">
        <v>0</v>
      </c>
      <c r="AO120" s="309">
        <v>0</v>
      </c>
      <c r="AP120" s="309">
        <v>0</v>
      </c>
      <c r="AQ120" s="309">
        <v>0</v>
      </c>
      <c r="AR120" s="309">
        <v>0</v>
      </c>
      <c r="AS120" s="309">
        <v>0</v>
      </c>
      <c r="AT120" s="309">
        <v>0</v>
      </c>
      <c r="AU120" s="309">
        <v>0</v>
      </c>
      <c r="AV120" s="309">
        <v>0</v>
      </c>
      <c r="AW120" s="309">
        <v>0</v>
      </c>
      <c r="AX120" s="309">
        <v>0</v>
      </c>
      <c r="AY120" s="309">
        <v>0</v>
      </c>
      <c r="AZ120" s="309">
        <v>0</v>
      </c>
      <c r="BA120" s="309">
        <v>0</v>
      </c>
      <c r="BB120" s="309">
        <v>0</v>
      </c>
      <c r="BC120" s="309">
        <v>0</v>
      </c>
      <c r="BD120" s="309">
        <v>0</v>
      </c>
      <c r="BE120" s="309">
        <v>0</v>
      </c>
      <c r="BF120" s="309">
        <v>0</v>
      </c>
      <c r="BG120" s="309">
        <v>0</v>
      </c>
      <c r="BH120" s="309">
        <v>0</v>
      </c>
      <c r="BI120" s="309">
        <v>0</v>
      </c>
      <c r="BJ120" s="309">
        <v>0</v>
      </c>
      <c r="BK120" s="309">
        <v>0</v>
      </c>
      <c r="BL120" s="309">
        <v>0</v>
      </c>
      <c r="BM120" s="309">
        <v>0</v>
      </c>
      <c r="BN120" s="309">
        <v>0</v>
      </c>
      <c r="BO120" s="309">
        <v>0</v>
      </c>
      <c r="BP120" s="309">
        <v>0</v>
      </c>
      <c r="BQ120" s="309">
        <v>0</v>
      </c>
      <c r="BR120" s="309">
        <v>0</v>
      </c>
      <c r="BU120" s="307" t="s">
        <v>685</v>
      </c>
      <c r="BV120" s="306">
        <v>0</v>
      </c>
      <c r="BW120" s="306">
        <v>0</v>
      </c>
      <c r="BX120" s="306">
        <v>0</v>
      </c>
      <c r="BY120" s="306">
        <v>0</v>
      </c>
      <c r="BZ120" s="306">
        <v>0</v>
      </c>
      <c r="CA120" s="306">
        <v>0</v>
      </c>
      <c r="CB120" s="306">
        <v>0</v>
      </c>
      <c r="CC120" s="306">
        <v>0</v>
      </c>
      <c r="CD120" s="306">
        <v>0</v>
      </c>
      <c r="CE120" s="306">
        <v>0</v>
      </c>
      <c r="CF120" s="306">
        <v>0</v>
      </c>
      <c r="CG120" s="306">
        <v>0</v>
      </c>
      <c r="CH120" s="306">
        <v>0</v>
      </c>
      <c r="CI120" s="306">
        <v>0</v>
      </c>
      <c r="CJ120" s="306">
        <v>0</v>
      </c>
      <c r="CK120" s="306">
        <v>0</v>
      </c>
      <c r="CL120" s="306">
        <v>0</v>
      </c>
      <c r="CM120" s="306">
        <v>0</v>
      </c>
      <c r="CN120" s="306">
        <v>0</v>
      </c>
      <c r="CO120" s="306">
        <v>0</v>
      </c>
      <c r="CP120" s="306">
        <v>0</v>
      </c>
      <c r="CQ120" s="306">
        <v>0</v>
      </c>
      <c r="CR120" s="306">
        <v>0</v>
      </c>
      <c r="CS120" s="306">
        <v>0</v>
      </c>
      <c r="CT120" s="306">
        <v>0</v>
      </c>
      <c r="CU120" s="306">
        <v>0</v>
      </c>
      <c r="CV120" s="306">
        <v>0</v>
      </c>
      <c r="CW120" s="306">
        <v>0</v>
      </c>
      <c r="CX120" s="306">
        <v>0</v>
      </c>
      <c r="CY120" s="306">
        <v>0</v>
      </c>
      <c r="CZ120" s="306">
        <v>0</v>
      </c>
      <c r="DA120" s="306">
        <v>0</v>
      </c>
      <c r="DB120" s="306">
        <v>0</v>
      </c>
      <c r="DC120" s="306">
        <v>0</v>
      </c>
      <c r="DD120" s="306">
        <v>0</v>
      </c>
      <c r="DE120" s="306">
        <v>0</v>
      </c>
      <c r="DF120" s="306">
        <v>0</v>
      </c>
      <c r="DG120" s="306">
        <v>0</v>
      </c>
      <c r="DH120" s="306">
        <v>0</v>
      </c>
      <c r="DI120" s="306">
        <v>0</v>
      </c>
    </row>
    <row r="121" spans="30:113" x14ac:dyDescent="0.2">
      <c r="AD121" s="307" t="s">
        <v>686</v>
      </c>
      <c r="AE121" s="309">
        <v>0</v>
      </c>
      <c r="AF121" s="309">
        <v>0</v>
      </c>
      <c r="AG121" s="309">
        <v>0</v>
      </c>
      <c r="AH121" s="309">
        <v>0</v>
      </c>
      <c r="AI121" s="309">
        <v>0</v>
      </c>
      <c r="AJ121" s="309">
        <v>0</v>
      </c>
      <c r="AK121" s="309">
        <v>0</v>
      </c>
      <c r="AL121" s="309">
        <v>0</v>
      </c>
      <c r="AM121" s="309">
        <v>0</v>
      </c>
      <c r="AN121" s="309">
        <v>0</v>
      </c>
      <c r="AO121" s="309">
        <v>0</v>
      </c>
      <c r="AP121" s="309">
        <v>0</v>
      </c>
      <c r="AQ121" s="309">
        <v>0</v>
      </c>
      <c r="AR121" s="309">
        <v>21683.690906267198</v>
      </c>
      <c r="AS121" s="309">
        <v>0</v>
      </c>
      <c r="AT121" s="309">
        <v>0</v>
      </c>
      <c r="AU121" s="309">
        <v>0</v>
      </c>
      <c r="AV121" s="309">
        <v>0</v>
      </c>
      <c r="AW121" s="309">
        <v>0</v>
      </c>
      <c r="AX121" s="309">
        <v>0</v>
      </c>
      <c r="AY121" s="309">
        <v>0</v>
      </c>
      <c r="AZ121" s="309">
        <v>0</v>
      </c>
      <c r="BA121" s="309">
        <v>0</v>
      </c>
      <c r="BB121" s="309">
        <v>0</v>
      </c>
      <c r="BC121" s="309">
        <v>0</v>
      </c>
      <c r="BD121" s="309">
        <v>0</v>
      </c>
      <c r="BE121" s="309">
        <v>0</v>
      </c>
      <c r="BF121" s="309">
        <v>0</v>
      </c>
      <c r="BG121" s="309">
        <v>0</v>
      </c>
      <c r="BH121" s="309">
        <v>0</v>
      </c>
      <c r="BI121" s="309">
        <v>0</v>
      </c>
      <c r="BJ121" s="309">
        <v>0</v>
      </c>
      <c r="BK121" s="309">
        <v>0</v>
      </c>
      <c r="BL121" s="309">
        <v>0</v>
      </c>
      <c r="BM121" s="309">
        <v>0</v>
      </c>
      <c r="BN121" s="309">
        <v>0</v>
      </c>
      <c r="BO121" s="309">
        <v>0</v>
      </c>
      <c r="BP121" s="309">
        <v>0</v>
      </c>
      <c r="BQ121" s="309">
        <v>0</v>
      </c>
      <c r="BR121" s="309">
        <v>0</v>
      </c>
      <c r="BU121" s="307" t="s">
        <v>686</v>
      </c>
      <c r="BV121" s="306">
        <v>0</v>
      </c>
      <c r="BW121" s="306">
        <v>0</v>
      </c>
      <c r="BX121" s="306">
        <v>0</v>
      </c>
      <c r="BY121" s="306">
        <v>0</v>
      </c>
      <c r="BZ121" s="306">
        <v>0</v>
      </c>
      <c r="CA121" s="306">
        <v>0</v>
      </c>
      <c r="CB121" s="306">
        <v>0</v>
      </c>
      <c r="CC121" s="306">
        <v>0</v>
      </c>
      <c r="CD121" s="306">
        <v>0</v>
      </c>
      <c r="CE121" s="306">
        <v>0</v>
      </c>
      <c r="CF121" s="306">
        <v>0</v>
      </c>
      <c r="CG121" s="306">
        <v>0</v>
      </c>
      <c r="CH121" s="306">
        <v>0</v>
      </c>
      <c r="CI121" s="306">
        <v>0</v>
      </c>
      <c r="CJ121" s="306">
        <v>0</v>
      </c>
      <c r="CK121" s="306">
        <v>0</v>
      </c>
      <c r="CL121" s="306">
        <v>0</v>
      </c>
      <c r="CM121" s="306">
        <v>0</v>
      </c>
      <c r="CN121" s="306">
        <v>0</v>
      </c>
      <c r="CO121" s="306">
        <v>0</v>
      </c>
      <c r="CP121" s="306">
        <v>0</v>
      </c>
      <c r="CQ121" s="306">
        <v>0</v>
      </c>
      <c r="CR121" s="306">
        <v>0</v>
      </c>
      <c r="CS121" s="306">
        <v>0</v>
      </c>
      <c r="CT121" s="306">
        <v>0</v>
      </c>
      <c r="CU121" s="306">
        <v>0</v>
      </c>
      <c r="CV121" s="306">
        <v>0</v>
      </c>
      <c r="CW121" s="306">
        <v>0</v>
      </c>
      <c r="CX121" s="306">
        <v>0</v>
      </c>
      <c r="CY121" s="306">
        <v>0</v>
      </c>
      <c r="CZ121" s="306">
        <v>0</v>
      </c>
      <c r="DA121" s="306">
        <v>0</v>
      </c>
      <c r="DB121" s="306">
        <v>0</v>
      </c>
      <c r="DC121" s="306">
        <v>0</v>
      </c>
      <c r="DD121" s="306">
        <v>0</v>
      </c>
      <c r="DE121" s="306">
        <v>0</v>
      </c>
      <c r="DF121" s="306">
        <v>0</v>
      </c>
      <c r="DG121" s="306">
        <v>0</v>
      </c>
      <c r="DH121" s="306">
        <v>0</v>
      </c>
      <c r="DI121" s="306">
        <v>0</v>
      </c>
    </row>
    <row r="122" spans="30:113" x14ac:dyDescent="0.2">
      <c r="AD122" s="307" t="s">
        <v>687</v>
      </c>
      <c r="AE122" s="309">
        <v>0</v>
      </c>
      <c r="AF122" s="309">
        <v>0</v>
      </c>
      <c r="AG122" s="309">
        <v>0</v>
      </c>
      <c r="AH122" s="309">
        <v>5048.7551388456604</v>
      </c>
      <c r="AI122" s="309">
        <v>0</v>
      </c>
      <c r="AJ122" s="309">
        <v>0</v>
      </c>
      <c r="AK122" s="309">
        <v>0</v>
      </c>
      <c r="AL122" s="309">
        <v>0</v>
      </c>
      <c r="AM122" s="309">
        <v>0</v>
      </c>
      <c r="AN122" s="309">
        <v>0</v>
      </c>
      <c r="AO122" s="309">
        <v>0</v>
      </c>
      <c r="AP122" s="309">
        <v>0</v>
      </c>
      <c r="AQ122" s="309">
        <v>0</v>
      </c>
      <c r="AR122" s="309">
        <v>0</v>
      </c>
      <c r="AS122" s="309">
        <v>0</v>
      </c>
      <c r="AT122" s="309">
        <v>0</v>
      </c>
      <c r="AU122" s="309">
        <v>0</v>
      </c>
      <c r="AV122" s="309">
        <v>0</v>
      </c>
      <c r="AW122" s="309">
        <v>0</v>
      </c>
      <c r="AX122" s="309">
        <v>0</v>
      </c>
      <c r="AY122" s="309">
        <v>0</v>
      </c>
      <c r="AZ122" s="309">
        <v>0</v>
      </c>
      <c r="BA122" s="309">
        <v>0</v>
      </c>
      <c r="BB122" s="309">
        <v>0</v>
      </c>
      <c r="BC122" s="309">
        <v>0</v>
      </c>
      <c r="BD122" s="309">
        <v>0</v>
      </c>
      <c r="BE122" s="309">
        <v>0</v>
      </c>
      <c r="BF122" s="309">
        <v>0</v>
      </c>
      <c r="BG122" s="309">
        <v>0</v>
      </c>
      <c r="BH122" s="309">
        <v>0</v>
      </c>
      <c r="BI122" s="309">
        <v>0</v>
      </c>
      <c r="BJ122" s="309">
        <v>0</v>
      </c>
      <c r="BK122" s="309">
        <v>0</v>
      </c>
      <c r="BL122" s="309">
        <v>0</v>
      </c>
      <c r="BM122" s="309">
        <v>0</v>
      </c>
      <c r="BN122" s="309">
        <v>0</v>
      </c>
      <c r="BO122" s="309">
        <v>0</v>
      </c>
      <c r="BP122" s="309">
        <v>0</v>
      </c>
      <c r="BQ122" s="309">
        <v>0</v>
      </c>
      <c r="BR122" s="309">
        <v>0</v>
      </c>
      <c r="BU122" s="307" t="s">
        <v>687</v>
      </c>
      <c r="BV122" s="306">
        <v>0</v>
      </c>
      <c r="BW122" s="306">
        <v>0</v>
      </c>
      <c r="BX122" s="306">
        <v>0</v>
      </c>
      <c r="BY122" s="306">
        <v>0</v>
      </c>
      <c r="BZ122" s="306">
        <v>0</v>
      </c>
      <c r="CA122" s="306">
        <v>0</v>
      </c>
      <c r="CB122" s="306">
        <v>0</v>
      </c>
      <c r="CC122" s="306">
        <v>0</v>
      </c>
      <c r="CD122" s="306">
        <v>0</v>
      </c>
      <c r="CE122" s="306">
        <v>0</v>
      </c>
      <c r="CF122" s="306">
        <v>0</v>
      </c>
      <c r="CG122" s="306">
        <v>0</v>
      </c>
      <c r="CH122" s="306">
        <v>0</v>
      </c>
      <c r="CI122" s="306">
        <v>0</v>
      </c>
      <c r="CJ122" s="306">
        <v>0</v>
      </c>
      <c r="CK122" s="306">
        <v>0</v>
      </c>
      <c r="CL122" s="306">
        <v>0</v>
      </c>
      <c r="CM122" s="306">
        <v>0</v>
      </c>
      <c r="CN122" s="306">
        <v>0</v>
      </c>
      <c r="CO122" s="306">
        <v>0</v>
      </c>
      <c r="CP122" s="306">
        <v>0</v>
      </c>
      <c r="CQ122" s="306">
        <v>0</v>
      </c>
      <c r="CR122" s="306">
        <v>0</v>
      </c>
      <c r="CS122" s="306">
        <v>0</v>
      </c>
      <c r="CT122" s="306">
        <v>0</v>
      </c>
      <c r="CU122" s="306">
        <v>0</v>
      </c>
      <c r="CV122" s="306">
        <v>0</v>
      </c>
      <c r="CW122" s="306">
        <v>0</v>
      </c>
      <c r="CX122" s="306">
        <v>0</v>
      </c>
      <c r="CY122" s="306">
        <v>0</v>
      </c>
      <c r="CZ122" s="306">
        <v>0</v>
      </c>
      <c r="DA122" s="306">
        <v>0</v>
      </c>
      <c r="DB122" s="306">
        <v>0</v>
      </c>
      <c r="DC122" s="306">
        <v>0</v>
      </c>
      <c r="DD122" s="306">
        <v>0</v>
      </c>
      <c r="DE122" s="306">
        <v>0</v>
      </c>
      <c r="DF122" s="306">
        <v>0</v>
      </c>
      <c r="DG122" s="306">
        <v>0</v>
      </c>
      <c r="DH122" s="306">
        <v>0</v>
      </c>
      <c r="DI122" s="306">
        <v>0</v>
      </c>
    </row>
    <row r="123" spans="30:113" x14ac:dyDescent="0.2">
      <c r="AD123" s="307" t="s">
        <v>688</v>
      </c>
      <c r="AE123" s="309">
        <v>0</v>
      </c>
      <c r="AF123" s="309">
        <v>0</v>
      </c>
      <c r="AG123" s="309">
        <v>0</v>
      </c>
      <c r="AH123" s="309">
        <v>0</v>
      </c>
      <c r="AI123" s="309">
        <v>0</v>
      </c>
      <c r="AJ123" s="309">
        <v>0</v>
      </c>
      <c r="AK123" s="309">
        <v>5023.7890204089899</v>
      </c>
      <c r="AL123" s="309">
        <v>0</v>
      </c>
      <c r="AM123" s="309">
        <v>0</v>
      </c>
      <c r="AN123" s="309">
        <v>0</v>
      </c>
      <c r="AO123" s="309">
        <v>0</v>
      </c>
      <c r="AP123" s="309">
        <v>0</v>
      </c>
      <c r="AQ123" s="309">
        <v>0</v>
      </c>
      <c r="AR123" s="309">
        <v>0</v>
      </c>
      <c r="AS123" s="309">
        <v>0</v>
      </c>
      <c r="AT123" s="309">
        <v>0</v>
      </c>
      <c r="AU123" s="309">
        <v>0</v>
      </c>
      <c r="AV123" s="309">
        <v>0</v>
      </c>
      <c r="AW123" s="309">
        <v>0</v>
      </c>
      <c r="AX123" s="309">
        <v>0</v>
      </c>
      <c r="AY123" s="309">
        <v>0</v>
      </c>
      <c r="AZ123" s="309">
        <v>0</v>
      </c>
      <c r="BA123" s="309">
        <v>0</v>
      </c>
      <c r="BB123" s="309">
        <v>0</v>
      </c>
      <c r="BC123" s="309">
        <v>0</v>
      </c>
      <c r="BD123" s="309">
        <v>0</v>
      </c>
      <c r="BE123" s="309">
        <v>0</v>
      </c>
      <c r="BF123" s="309">
        <v>0</v>
      </c>
      <c r="BG123" s="309">
        <v>0</v>
      </c>
      <c r="BH123" s="309">
        <v>0</v>
      </c>
      <c r="BI123" s="309">
        <v>0</v>
      </c>
      <c r="BJ123" s="309">
        <v>0</v>
      </c>
      <c r="BK123" s="309">
        <v>0</v>
      </c>
      <c r="BL123" s="309">
        <v>0</v>
      </c>
      <c r="BM123" s="309">
        <v>0</v>
      </c>
      <c r="BN123" s="309">
        <v>0</v>
      </c>
      <c r="BO123" s="309">
        <v>0</v>
      </c>
      <c r="BP123" s="309">
        <v>0</v>
      </c>
      <c r="BQ123" s="309">
        <v>0</v>
      </c>
      <c r="BR123" s="309">
        <v>0</v>
      </c>
      <c r="BU123" s="307" t="s">
        <v>688</v>
      </c>
      <c r="BV123" s="306">
        <v>0</v>
      </c>
      <c r="BW123" s="306">
        <v>0</v>
      </c>
      <c r="BX123" s="306">
        <v>0</v>
      </c>
      <c r="BY123" s="306">
        <v>0</v>
      </c>
      <c r="BZ123" s="306">
        <v>0</v>
      </c>
      <c r="CA123" s="306">
        <v>0</v>
      </c>
      <c r="CB123" s="306">
        <v>0</v>
      </c>
      <c r="CC123" s="306">
        <v>0</v>
      </c>
      <c r="CD123" s="306">
        <v>0</v>
      </c>
      <c r="CE123" s="306">
        <v>0</v>
      </c>
      <c r="CF123" s="306">
        <v>0</v>
      </c>
      <c r="CG123" s="306">
        <v>0</v>
      </c>
      <c r="CH123" s="306">
        <v>0</v>
      </c>
      <c r="CI123" s="306">
        <v>0</v>
      </c>
      <c r="CJ123" s="306">
        <v>0</v>
      </c>
      <c r="CK123" s="306">
        <v>0</v>
      </c>
      <c r="CL123" s="306">
        <v>0</v>
      </c>
      <c r="CM123" s="306">
        <v>0</v>
      </c>
      <c r="CN123" s="306">
        <v>0</v>
      </c>
      <c r="CO123" s="306">
        <v>0</v>
      </c>
      <c r="CP123" s="306">
        <v>0</v>
      </c>
      <c r="CQ123" s="306">
        <v>0</v>
      </c>
      <c r="CR123" s="306">
        <v>0</v>
      </c>
      <c r="CS123" s="306">
        <v>0</v>
      </c>
      <c r="CT123" s="306">
        <v>0</v>
      </c>
      <c r="CU123" s="306">
        <v>0</v>
      </c>
      <c r="CV123" s="306">
        <v>0</v>
      </c>
      <c r="CW123" s="306">
        <v>0</v>
      </c>
      <c r="CX123" s="306">
        <v>0</v>
      </c>
      <c r="CY123" s="306">
        <v>0</v>
      </c>
      <c r="CZ123" s="306">
        <v>0</v>
      </c>
      <c r="DA123" s="306">
        <v>0</v>
      </c>
      <c r="DB123" s="306">
        <v>0</v>
      </c>
      <c r="DC123" s="306">
        <v>0</v>
      </c>
      <c r="DD123" s="306">
        <v>0</v>
      </c>
      <c r="DE123" s="306">
        <v>0</v>
      </c>
      <c r="DF123" s="306">
        <v>0</v>
      </c>
      <c r="DG123" s="306">
        <v>0</v>
      </c>
      <c r="DH123" s="306">
        <v>0</v>
      </c>
      <c r="DI123" s="306">
        <v>0</v>
      </c>
    </row>
    <row r="124" spans="30:113" x14ac:dyDescent="0.2">
      <c r="AD124" s="307" t="s">
        <v>689</v>
      </c>
      <c r="AE124" s="309">
        <v>0</v>
      </c>
      <c r="AF124" s="309">
        <v>0</v>
      </c>
      <c r="AG124" s="309">
        <v>0</v>
      </c>
      <c r="AH124" s="309">
        <v>0</v>
      </c>
      <c r="AI124" s="309">
        <v>0</v>
      </c>
      <c r="AJ124" s="309">
        <v>0</v>
      </c>
      <c r="AK124" s="309">
        <v>0</v>
      </c>
      <c r="AL124" s="309">
        <v>0</v>
      </c>
      <c r="AM124" s="309">
        <v>0</v>
      </c>
      <c r="AN124" s="309">
        <v>0</v>
      </c>
      <c r="AO124" s="309">
        <v>0</v>
      </c>
      <c r="AP124" s="309">
        <v>0</v>
      </c>
      <c r="AQ124" s="309">
        <v>4306.0802326205903</v>
      </c>
      <c r="AR124" s="309">
        <v>0</v>
      </c>
      <c r="AS124" s="309">
        <v>0</v>
      </c>
      <c r="AT124" s="309">
        <v>0</v>
      </c>
      <c r="AU124" s="309">
        <v>0</v>
      </c>
      <c r="AV124" s="309">
        <v>0</v>
      </c>
      <c r="AW124" s="309">
        <v>0</v>
      </c>
      <c r="AX124" s="309">
        <v>0</v>
      </c>
      <c r="AY124" s="309">
        <v>0</v>
      </c>
      <c r="AZ124" s="309">
        <v>0</v>
      </c>
      <c r="BA124" s="309">
        <v>0</v>
      </c>
      <c r="BB124" s="309">
        <v>0</v>
      </c>
      <c r="BC124" s="309">
        <v>0</v>
      </c>
      <c r="BD124" s="309">
        <v>0</v>
      </c>
      <c r="BE124" s="309">
        <v>0</v>
      </c>
      <c r="BF124" s="309">
        <v>0</v>
      </c>
      <c r="BG124" s="309">
        <v>0</v>
      </c>
      <c r="BH124" s="309">
        <v>0</v>
      </c>
      <c r="BI124" s="309">
        <v>0</v>
      </c>
      <c r="BJ124" s="309">
        <v>0</v>
      </c>
      <c r="BK124" s="309">
        <v>0</v>
      </c>
      <c r="BL124" s="309">
        <v>0</v>
      </c>
      <c r="BM124" s="309">
        <v>0</v>
      </c>
      <c r="BN124" s="309">
        <v>0</v>
      </c>
      <c r="BO124" s="309">
        <v>0</v>
      </c>
      <c r="BP124" s="309">
        <v>0</v>
      </c>
      <c r="BQ124" s="309">
        <v>0</v>
      </c>
      <c r="BR124" s="309">
        <v>0</v>
      </c>
      <c r="BU124" s="307" t="s">
        <v>689</v>
      </c>
      <c r="BV124" s="306">
        <v>0</v>
      </c>
      <c r="BW124" s="306">
        <v>0</v>
      </c>
      <c r="BX124" s="306">
        <v>0</v>
      </c>
      <c r="BY124" s="306">
        <v>0</v>
      </c>
      <c r="BZ124" s="306">
        <v>0</v>
      </c>
      <c r="CA124" s="306">
        <v>0</v>
      </c>
      <c r="CB124" s="306">
        <v>0</v>
      </c>
      <c r="CC124" s="306">
        <v>0</v>
      </c>
      <c r="CD124" s="306">
        <v>0</v>
      </c>
      <c r="CE124" s="306">
        <v>0</v>
      </c>
      <c r="CF124" s="306">
        <v>0</v>
      </c>
      <c r="CG124" s="306">
        <v>0</v>
      </c>
      <c r="CH124" s="306">
        <v>0</v>
      </c>
      <c r="CI124" s="306">
        <v>0</v>
      </c>
      <c r="CJ124" s="306">
        <v>0</v>
      </c>
      <c r="CK124" s="306">
        <v>0</v>
      </c>
      <c r="CL124" s="306">
        <v>0</v>
      </c>
      <c r="CM124" s="306">
        <v>0</v>
      </c>
      <c r="CN124" s="306">
        <v>0</v>
      </c>
      <c r="CO124" s="306">
        <v>0</v>
      </c>
      <c r="CP124" s="306">
        <v>0</v>
      </c>
      <c r="CQ124" s="306">
        <v>0</v>
      </c>
      <c r="CR124" s="306">
        <v>0</v>
      </c>
      <c r="CS124" s="306">
        <v>0</v>
      </c>
      <c r="CT124" s="306">
        <v>0</v>
      </c>
      <c r="CU124" s="306">
        <v>0</v>
      </c>
      <c r="CV124" s="306">
        <v>0</v>
      </c>
      <c r="CW124" s="306">
        <v>0</v>
      </c>
      <c r="CX124" s="306">
        <v>0</v>
      </c>
      <c r="CY124" s="306">
        <v>0</v>
      </c>
      <c r="CZ124" s="306">
        <v>0</v>
      </c>
      <c r="DA124" s="306">
        <v>0</v>
      </c>
      <c r="DB124" s="306">
        <v>0</v>
      </c>
      <c r="DC124" s="306">
        <v>0</v>
      </c>
      <c r="DD124" s="306">
        <v>0</v>
      </c>
      <c r="DE124" s="306">
        <v>0</v>
      </c>
      <c r="DF124" s="306">
        <v>0</v>
      </c>
      <c r="DG124" s="306">
        <v>0</v>
      </c>
      <c r="DH124" s="306">
        <v>0</v>
      </c>
      <c r="DI124" s="306">
        <v>0</v>
      </c>
    </row>
    <row r="125" spans="30:113" x14ac:dyDescent="0.2">
      <c r="AD125" s="307" t="s">
        <v>690</v>
      </c>
      <c r="AE125" s="309">
        <v>0</v>
      </c>
      <c r="AF125" s="309">
        <v>0</v>
      </c>
      <c r="AG125" s="309">
        <v>0</v>
      </c>
      <c r="AH125" s="309">
        <v>82.091627997489695</v>
      </c>
      <c r="AI125" s="309">
        <v>0</v>
      </c>
      <c r="AJ125" s="309">
        <v>0</v>
      </c>
      <c r="AK125" s="309">
        <v>0</v>
      </c>
      <c r="AL125" s="309">
        <v>0</v>
      </c>
      <c r="AM125" s="309">
        <v>0</v>
      </c>
      <c r="AN125" s="309">
        <v>0</v>
      </c>
      <c r="AO125" s="309">
        <v>0</v>
      </c>
      <c r="AP125" s="309">
        <v>0</v>
      </c>
      <c r="AQ125" s="309">
        <v>0</v>
      </c>
      <c r="AR125" s="309">
        <v>0</v>
      </c>
      <c r="AS125" s="309">
        <v>0</v>
      </c>
      <c r="AT125" s="309">
        <v>0</v>
      </c>
      <c r="AU125" s="309">
        <v>0</v>
      </c>
      <c r="AV125" s="309">
        <v>0</v>
      </c>
      <c r="AW125" s="309">
        <v>0</v>
      </c>
      <c r="AX125" s="309">
        <v>0</v>
      </c>
      <c r="AY125" s="309">
        <v>0</v>
      </c>
      <c r="AZ125" s="309">
        <v>0</v>
      </c>
      <c r="BA125" s="309">
        <v>0</v>
      </c>
      <c r="BB125" s="309">
        <v>0</v>
      </c>
      <c r="BC125" s="309">
        <v>0</v>
      </c>
      <c r="BD125" s="309">
        <v>0</v>
      </c>
      <c r="BE125" s="309">
        <v>0</v>
      </c>
      <c r="BF125" s="309">
        <v>0</v>
      </c>
      <c r="BG125" s="309">
        <v>0</v>
      </c>
      <c r="BH125" s="309">
        <v>0</v>
      </c>
      <c r="BI125" s="309">
        <v>0</v>
      </c>
      <c r="BJ125" s="309">
        <v>0</v>
      </c>
      <c r="BK125" s="309">
        <v>0</v>
      </c>
      <c r="BL125" s="309">
        <v>0</v>
      </c>
      <c r="BM125" s="309">
        <v>0</v>
      </c>
      <c r="BN125" s="309">
        <v>0</v>
      </c>
      <c r="BO125" s="309">
        <v>0</v>
      </c>
      <c r="BP125" s="309">
        <v>0</v>
      </c>
      <c r="BQ125" s="309">
        <v>0</v>
      </c>
      <c r="BR125" s="309">
        <v>0</v>
      </c>
      <c r="BU125" s="307" t="s">
        <v>690</v>
      </c>
      <c r="BV125" s="306">
        <v>0</v>
      </c>
      <c r="BW125" s="306">
        <v>0</v>
      </c>
      <c r="BX125" s="306">
        <v>0</v>
      </c>
      <c r="BY125" s="306">
        <v>0</v>
      </c>
      <c r="BZ125" s="306">
        <v>0</v>
      </c>
      <c r="CA125" s="306">
        <v>0</v>
      </c>
      <c r="CB125" s="306">
        <v>0</v>
      </c>
      <c r="CC125" s="306">
        <v>0</v>
      </c>
      <c r="CD125" s="306">
        <v>0</v>
      </c>
      <c r="CE125" s="306">
        <v>0</v>
      </c>
      <c r="CF125" s="306">
        <v>0</v>
      </c>
      <c r="CG125" s="306">
        <v>0</v>
      </c>
      <c r="CH125" s="306">
        <v>0</v>
      </c>
      <c r="CI125" s="306">
        <v>0</v>
      </c>
      <c r="CJ125" s="306">
        <v>0</v>
      </c>
      <c r="CK125" s="306">
        <v>0</v>
      </c>
      <c r="CL125" s="306">
        <v>0</v>
      </c>
      <c r="CM125" s="306">
        <v>0</v>
      </c>
      <c r="CN125" s="306">
        <v>0</v>
      </c>
      <c r="CO125" s="306">
        <v>0</v>
      </c>
      <c r="CP125" s="306">
        <v>0</v>
      </c>
      <c r="CQ125" s="306">
        <v>0</v>
      </c>
      <c r="CR125" s="306">
        <v>0</v>
      </c>
      <c r="CS125" s="306">
        <v>0</v>
      </c>
      <c r="CT125" s="306">
        <v>0</v>
      </c>
      <c r="CU125" s="306">
        <v>0</v>
      </c>
      <c r="CV125" s="306">
        <v>0</v>
      </c>
      <c r="CW125" s="306">
        <v>0</v>
      </c>
      <c r="CX125" s="306">
        <v>0</v>
      </c>
      <c r="CY125" s="306">
        <v>0</v>
      </c>
      <c r="CZ125" s="306">
        <v>0</v>
      </c>
      <c r="DA125" s="306">
        <v>0</v>
      </c>
      <c r="DB125" s="306">
        <v>0</v>
      </c>
      <c r="DC125" s="306">
        <v>0</v>
      </c>
      <c r="DD125" s="306">
        <v>0</v>
      </c>
      <c r="DE125" s="306">
        <v>0</v>
      </c>
      <c r="DF125" s="306">
        <v>0</v>
      </c>
      <c r="DG125" s="306">
        <v>0</v>
      </c>
      <c r="DH125" s="306">
        <v>0</v>
      </c>
      <c r="DI125" s="306">
        <v>0</v>
      </c>
    </row>
    <row r="126" spans="30:113" x14ac:dyDescent="0.2">
      <c r="AD126" s="307" t="s">
        <v>691</v>
      </c>
      <c r="AE126" s="309">
        <v>0</v>
      </c>
      <c r="AF126" s="309">
        <v>0</v>
      </c>
      <c r="AG126" s="309">
        <v>0</v>
      </c>
      <c r="AH126" s="309">
        <v>0</v>
      </c>
      <c r="AI126" s="309">
        <v>0</v>
      </c>
      <c r="AJ126" s="309">
        <v>0</v>
      </c>
      <c r="AK126" s="309">
        <v>0</v>
      </c>
      <c r="AL126" s="309">
        <v>82.091627997489695</v>
      </c>
      <c r="AM126" s="309">
        <v>0</v>
      </c>
      <c r="AN126" s="309">
        <v>0</v>
      </c>
      <c r="AO126" s="309">
        <v>0</v>
      </c>
      <c r="AP126" s="309">
        <v>0</v>
      </c>
      <c r="AQ126" s="309">
        <v>0</v>
      </c>
      <c r="AR126" s="309">
        <v>0</v>
      </c>
      <c r="AS126" s="309">
        <v>0</v>
      </c>
      <c r="AT126" s="309">
        <v>0</v>
      </c>
      <c r="AU126" s="309">
        <v>0</v>
      </c>
      <c r="AV126" s="309">
        <v>0</v>
      </c>
      <c r="AW126" s="309">
        <v>0</v>
      </c>
      <c r="AX126" s="309">
        <v>0</v>
      </c>
      <c r="AY126" s="309">
        <v>0</v>
      </c>
      <c r="AZ126" s="309">
        <v>0</v>
      </c>
      <c r="BA126" s="309">
        <v>0</v>
      </c>
      <c r="BB126" s="309">
        <v>0</v>
      </c>
      <c r="BC126" s="309">
        <v>0</v>
      </c>
      <c r="BD126" s="309">
        <v>0</v>
      </c>
      <c r="BE126" s="309">
        <v>0</v>
      </c>
      <c r="BF126" s="309">
        <v>0</v>
      </c>
      <c r="BG126" s="309">
        <v>0</v>
      </c>
      <c r="BH126" s="309">
        <v>0</v>
      </c>
      <c r="BI126" s="309">
        <v>0</v>
      </c>
      <c r="BJ126" s="309">
        <v>0</v>
      </c>
      <c r="BK126" s="309">
        <v>0</v>
      </c>
      <c r="BL126" s="309">
        <v>0</v>
      </c>
      <c r="BM126" s="309">
        <v>0</v>
      </c>
      <c r="BN126" s="309">
        <v>0</v>
      </c>
      <c r="BO126" s="309">
        <v>0</v>
      </c>
      <c r="BP126" s="309">
        <v>0</v>
      </c>
      <c r="BQ126" s="309">
        <v>0</v>
      </c>
      <c r="BR126" s="309">
        <v>0</v>
      </c>
      <c r="BU126" s="307" t="s">
        <v>691</v>
      </c>
      <c r="BV126" s="306">
        <v>0</v>
      </c>
      <c r="BW126" s="306">
        <v>0</v>
      </c>
      <c r="BX126" s="306">
        <v>0</v>
      </c>
      <c r="BY126" s="306">
        <v>0</v>
      </c>
      <c r="BZ126" s="306">
        <v>0</v>
      </c>
      <c r="CA126" s="306">
        <v>0</v>
      </c>
      <c r="CB126" s="306">
        <v>0</v>
      </c>
      <c r="CC126" s="306">
        <v>0</v>
      </c>
      <c r="CD126" s="306">
        <v>0</v>
      </c>
      <c r="CE126" s="306">
        <v>0</v>
      </c>
      <c r="CF126" s="306">
        <v>0</v>
      </c>
      <c r="CG126" s="306">
        <v>0</v>
      </c>
      <c r="CH126" s="306">
        <v>0</v>
      </c>
      <c r="CI126" s="306">
        <v>0</v>
      </c>
      <c r="CJ126" s="306">
        <v>0</v>
      </c>
      <c r="CK126" s="306">
        <v>0</v>
      </c>
      <c r="CL126" s="306">
        <v>0</v>
      </c>
      <c r="CM126" s="306">
        <v>0</v>
      </c>
      <c r="CN126" s="306">
        <v>0</v>
      </c>
      <c r="CO126" s="306">
        <v>0</v>
      </c>
      <c r="CP126" s="306">
        <v>0</v>
      </c>
      <c r="CQ126" s="306">
        <v>0</v>
      </c>
      <c r="CR126" s="306">
        <v>0</v>
      </c>
      <c r="CS126" s="306">
        <v>0</v>
      </c>
      <c r="CT126" s="306">
        <v>0</v>
      </c>
      <c r="CU126" s="306">
        <v>0</v>
      </c>
      <c r="CV126" s="306">
        <v>0</v>
      </c>
      <c r="CW126" s="306">
        <v>0</v>
      </c>
      <c r="CX126" s="306">
        <v>0</v>
      </c>
      <c r="CY126" s="306">
        <v>0</v>
      </c>
      <c r="CZ126" s="306">
        <v>0</v>
      </c>
      <c r="DA126" s="306">
        <v>0</v>
      </c>
      <c r="DB126" s="306">
        <v>0</v>
      </c>
      <c r="DC126" s="306">
        <v>0</v>
      </c>
      <c r="DD126" s="306">
        <v>0</v>
      </c>
      <c r="DE126" s="306">
        <v>0</v>
      </c>
      <c r="DF126" s="306">
        <v>0</v>
      </c>
      <c r="DG126" s="306">
        <v>0</v>
      </c>
      <c r="DH126" s="306">
        <v>0</v>
      </c>
      <c r="DI126" s="306">
        <v>0</v>
      </c>
    </row>
    <row r="127" spans="30:113" x14ac:dyDescent="0.2">
      <c r="AD127" s="307" t="s">
        <v>654</v>
      </c>
      <c r="AE127" s="309">
        <v>0</v>
      </c>
      <c r="AF127" s="309">
        <v>0</v>
      </c>
      <c r="AG127" s="309">
        <v>0</v>
      </c>
      <c r="AH127" s="309">
        <v>0</v>
      </c>
      <c r="AI127" s="309">
        <v>0</v>
      </c>
      <c r="AJ127" s="309">
        <v>0</v>
      </c>
      <c r="AK127" s="309">
        <v>0</v>
      </c>
      <c r="AL127" s="309">
        <v>0</v>
      </c>
      <c r="AM127" s="309">
        <v>0</v>
      </c>
      <c r="AN127" s="309">
        <v>0</v>
      </c>
      <c r="AO127" s="309">
        <v>0</v>
      </c>
      <c r="AP127" s="309">
        <v>0</v>
      </c>
      <c r="AQ127" s="309">
        <v>0</v>
      </c>
      <c r="AR127" s="309">
        <v>0</v>
      </c>
      <c r="AS127" s="309">
        <v>0</v>
      </c>
      <c r="AT127" s="309">
        <v>0</v>
      </c>
      <c r="AU127" s="309">
        <v>0</v>
      </c>
      <c r="AV127" s="309">
        <v>0</v>
      </c>
      <c r="AW127" s="309">
        <v>0</v>
      </c>
      <c r="AX127" s="309">
        <v>0</v>
      </c>
      <c r="AY127" s="309">
        <v>0</v>
      </c>
      <c r="AZ127" s="309">
        <v>0</v>
      </c>
      <c r="BA127" s="309">
        <v>0</v>
      </c>
      <c r="BB127" s="309">
        <v>0</v>
      </c>
      <c r="BC127" s="309">
        <v>0</v>
      </c>
      <c r="BD127" s="309">
        <v>0</v>
      </c>
      <c r="BE127" s="309">
        <v>0</v>
      </c>
      <c r="BF127" s="309">
        <v>0</v>
      </c>
      <c r="BG127" s="309">
        <v>0</v>
      </c>
      <c r="BH127" s="309">
        <v>0</v>
      </c>
      <c r="BI127" s="309">
        <v>0</v>
      </c>
      <c r="BJ127" s="309">
        <v>0</v>
      </c>
      <c r="BK127" s="309">
        <v>0</v>
      </c>
      <c r="BL127" s="309">
        <v>0</v>
      </c>
      <c r="BM127" s="309">
        <v>0</v>
      </c>
      <c r="BN127" s="309">
        <v>0</v>
      </c>
      <c r="BO127" s="309">
        <v>0</v>
      </c>
      <c r="BP127" s="309">
        <v>0</v>
      </c>
      <c r="BQ127" s="309">
        <v>0</v>
      </c>
      <c r="BR127" s="309">
        <v>0</v>
      </c>
      <c r="BU127" s="307" t="s">
        <v>654</v>
      </c>
      <c r="BV127" s="306">
        <v>0</v>
      </c>
      <c r="BW127" s="306">
        <v>0</v>
      </c>
      <c r="BX127" s="306">
        <v>0</v>
      </c>
      <c r="BY127" s="306">
        <v>0</v>
      </c>
      <c r="BZ127" s="306">
        <v>0</v>
      </c>
      <c r="CA127" s="306">
        <v>0</v>
      </c>
      <c r="CB127" s="306">
        <v>0</v>
      </c>
      <c r="CC127" s="306">
        <v>0</v>
      </c>
      <c r="CD127" s="306">
        <v>0</v>
      </c>
      <c r="CE127" s="306">
        <v>0</v>
      </c>
      <c r="CF127" s="306">
        <v>0</v>
      </c>
      <c r="CG127" s="306">
        <v>0</v>
      </c>
      <c r="CH127" s="306">
        <v>0</v>
      </c>
      <c r="CI127" s="306">
        <v>0</v>
      </c>
      <c r="CJ127" s="306">
        <v>0</v>
      </c>
      <c r="CK127" s="306">
        <v>0</v>
      </c>
      <c r="CL127" s="306">
        <v>0</v>
      </c>
      <c r="CM127" s="306">
        <v>0</v>
      </c>
      <c r="CN127" s="306">
        <v>0</v>
      </c>
      <c r="CO127" s="306">
        <v>0</v>
      </c>
      <c r="CP127" s="306">
        <v>0</v>
      </c>
      <c r="CQ127" s="306">
        <v>0</v>
      </c>
      <c r="CR127" s="306">
        <v>0</v>
      </c>
      <c r="CS127" s="306">
        <v>0</v>
      </c>
      <c r="CT127" s="306">
        <v>0</v>
      </c>
      <c r="CU127" s="306">
        <v>0</v>
      </c>
      <c r="CV127" s="306">
        <v>0</v>
      </c>
      <c r="CW127" s="306">
        <v>0</v>
      </c>
      <c r="CX127" s="306">
        <v>0</v>
      </c>
      <c r="CY127" s="306">
        <v>0</v>
      </c>
      <c r="CZ127" s="306">
        <v>0</v>
      </c>
      <c r="DA127" s="306">
        <v>0</v>
      </c>
      <c r="DB127" s="306">
        <v>0</v>
      </c>
      <c r="DC127" s="306">
        <v>0</v>
      </c>
      <c r="DD127" s="306">
        <v>0</v>
      </c>
      <c r="DE127" s="306">
        <v>0</v>
      </c>
      <c r="DF127" s="306">
        <v>0</v>
      </c>
      <c r="DG127" s="306">
        <v>0</v>
      </c>
      <c r="DH127" s="306">
        <v>0</v>
      </c>
      <c r="DI127" s="306">
        <v>0</v>
      </c>
    </row>
    <row r="128" spans="30:113" x14ac:dyDescent="0.2">
      <c r="AD128" s="307" t="s">
        <v>692</v>
      </c>
      <c r="AE128" s="309">
        <v>0</v>
      </c>
      <c r="AF128" s="309">
        <v>0</v>
      </c>
      <c r="AG128" s="309">
        <v>0</v>
      </c>
      <c r="AH128" s="309">
        <v>43.206119998678503</v>
      </c>
      <c r="AI128" s="309">
        <v>0</v>
      </c>
      <c r="AJ128" s="309">
        <v>0</v>
      </c>
      <c r="AK128" s="309">
        <v>0</v>
      </c>
      <c r="AL128" s="309">
        <v>0</v>
      </c>
      <c r="AM128" s="309">
        <v>0</v>
      </c>
      <c r="AN128" s="309">
        <v>0</v>
      </c>
      <c r="AO128" s="309">
        <v>0</v>
      </c>
      <c r="AP128" s="309">
        <v>0</v>
      </c>
      <c r="AQ128" s="309">
        <v>0</v>
      </c>
      <c r="AR128" s="309">
        <v>0</v>
      </c>
      <c r="AS128" s="309">
        <v>0</v>
      </c>
      <c r="AT128" s="309">
        <v>0</v>
      </c>
      <c r="AU128" s="309">
        <v>0</v>
      </c>
      <c r="AV128" s="309">
        <v>0</v>
      </c>
      <c r="AW128" s="309">
        <v>0</v>
      </c>
      <c r="AX128" s="309">
        <v>0</v>
      </c>
      <c r="AY128" s="309">
        <v>0</v>
      </c>
      <c r="AZ128" s="309">
        <v>0</v>
      </c>
      <c r="BA128" s="309">
        <v>0</v>
      </c>
      <c r="BB128" s="309">
        <v>0</v>
      </c>
      <c r="BC128" s="309">
        <v>0</v>
      </c>
      <c r="BD128" s="309">
        <v>0</v>
      </c>
      <c r="BE128" s="309">
        <v>0</v>
      </c>
      <c r="BF128" s="309">
        <v>0</v>
      </c>
      <c r="BG128" s="309">
        <v>0</v>
      </c>
      <c r="BH128" s="309">
        <v>0</v>
      </c>
      <c r="BI128" s="309">
        <v>0</v>
      </c>
      <c r="BJ128" s="309">
        <v>0</v>
      </c>
      <c r="BK128" s="309">
        <v>0</v>
      </c>
      <c r="BL128" s="309">
        <v>0</v>
      </c>
      <c r="BM128" s="309">
        <v>0</v>
      </c>
      <c r="BN128" s="309">
        <v>0</v>
      </c>
      <c r="BO128" s="309">
        <v>0</v>
      </c>
      <c r="BP128" s="309">
        <v>0</v>
      </c>
      <c r="BQ128" s="309">
        <v>0</v>
      </c>
      <c r="BR128" s="309">
        <v>0</v>
      </c>
      <c r="BU128" s="307" t="s">
        <v>692</v>
      </c>
      <c r="BV128" s="306">
        <v>0</v>
      </c>
      <c r="BW128" s="306">
        <v>0</v>
      </c>
      <c r="BX128" s="306">
        <v>0</v>
      </c>
      <c r="BY128" s="306">
        <v>0</v>
      </c>
      <c r="BZ128" s="306">
        <v>0</v>
      </c>
      <c r="CA128" s="306">
        <v>0</v>
      </c>
      <c r="CB128" s="306">
        <v>0</v>
      </c>
      <c r="CC128" s="306">
        <v>0</v>
      </c>
      <c r="CD128" s="306">
        <v>0</v>
      </c>
      <c r="CE128" s="306">
        <v>0</v>
      </c>
      <c r="CF128" s="306">
        <v>0</v>
      </c>
      <c r="CG128" s="306">
        <v>0</v>
      </c>
      <c r="CH128" s="306">
        <v>0</v>
      </c>
      <c r="CI128" s="306">
        <v>0</v>
      </c>
      <c r="CJ128" s="306">
        <v>0</v>
      </c>
      <c r="CK128" s="306">
        <v>0</v>
      </c>
      <c r="CL128" s="306">
        <v>0</v>
      </c>
      <c r="CM128" s="306">
        <v>0</v>
      </c>
      <c r="CN128" s="306">
        <v>0</v>
      </c>
      <c r="CO128" s="306">
        <v>0</v>
      </c>
      <c r="CP128" s="306">
        <v>0</v>
      </c>
      <c r="CQ128" s="306">
        <v>0</v>
      </c>
      <c r="CR128" s="306">
        <v>0</v>
      </c>
      <c r="CS128" s="306">
        <v>0</v>
      </c>
      <c r="CT128" s="306">
        <v>0</v>
      </c>
      <c r="CU128" s="306">
        <v>0</v>
      </c>
      <c r="CV128" s="306">
        <v>0</v>
      </c>
      <c r="CW128" s="306">
        <v>0</v>
      </c>
      <c r="CX128" s="306">
        <v>0</v>
      </c>
      <c r="CY128" s="306">
        <v>0</v>
      </c>
      <c r="CZ128" s="306">
        <v>0</v>
      </c>
      <c r="DA128" s="306">
        <v>0</v>
      </c>
      <c r="DB128" s="306">
        <v>0</v>
      </c>
      <c r="DC128" s="306">
        <v>0</v>
      </c>
      <c r="DD128" s="306">
        <v>0</v>
      </c>
      <c r="DE128" s="306">
        <v>0</v>
      </c>
      <c r="DF128" s="306">
        <v>0</v>
      </c>
      <c r="DG128" s="306">
        <v>0</v>
      </c>
      <c r="DH128" s="306">
        <v>0</v>
      </c>
      <c r="DI128" s="306">
        <v>0</v>
      </c>
    </row>
    <row r="129" spans="1:113" x14ac:dyDescent="0.2">
      <c r="AD129" s="307" t="s">
        <v>693</v>
      </c>
      <c r="AE129" s="309">
        <v>0</v>
      </c>
      <c r="AF129" s="309">
        <v>0</v>
      </c>
      <c r="AG129" s="309">
        <v>0</v>
      </c>
      <c r="AH129" s="309">
        <v>0</v>
      </c>
      <c r="AI129" s="309">
        <v>0</v>
      </c>
      <c r="AJ129" s="309">
        <v>0</v>
      </c>
      <c r="AK129" s="309">
        <v>0</v>
      </c>
      <c r="AL129" s="309">
        <v>0</v>
      </c>
      <c r="AM129" s="309">
        <v>43.206119998678503</v>
      </c>
      <c r="AN129" s="309">
        <v>0</v>
      </c>
      <c r="AO129" s="309">
        <v>0</v>
      </c>
      <c r="AP129" s="309">
        <v>0</v>
      </c>
      <c r="AQ129" s="309">
        <v>0</v>
      </c>
      <c r="AR129" s="309">
        <v>0</v>
      </c>
      <c r="AS129" s="309">
        <v>0</v>
      </c>
      <c r="AT129" s="309">
        <v>0</v>
      </c>
      <c r="AU129" s="309">
        <v>0</v>
      </c>
      <c r="AV129" s="309">
        <v>0</v>
      </c>
      <c r="AW129" s="309">
        <v>0</v>
      </c>
      <c r="AX129" s="309">
        <v>0</v>
      </c>
      <c r="AY129" s="309">
        <v>0</v>
      </c>
      <c r="AZ129" s="309">
        <v>0</v>
      </c>
      <c r="BA129" s="309">
        <v>0</v>
      </c>
      <c r="BB129" s="309">
        <v>0</v>
      </c>
      <c r="BC129" s="309">
        <v>0</v>
      </c>
      <c r="BD129" s="309">
        <v>0</v>
      </c>
      <c r="BE129" s="309">
        <v>0</v>
      </c>
      <c r="BF129" s="309">
        <v>0</v>
      </c>
      <c r="BG129" s="309">
        <v>0</v>
      </c>
      <c r="BH129" s="309">
        <v>0</v>
      </c>
      <c r="BI129" s="309">
        <v>0</v>
      </c>
      <c r="BJ129" s="309">
        <v>0</v>
      </c>
      <c r="BK129" s="309">
        <v>0</v>
      </c>
      <c r="BL129" s="309">
        <v>0</v>
      </c>
      <c r="BM129" s="309">
        <v>0</v>
      </c>
      <c r="BN129" s="309">
        <v>0</v>
      </c>
      <c r="BO129" s="309">
        <v>0</v>
      </c>
      <c r="BP129" s="309">
        <v>0</v>
      </c>
      <c r="BQ129" s="309">
        <v>0</v>
      </c>
      <c r="BR129" s="309">
        <v>0</v>
      </c>
      <c r="BU129" s="307" t="s">
        <v>693</v>
      </c>
      <c r="BV129" s="306">
        <v>0</v>
      </c>
      <c r="BW129" s="306">
        <v>0</v>
      </c>
      <c r="BX129" s="306">
        <v>0</v>
      </c>
      <c r="BY129" s="306">
        <v>0</v>
      </c>
      <c r="BZ129" s="306">
        <v>0</v>
      </c>
      <c r="CA129" s="306">
        <v>0</v>
      </c>
      <c r="CB129" s="306">
        <v>0</v>
      </c>
      <c r="CC129" s="306">
        <v>0</v>
      </c>
      <c r="CD129" s="306">
        <v>0</v>
      </c>
      <c r="CE129" s="306">
        <v>0</v>
      </c>
      <c r="CF129" s="306">
        <v>0</v>
      </c>
      <c r="CG129" s="306">
        <v>0</v>
      </c>
      <c r="CH129" s="306">
        <v>0</v>
      </c>
      <c r="CI129" s="306">
        <v>0</v>
      </c>
      <c r="CJ129" s="306">
        <v>0</v>
      </c>
      <c r="CK129" s="306">
        <v>0</v>
      </c>
      <c r="CL129" s="306">
        <v>0</v>
      </c>
      <c r="CM129" s="306">
        <v>0</v>
      </c>
      <c r="CN129" s="306">
        <v>0</v>
      </c>
      <c r="CO129" s="306">
        <v>0</v>
      </c>
      <c r="CP129" s="306">
        <v>0</v>
      </c>
      <c r="CQ129" s="306">
        <v>0</v>
      </c>
      <c r="CR129" s="306">
        <v>0</v>
      </c>
      <c r="CS129" s="306">
        <v>0</v>
      </c>
      <c r="CT129" s="306">
        <v>0</v>
      </c>
      <c r="CU129" s="306">
        <v>0</v>
      </c>
      <c r="CV129" s="306">
        <v>0</v>
      </c>
      <c r="CW129" s="306">
        <v>0</v>
      </c>
      <c r="CX129" s="306">
        <v>0</v>
      </c>
      <c r="CY129" s="306">
        <v>0</v>
      </c>
      <c r="CZ129" s="306">
        <v>0</v>
      </c>
      <c r="DA129" s="306">
        <v>0</v>
      </c>
      <c r="DB129" s="306">
        <v>0</v>
      </c>
      <c r="DC129" s="306">
        <v>0</v>
      </c>
      <c r="DD129" s="306">
        <v>0</v>
      </c>
      <c r="DE129" s="306">
        <v>0</v>
      </c>
      <c r="DF129" s="306">
        <v>0</v>
      </c>
      <c r="DG129" s="306">
        <v>0</v>
      </c>
      <c r="DH129" s="306">
        <v>0</v>
      </c>
      <c r="DI129" s="306">
        <v>0</v>
      </c>
    </row>
    <row r="130" spans="1:113" x14ac:dyDescent="0.2">
      <c r="AE130" s="432" t="s">
        <v>328</v>
      </c>
      <c r="AF130" s="433"/>
      <c r="AG130" s="433"/>
      <c r="AH130" s="433"/>
      <c r="AI130" s="433"/>
      <c r="AJ130" s="433"/>
      <c r="AK130" s="433"/>
      <c r="AL130" s="433"/>
      <c r="AM130" s="433"/>
      <c r="AN130" s="433"/>
      <c r="AO130" s="433"/>
      <c r="AP130" s="433"/>
      <c r="AQ130" s="433"/>
      <c r="AR130" s="433"/>
      <c r="AS130" s="433"/>
      <c r="AT130" s="433"/>
      <c r="AU130" s="433"/>
      <c r="AV130" s="433"/>
      <c r="AW130" s="433"/>
      <c r="AX130" s="433"/>
      <c r="AY130" s="433"/>
      <c r="AZ130" s="433"/>
      <c r="BA130" s="433"/>
      <c r="BB130" s="433"/>
      <c r="BC130" s="433"/>
      <c r="BD130" s="433"/>
      <c r="BE130" s="433"/>
      <c r="BF130" s="433"/>
      <c r="BG130" s="433"/>
      <c r="BH130" s="433"/>
      <c r="BI130" s="433"/>
      <c r="BJ130" s="433"/>
      <c r="BK130" s="433"/>
      <c r="BL130" s="433"/>
      <c r="BM130" s="433"/>
      <c r="BN130" s="433"/>
      <c r="BO130" s="433"/>
      <c r="BP130" s="433"/>
      <c r="BQ130" s="433"/>
      <c r="BR130" s="433"/>
      <c r="BV130" s="432" t="s">
        <v>330</v>
      </c>
      <c r="BW130" s="433"/>
      <c r="BX130" s="433"/>
      <c r="BY130" s="433"/>
      <c r="BZ130" s="433"/>
      <c r="CA130" s="433"/>
      <c r="CB130" s="433"/>
      <c r="CC130" s="433"/>
      <c r="CD130" s="433"/>
      <c r="CE130" s="433"/>
      <c r="CF130" s="433"/>
      <c r="CG130" s="433"/>
      <c r="CH130" s="433"/>
      <c r="CI130" s="433"/>
      <c r="CJ130" s="433"/>
      <c r="CK130" s="433"/>
      <c r="CL130" s="433"/>
      <c r="CM130" s="433"/>
      <c r="CN130" s="433"/>
      <c r="CO130" s="433"/>
      <c r="CP130" s="433"/>
      <c r="CQ130" s="433"/>
      <c r="CR130" s="433"/>
      <c r="CS130" s="433"/>
      <c r="CT130" s="433"/>
      <c r="CU130" s="433"/>
      <c r="CV130" s="433"/>
      <c r="CW130" s="433"/>
      <c r="CX130" s="433"/>
      <c r="CY130" s="433"/>
      <c r="CZ130" s="433"/>
      <c r="DA130" s="433"/>
      <c r="DB130" s="433"/>
      <c r="DC130" s="433"/>
      <c r="DD130" s="433"/>
      <c r="DE130" s="433"/>
      <c r="DF130" s="433"/>
      <c r="DG130" s="433"/>
      <c r="DH130" s="433"/>
      <c r="DI130" s="433"/>
    </row>
    <row r="133" spans="1:113" ht="185" x14ac:dyDescent="0.2">
      <c r="B133" s="308" t="s">
        <v>673</v>
      </c>
      <c r="C133" s="308" t="s">
        <v>674</v>
      </c>
      <c r="D133" s="308" t="s">
        <v>675</v>
      </c>
      <c r="E133" s="308" t="s">
        <v>676</v>
      </c>
      <c r="F133" s="308" t="s">
        <v>342</v>
      </c>
      <c r="G133" s="308" t="s">
        <v>448</v>
      </c>
      <c r="H133" s="308" t="s">
        <v>462</v>
      </c>
      <c r="I133" s="308" t="s">
        <v>677</v>
      </c>
      <c r="J133" s="308" t="s">
        <v>678</v>
      </c>
      <c r="K133" s="308" t="s">
        <v>463</v>
      </c>
      <c r="L133" s="308" t="s">
        <v>343</v>
      </c>
      <c r="M133" s="308" t="s">
        <v>679</v>
      </c>
      <c r="N133" s="308" t="s">
        <v>680</v>
      </c>
      <c r="O133" s="308" t="s">
        <v>681</v>
      </c>
      <c r="P133" s="308" t="s">
        <v>682</v>
      </c>
      <c r="Q133" s="308" t="s">
        <v>683</v>
      </c>
      <c r="R133" s="308" t="s">
        <v>684</v>
      </c>
      <c r="S133" s="308" t="s">
        <v>685</v>
      </c>
      <c r="T133" s="308" t="s">
        <v>686</v>
      </c>
      <c r="U133" s="308" t="s">
        <v>687</v>
      </c>
      <c r="V133" s="308" t="s">
        <v>688</v>
      </c>
      <c r="W133" s="308" t="s">
        <v>689</v>
      </c>
      <c r="X133" s="308" t="s">
        <v>690</v>
      </c>
      <c r="Y133" s="308" t="s">
        <v>691</v>
      </c>
      <c r="Z133" s="308" t="s">
        <v>692</v>
      </c>
      <c r="AA133" s="308" t="s">
        <v>693</v>
      </c>
    </row>
    <row r="134" spans="1:113" x14ac:dyDescent="0.2">
      <c r="A134" s="307" t="s">
        <v>641</v>
      </c>
      <c r="B134" s="309">
        <v>0</v>
      </c>
      <c r="C134" s="309">
        <v>0</v>
      </c>
      <c r="D134" s="309">
        <v>0</v>
      </c>
      <c r="E134" s="309">
        <v>0</v>
      </c>
      <c r="F134" s="309">
        <v>0</v>
      </c>
      <c r="G134" s="309">
        <v>0</v>
      </c>
      <c r="H134" s="309">
        <v>0</v>
      </c>
      <c r="I134" s="309">
        <v>0</v>
      </c>
      <c r="J134" s="309">
        <v>0</v>
      </c>
      <c r="K134" s="309">
        <v>0</v>
      </c>
      <c r="L134" s="309">
        <v>0</v>
      </c>
      <c r="M134" s="309">
        <v>0</v>
      </c>
      <c r="N134" s="309">
        <v>0</v>
      </c>
      <c r="O134" s="309">
        <v>0</v>
      </c>
      <c r="P134" s="309">
        <v>0</v>
      </c>
      <c r="Q134" s="309">
        <v>0</v>
      </c>
      <c r="R134" s="309">
        <v>0</v>
      </c>
      <c r="S134" s="309">
        <v>0</v>
      </c>
      <c r="T134" s="309">
        <v>16030.243919636299</v>
      </c>
      <c r="U134" s="309">
        <v>0</v>
      </c>
      <c r="V134" s="309">
        <v>0</v>
      </c>
      <c r="W134" s="309">
        <v>0</v>
      </c>
      <c r="X134" s="309">
        <v>0</v>
      </c>
      <c r="Y134" s="309">
        <v>0</v>
      </c>
      <c r="Z134" s="309">
        <v>0</v>
      </c>
      <c r="AA134" s="309">
        <v>0</v>
      </c>
    </row>
    <row r="135" spans="1:113" x14ac:dyDescent="0.2">
      <c r="A135" s="307" t="s">
        <v>642</v>
      </c>
      <c r="B135" s="309">
        <v>0</v>
      </c>
      <c r="C135" s="309">
        <v>0</v>
      </c>
      <c r="D135" s="309">
        <v>0</v>
      </c>
      <c r="E135" s="309">
        <v>0</v>
      </c>
      <c r="F135" s="309">
        <v>0</v>
      </c>
      <c r="G135" s="309">
        <v>0</v>
      </c>
      <c r="H135" s="309">
        <v>0</v>
      </c>
      <c r="I135" s="309">
        <v>0</v>
      </c>
      <c r="J135" s="309">
        <v>0</v>
      </c>
      <c r="K135" s="309">
        <v>0</v>
      </c>
      <c r="L135" s="309">
        <v>0</v>
      </c>
      <c r="M135" s="309">
        <v>0</v>
      </c>
      <c r="N135" s="309">
        <v>0</v>
      </c>
      <c r="O135" s="309">
        <v>0</v>
      </c>
      <c r="P135" s="309">
        <v>0</v>
      </c>
      <c r="Q135" s="309">
        <v>0</v>
      </c>
      <c r="R135" s="309">
        <v>3202004.12978845</v>
      </c>
      <c r="S135" s="309">
        <v>0</v>
      </c>
      <c r="T135" s="309">
        <v>0</v>
      </c>
      <c r="U135" s="309">
        <v>0</v>
      </c>
      <c r="V135" s="309">
        <v>0</v>
      </c>
      <c r="W135" s="309">
        <v>0</v>
      </c>
      <c r="X135" s="309">
        <v>0</v>
      </c>
      <c r="Y135" s="309">
        <v>0</v>
      </c>
      <c r="Z135" s="309">
        <v>0</v>
      </c>
      <c r="AA135" s="309">
        <v>0</v>
      </c>
    </row>
    <row r="136" spans="1:113" x14ac:dyDescent="0.2">
      <c r="A136" s="307" t="s">
        <v>643</v>
      </c>
      <c r="B136" s="309">
        <v>0</v>
      </c>
      <c r="C136" s="309">
        <v>0</v>
      </c>
      <c r="D136" s="309">
        <v>0</v>
      </c>
      <c r="E136" s="309">
        <v>0</v>
      </c>
      <c r="F136" s="309">
        <v>0</v>
      </c>
      <c r="G136" s="309">
        <v>0</v>
      </c>
      <c r="H136" s="309">
        <v>0</v>
      </c>
      <c r="I136" s="309">
        <v>0</v>
      </c>
      <c r="J136" s="309">
        <v>0</v>
      </c>
      <c r="K136" s="309">
        <v>0</v>
      </c>
      <c r="L136" s="309">
        <v>0</v>
      </c>
      <c r="M136" s="309">
        <v>0</v>
      </c>
      <c r="N136" s="309">
        <v>0</v>
      </c>
      <c r="O136" s="309">
        <v>0</v>
      </c>
      <c r="P136" s="309">
        <v>0</v>
      </c>
      <c r="Q136" s="309">
        <v>0</v>
      </c>
      <c r="R136" s="309">
        <v>0</v>
      </c>
      <c r="S136" s="309">
        <v>0</v>
      </c>
      <c r="T136" s="309">
        <v>5653.4469866310001</v>
      </c>
      <c r="U136" s="309">
        <v>0</v>
      </c>
      <c r="V136" s="309">
        <v>0</v>
      </c>
      <c r="W136" s="309">
        <v>0</v>
      </c>
      <c r="X136" s="309">
        <v>0</v>
      </c>
      <c r="Y136" s="309">
        <v>0</v>
      </c>
      <c r="Z136" s="309">
        <v>0</v>
      </c>
      <c r="AA136" s="309">
        <v>0</v>
      </c>
    </row>
    <row r="137" spans="1:113" x14ac:dyDescent="0.2">
      <c r="A137" s="307" t="s">
        <v>644</v>
      </c>
      <c r="B137" s="309">
        <v>0</v>
      </c>
      <c r="C137" s="309">
        <v>0</v>
      </c>
      <c r="D137" s="309">
        <v>0</v>
      </c>
      <c r="E137" s="309">
        <v>0</v>
      </c>
      <c r="F137" s="309">
        <v>1032997.83916021</v>
      </c>
      <c r="G137" s="309">
        <v>0</v>
      </c>
      <c r="H137" s="309">
        <v>0</v>
      </c>
      <c r="I137" s="309">
        <v>0</v>
      </c>
      <c r="J137" s="309">
        <v>0</v>
      </c>
      <c r="K137" s="309">
        <v>0</v>
      </c>
      <c r="L137" s="309">
        <v>0</v>
      </c>
      <c r="M137" s="309">
        <v>0</v>
      </c>
      <c r="N137" s="309">
        <v>0</v>
      </c>
      <c r="O137" s="309">
        <v>0</v>
      </c>
      <c r="P137" s="309">
        <v>0</v>
      </c>
      <c r="Q137" s="309">
        <v>0</v>
      </c>
      <c r="R137" s="309">
        <v>0</v>
      </c>
      <c r="S137" s="309">
        <v>0</v>
      </c>
      <c r="T137" s="309">
        <v>0</v>
      </c>
      <c r="U137" s="309">
        <v>0</v>
      </c>
      <c r="V137" s="309">
        <v>0</v>
      </c>
      <c r="W137" s="309">
        <v>0</v>
      </c>
      <c r="X137" s="309">
        <v>0</v>
      </c>
      <c r="Y137" s="309">
        <v>0</v>
      </c>
      <c r="Z137" s="309">
        <v>0</v>
      </c>
      <c r="AA137" s="309">
        <v>0</v>
      </c>
    </row>
    <row r="138" spans="1:113" x14ac:dyDescent="0.2">
      <c r="A138" s="307" t="s">
        <v>645</v>
      </c>
      <c r="B138" s="309">
        <v>0</v>
      </c>
      <c r="C138" s="309">
        <v>0</v>
      </c>
      <c r="D138" s="309">
        <v>0</v>
      </c>
      <c r="E138" s="309">
        <v>0</v>
      </c>
      <c r="F138" s="309">
        <v>0</v>
      </c>
      <c r="G138" s="309">
        <v>0</v>
      </c>
      <c r="H138" s="309">
        <v>0</v>
      </c>
      <c r="I138" s="309">
        <v>4830.4442158522497</v>
      </c>
      <c r="J138" s="309">
        <v>0</v>
      </c>
      <c r="K138" s="309">
        <v>0</v>
      </c>
      <c r="L138" s="309">
        <v>0</v>
      </c>
      <c r="M138" s="309">
        <v>0</v>
      </c>
      <c r="N138" s="309">
        <v>0</v>
      </c>
      <c r="O138" s="309">
        <v>0</v>
      </c>
      <c r="P138" s="309">
        <v>0</v>
      </c>
      <c r="Q138" s="309">
        <v>0</v>
      </c>
      <c r="R138" s="309">
        <v>0</v>
      </c>
      <c r="S138" s="309">
        <v>0</v>
      </c>
      <c r="T138" s="309">
        <v>0</v>
      </c>
      <c r="U138" s="309">
        <v>0</v>
      </c>
      <c r="V138" s="309">
        <v>0</v>
      </c>
      <c r="W138" s="309">
        <v>0</v>
      </c>
      <c r="X138" s="309">
        <v>0</v>
      </c>
      <c r="Y138" s="309">
        <v>0</v>
      </c>
      <c r="Z138" s="309">
        <v>0</v>
      </c>
      <c r="AA138" s="309">
        <v>0</v>
      </c>
    </row>
    <row r="139" spans="1:113" x14ac:dyDescent="0.2">
      <c r="A139" s="307" t="s">
        <v>646</v>
      </c>
      <c r="B139" s="309">
        <v>0</v>
      </c>
      <c r="C139" s="309">
        <v>0</v>
      </c>
      <c r="D139" s="309">
        <v>0</v>
      </c>
      <c r="E139" s="309">
        <v>0</v>
      </c>
      <c r="F139" s="309">
        <v>0</v>
      </c>
      <c r="G139" s="309">
        <v>0</v>
      </c>
      <c r="H139" s="309">
        <v>0</v>
      </c>
      <c r="I139" s="309">
        <v>0</v>
      </c>
      <c r="J139" s="309">
        <v>0</v>
      </c>
      <c r="K139" s="309">
        <v>0</v>
      </c>
      <c r="L139" s="309">
        <v>0</v>
      </c>
      <c r="M139" s="309">
        <v>0</v>
      </c>
      <c r="N139" s="309">
        <v>0</v>
      </c>
      <c r="O139" s="309">
        <v>0</v>
      </c>
      <c r="P139" s="309">
        <v>184686.52821315001</v>
      </c>
      <c r="Q139" s="309">
        <v>0</v>
      </c>
      <c r="R139" s="309">
        <v>0</v>
      </c>
      <c r="S139" s="309">
        <v>0</v>
      </c>
      <c r="T139" s="309">
        <v>0</v>
      </c>
      <c r="U139" s="309">
        <v>0</v>
      </c>
      <c r="V139" s="309">
        <v>0</v>
      </c>
      <c r="W139" s="309">
        <v>0</v>
      </c>
      <c r="X139" s="309">
        <v>0</v>
      </c>
      <c r="Y139" s="309">
        <v>0</v>
      </c>
      <c r="Z139" s="309">
        <v>0</v>
      </c>
      <c r="AA139" s="309">
        <v>0</v>
      </c>
    </row>
    <row r="140" spans="1:113" x14ac:dyDescent="0.2">
      <c r="A140" s="307" t="s">
        <v>647</v>
      </c>
      <c r="B140" s="309">
        <v>0</v>
      </c>
      <c r="C140" s="309">
        <v>0</v>
      </c>
      <c r="D140" s="309">
        <v>0</v>
      </c>
      <c r="E140" s="309">
        <v>0</v>
      </c>
      <c r="F140" s="309">
        <v>0</v>
      </c>
      <c r="G140" s="309">
        <v>0</v>
      </c>
      <c r="H140" s="309">
        <v>0</v>
      </c>
      <c r="I140" s="309">
        <v>0</v>
      </c>
      <c r="J140" s="309">
        <v>0</v>
      </c>
      <c r="K140" s="309">
        <v>0</v>
      </c>
      <c r="L140" s="309">
        <v>0</v>
      </c>
      <c r="M140" s="309">
        <v>0</v>
      </c>
      <c r="N140" s="309">
        <v>0</v>
      </c>
      <c r="O140" s="309">
        <v>0</v>
      </c>
      <c r="P140" s="309">
        <v>0</v>
      </c>
      <c r="Q140" s="309">
        <v>0</v>
      </c>
      <c r="R140" s="309">
        <v>0</v>
      </c>
      <c r="S140" s="309">
        <v>0</v>
      </c>
      <c r="T140" s="309">
        <v>0</v>
      </c>
      <c r="U140" s="309">
        <v>5023.7890204089899</v>
      </c>
      <c r="V140" s="309">
        <v>0</v>
      </c>
      <c r="W140" s="309">
        <v>0</v>
      </c>
      <c r="X140" s="309">
        <v>0</v>
      </c>
      <c r="Y140" s="309">
        <v>0</v>
      </c>
      <c r="Z140" s="309">
        <v>0</v>
      </c>
      <c r="AA140" s="309">
        <v>0</v>
      </c>
    </row>
    <row r="141" spans="1:113" x14ac:dyDescent="0.2">
      <c r="A141" s="307" t="s">
        <v>648</v>
      </c>
      <c r="B141" s="309">
        <v>0</v>
      </c>
      <c r="C141" s="309">
        <v>0</v>
      </c>
      <c r="D141" s="309">
        <v>0</v>
      </c>
      <c r="E141" s="309">
        <v>0</v>
      </c>
      <c r="F141" s="309">
        <v>0</v>
      </c>
      <c r="G141" s="309">
        <v>0</v>
      </c>
      <c r="H141" s="309">
        <v>0</v>
      </c>
      <c r="I141" s="309">
        <v>0</v>
      </c>
      <c r="J141" s="309">
        <v>0</v>
      </c>
      <c r="K141" s="309">
        <v>0</v>
      </c>
      <c r="L141" s="309">
        <v>0</v>
      </c>
      <c r="M141" s="309">
        <v>0</v>
      </c>
      <c r="N141" s="309">
        <v>0</v>
      </c>
      <c r="O141" s="309">
        <v>0</v>
      </c>
      <c r="P141" s="309">
        <v>0</v>
      </c>
      <c r="Q141" s="309">
        <v>0</v>
      </c>
      <c r="R141" s="309">
        <v>0</v>
      </c>
      <c r="S141" s="309">
        <v>0</v>
      </c>
      <c r="T141" s="309">
        <v>0</v>
      </c>
      <c r="U141" s="309">
        <v>0</v>
      </c>
      <c r="V141" s="309">
        <v>0</v>
      </c>
      <c r="W141" s="309">
        <v>0</v>
      </c>
      <c r="X141" s="309">
        <v>82.091627997489695</v>
      </c>
      <c r="Y141" s="309">
        <v>0</v>
      </c>
      <c r="Z141" s="309">
        <v>0</v>
      </c>
      <c r="AA141" s="309">
        <v>0</v>
      </c>
    </row>
    <row r="142" spans="1:113" x14ac:dyDescent="0.2">
      <c r="A142" s="307" t="s">
        <v>649</v>
      </c>
      <c r="B142" s="309">
        <v>0</v>
      </c>
      <c r="C142" s="309">
        <v>0</v>
      </c>
      <c r="D142" s="309">
        <v>0</v>
      </c>
      <c r="E142" s="309">
        <v>0</v>
      </c>
      <c r="F142" s="309">
        <v>0</v>
      </c>
      <c r="G142" s="309">
        <v>0</v>
      </c>
      <c r="H142" s="309">
        <v>0</v>
      </c>
      <c r="I142" s="309">
        <v>0</v>
      </c>
      <c r="J142" s="309">
        <v>0</v>
      </c>
      <c r="K142" s="309">
        <v>0</v>
      </c>
      <c r="L142" s="309">
        <v>0</v>
      </c>
      <c r="M142" s="309">
        <v>0</v>
      </c>
      <c r="N142" s="309">
        <v>0</v>
      </c>
      <c r="O142" s="309">
        <v>0</v>
      </c>
      <c r="P142" s="309">
        <v>0</v>
      </c>
      <c r="Q142" s="309">
        <v>0</v>
      </c>
      <c r="R142" s="309">
        <v>0</v>
      </c>
      <c r="S142" s="309">
        <v>0</v>
      </c>
      <c r="T142" s="309">
        <v>0</v>
      </c>
      <c r="U142" s="309">
        <v>0</v>
      </c>
      <c r="V142" s="309">
        <v>0</v>
      </c>
      <c r="W142" s="309">
        <v>0</v>
      </c>
      <c r="X142" s="309">
        <v>0</v>
      </c>
      <c r="Y142" s="309">
        <v>0</v>
      </c>
      <c r="Z142" s="309">
        <v>43.206119998678503</v>
      </c>
      <c r="AA142" s="309">
        <v>0</v>
      </c>
    </row>
    <row r="143" spans="1:113" x14ac:dyDescent="0.2">
      <c r="A143" s="307" t="s">
        <v>650</v>
      </c>
      <c r="B143" s="309">
        <v>0</v>
      </c>
      <c r="C143" s="309">
        <v>0</v>
      </c>
      <c r="D143" s="309">
        <v>0</v>
      </c>
      <c r="E143" s="309">
        <v>0</v>
      </c>
      <c r="F143" s="309">
        <v>0</v>
      </c>
      <c r="G143" s="309">
        <v>0</v>
      </c>
      <c r="H143" s="309">
        <v>0</v>
      </c>
      <c r="I143" s="309">
        <v>0</v>
      </c>
      <c r="J143" s="309">
        <v>0</v>
      </c>
      <c r="K143" s="309">
        <v>0</v>
      </c>
      <c r="L143" s="309">
        <v>3749358.3680556798</v>
      </c>
      <c r="M143" s="309">
        <v>0</v>
      </c>
      <c r="N143" s="309">
        <v>0</v>
      </c>
      <c r="O143" s="309">
        <v>0</v>
      </c>
      <c r="P143" s="309">
        <v>0</v>
      </c>
      <c r="Q143" s="309">
        <v>0</v>
      </c>
      <c r="R143" s="309">
        <v>0</v>
      </c>
      <c r="S143" s="309">
        <v>0</v>
      </c>
      <c r="T143" s="309">
        <v>0</v>
      </c>
      <c r="U143" s="309">
        <v>0</v>
      </c>
      <c r="V143" s="309">
        <v>0</v>
      </c>
      <c r="W143" s="309">
        <v>0</v>
      </c>
      <c r="X143" s="309">
        <v>0</v>
      </c>
      <c r="Y143" s="309">
        <v>0</v>
      </c>
      <c r="Z143" s="309">
        <v>0</v>
      </c>
      <c r="AA143" s="309">
        <v>0</v>
      </c>
    </row>
    <row r="144" spans="1:113" x14ac:dyDescent="0.2">
      <c r="A144" s="307" t="s">
        <v>651</v>
      </c>
      <c r="B144" s="309">
        <v>0</v>
      </c>
      <c r="C144" s="309">
        <v>0</v>
      </c>
      <c r="D144" s="309">
        <v>0</v>
      </c>
      <c r="E144" s="309">
        <v>0</v>
      </c>
      <c r="F144" s="309">
        <v>60946.554310340602</v>
      </c>
      <c r="G144" s="309">
        <v>0</v>
      </c>
      <c r="H144" s="309">
        <v>0</v>
      </c>
      <c r="I144" s="309">
        <v>0</v>
      </c>
      <c r="J144" s="309">
        <v>0</v>
      </c>
      <c r="K144" s="309">
        <v>0</v>
      </c>
      <c r="L144" s="309">
        <v>0</v>
      </c>
      <c r="M144" s="309">
        <v>0</v>
      </c>
      <c r="N144" s="309">
        <v>0</v>
      </c>
      <c r="O144" s="309">
        <v>0</v>
      </c>
      <c r="P144" s="309">
        <v>0</v>
      </c>
      <c r="Q144" s="309">
        <v>0</v>
      </c>
      <c r="R144" s="309">
        <v>0</v>
      </c>
      <c r="S144" s="309">
        <v>0</v>
      </c>
      <c r="T144" s="309">
        <v>0</v>
      </c>
      <c r="U144" s="309">
        <v>0</v>
      </c>
      <c r="V144" s="309">
        <v>0</v>
      </c>
      <c r="W144" s="309">
        <v>0</v>
      </c>
      <c r="X144" s="309">
        <v>0</v>
      </c>
      <c r="Y144" s="309">
        <v>0</v>
      </c>
      <c r="Z144" s="309">
        <v>0</v>
      </c>
      <c r="AA144" s="309">
        <v>0</v>
      </c>
    </row>
    <row r="145" spans="1:27" x14ac:dyDescent="0.2">
      <c r="A145" s="307" t="s">
        <v>652</v>
      </c>
      <c r="B145" s="309">
        <v>0</v>
      </c>
      <c r="C145" s="309">
        <v>0</v>
      </c>
      <c r="D145" s="309">
        <v>290.15291867903898</v>
      </c>
      <c r="E145" s="309">
        <v>0</v>
      </c>
      <c r="F145" s="309">
        <v>0</v>
      </c>
      <c r="G145" s="309">
        <v>0</v>
      </c>
      <c r="H145" s="309">
        <v>0</v>
      </c>
      <c r="I145" s="309">
        <v>0</v>
      </c>
      <c r="J145" s="309">
        <v>0</v>
      </c>
      <c r="K145" s="309">
        <v>0</v>
      </c>
      <c r="L145" s="309">
        <v>0</v>
      </c>
      <c r="M145" s="309">
        <v>0</v>
      </c>
      <c r="N145" s="309">
        <v>668.84165319492104</v>
      </c>
      <c r="O145" s="309">
        <v>0</v>
      </c>
      <c r="P145" s="309">
        <v>0</v>
      </c>
      <c r="Q145" s="309">
        <v>0</v>
      </c>
      <c r="R145" s="309">
        <v>0</v>
      </c>
      <c r="S145" s="309">
        <v>0</v>
      </c>
      <c r="T145" s="309">
        <v>0</v>
      </c>
      <c r="U145" s="309">
        <v>0</v>
      </c>
      <c r="V145" s="309">
        <v>0</v>
      </c>
      <c r="W145" s="309">
        <v>0</v>
      </c>
      <c r="X145" s="309">
        <v>0</v>
      </c>
      <c r="Y145" s="309">
        <v>0</v>
      </c>
      <c r="Z145" s="309">
        <v>0</v>
      </c>
      <c r="AA145" s="309">
        <v>0</v>
      </c>
    </row>
    <row r="146" spans="1:27" x14ac:dyDescent="0.2">
      <c r="A146" s="307" t="s">
        <v>653</v>
      </c>
      <c r="B146" s="309">
        <v>0</v>
      </c>
      <c r="C146" s="309">
        <v>0</v>
      </c>
      <c r="D146" s="309">
        <v>0</v>
      </c>
      <c r="E146" s="309">
        <v>0</v>
      </c>
      <c r="F146" s="309">
        <v>0</v>
      </c>
      <c r="G146" s="309">
        <v>27606.454518918301</v>
      </c>
      <c r="H146" s="309">
        <v>60240.419732123897</v>
      </c>
      <c r="I146" s="309">
        <v>0</v>
      </c>
      <c r="J146" s="309">
        <v>0</v>
      </c>
      <c r="K146" s="309">
        <v>13.9069217450983</v>
      </c>
      <c r="L146" s="309">
        <v>0</v>
      </c>
      <c r="M146" s="309">
        <v>0</v>
      </c>
      <c r="N146" s="309">
        <v>0</v>
      </c>
      <c r="O146" s="309">
        <v>0</v>
      </c>
      <c r="P146" s="309">
        <v>0</v>
      </c>
      <c r="Q146" s="309">
        <v>0</v>
      </c>
      <c r="R146" s="309">
        <v>0</v>
      </c>
      <c r="S146" s="309">
        <v>0</v>
      </c>
      <c r="T146" s="309">
        <v>0</v>
      </c>
      <c r="U146" s="309">
        <v>0</v>
      </c>
      <c r="V146" s="309">
        <v>0</v>
      </c>
      <c r="W146" s="309">
        <v>4306.0802326205903</v>
      </c>
      <c r="X146" s="309">
        <v>0</v>
      </c>
      <c r="Y146" s="309">
        <v>0</v>
      </c>
      <c r="Z146" s="309">
        <v>0</v>
      </c>
      <c r="AA146" s="309">
        <v>0</v>
      </c>
    </row>
    <row r="147" spans="1:27" x14ac:dyDescent="0.2">
      <c r="A147" s="307" t="s">
        <v>654</v>
      </c>
      <c r="B147" s="309">
        <v>0</v>
      </c>
      <c r="C147" s="30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23202.895864865601</v>
      </c>
      <c r="I147" s="309">
        <v>0</v>
      </c>
      <c r="J147" s="309">
        <v>0</v>
      </c>
      <c r="K147" s="309">
        <v>5.54621255405754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</row>
    <row r="148" spans="1:27" x14ac:dyDescent="0.2">
      <c r="B148" s="432" t="s">
        <v>329</v>
      </c>
      <c r="C148" s="433"/>
      <c r="D148" s="433"/>
      <c r="E148" s="433"/>
      <c r="F148" s="433"/>
      <c r="G148" s="433"/>
      <c r="H148" s="433"/>
      <c r="I148" s="433"/>
      <c r="J148" s="433"/>
      <c r="K148" s="433"/>
      <c r="L148" s="433"/>
      <c r="M148" s="433"/>
      <c r="N148" s="433"/>
      <c r="O148" s="433"/>
      <c r="P148" s="433"/>
      <c r="Q148" s="433"/>
      <c r="R148" s="433"/>
      <c r="S148" s="433"/>
      <c r="T148" s="433"/>
      <c r="U148" s="433"/>
      <c r="V148" s="433"/>
      <c r="W148" s="433"/>
      <c r="X148" s="433"/>
      <c r="Y148" s="433"/>
      <c r="Z148" s="433"/>
      <c r="AA148" s="433"/>
    </row>
    <row r="151" spans="1:27" ht="185" x14ac:dyDescent="0.2">
      <c r="B151" s="308" t="s">
        <v>673</v>
      </c>
      <c r="C151" s="308" t="s">
        <v>674</v>
      </c>
      <c r="D151" s="308" t="s">
        <v>675</v>
      </c>
      <c r="E151" s="308" t="s">
        <v>676</v>
      </c>
      <c r="F151" s="308" t="s">
        <v>342</v>
      </c>
      <c r="G151" s="308" t="s">
        <v>448</v>
      </c>
      <c r="H151" s="308" t="s">
        <v>462</v>
      </c>
      <c r="I151" s="308" t="s">
        <v>677</v>
      </c>
      <c r="J151" s="308" t="s">
        <v>678</v>
      </c>
      <c r="K151" s="308" t="s">
        <v>463</v>
      </c>
      <c r="L151" s="308" t="s">
        <v>343</v>
      </c>
      <c r="M151" s="308" t="s">
        <v>679</v>
      </c>
      <c r="N151" s="308" t="s">
        <v>680</v>
      </c>
      <c r="O151" s="308" t="s">
        <v>681</v>
      </c>
      <c r="P151" s="308" t="s">
        <v>682</v>
      </c>
      <c r="Q151" s="308" t="s">
        <v>683</v>
      </c>
      <c r="R151" s="308" t="s">
        <v>684</v>
      </c>
      <c r="S151" s="308" t="s">
        <v>685</v>
      </c>
      <c r="T151" s="308" t="s">
        <v>686</v>
      </c>
      <c r="U151" s="308" t="s">
        <v>687</v>
      </c>
      <c r="V151" s="308" t="s">
        <v>688</v>
      </c>
      <c r="W151" s="308" t="s">
        <v>689</v>
      </c>
      <c r="X151" s="308" t="s">
        <v>690</v>
      </c>
      <c r="Y151" s="308" t="s">
        <v>691</v>
      </c>
      <c r="Z151" s="308" t="s">
        <v>692</v>
      </c>
      <c r="AA151" s="308" t="s">
        <v>693</v>
      </c>
    </row>
    <row r="152" spans="1:27" x14ac:dyDescent="0.2">
      <c r="A152" s="307" t="s">
        <v>712</v>
      </c>
      <c r="B152" s="306">
        <v>0</v>
      </c>
      <c r="C152" s="306">
        <v>0</v>
      </c>
      <c r="D152" s="306">
        <v>82025.350859294602</v>
      </c>
      <c r="E152" s="306">
        <v>0</v>
      </c>
      <c r="F152" s="306">
        <v>0</v>
      </c>
      <c r="G152" s="306">
        <v>0</v>
      </c>
      <c r="H152" s="306">
        <v>0</v>
      </c>
      <c r="I152" s="306">
        <v>0</v>
      </c>
      <c r="J152" s="306">
        <v>0</v>
      </c>
      <c r="K152" s="306">
        <v>0</v>
      </c>
      <c r="L152" s="306">
        <v>0</v>
      </c>
      <c r="M152" s="306">
        <v>0</v>
      </c>
      <c r="N152" s="306">
        <v>0</v>
      </c>
      <c r="O152" s="306">
        <v>0</v>
      </c>
      <c r="P152" s="306">
        <v>0</v>
      </c>
      <c r="Q152" s="306">
        <v>0</v>
      </c>
      <c r="R152" s="306">
        <v>0</v>
      </c>
      <c r="S152" s="306">
        <v>0</v>
      </c>
      <c r="T152" s="306">
        <v>0</v>
      </c>
      <c r="U152" s="306">
        <v>0</v>
      </c>
      <c r="V152" s="306">
        <v>0</v>
      </c>
      <c r="W152" s="306">
        <v>0</v>
      </c>
      <c r="X152" s="306">
        <v>0</v>
      </c>
      <c r="Y152" s="306">
        <v>0</v>
      </c>
      <c r="Z152" s="306">
        <v>0</v>
      </c>
      <c r="AA152" s="306">
        <v>0</v>
      </c>
    </row>
    <row r="153" spans="1:27" x14ac:dyDescent="0.2">
      <c r="A153" s="307" t="s">
        <v>713</v>
      </c>
      <c r="B153" s="306">
        <v>0</v>
      </c>
      <c r="C153" s="306">
        <v>0</v>
      </c>
      <c r="D153" s="306">
        <v>0</v>
      </c>
      <c r="E153" s="306">
        <v>0</v>
      </c>
      <c r="F153" s="306">
        <v>40734.729934752402</v>
      </c>
      <c r="G153" s="306">
        <v>0</v>
      </c>
      <c r="H153" s="306">
        <v>0</v>
      </c>
      <c r="I153" s="306">
        <v>0</v>
      </c>
      <c r="J153" s="306">
        <v>0</v>
      </c>
      <c r="K153" s="306">
        <v>0</v>
      </c>
      <c r="L153" s="306">
        <v>0</v>
      </c>
      <c r="M153" s="306">
        <v>0</v>
      </c>
      <c r="N153" s="306">
        <v>0</v>
      </c>
      <c r="O153" s="306">
        <v>0</v>
      </c>
      <c r="P153" s="306">
        <v>0</v>
      </c>
      <c r="Q153" s="306">
        <v>0</v>
      </c>
      <c r="R153" s="306">
        <v>0</v>
      </c>
      <c r="S153" s="306">
        <v>0</v>
      </c>
      <c r="T153" s="306">
        <v>0</v>
      </c>
      <c r="U153" s="306">
        <v>0</v>
      </c>
      <c r="V153" s="306">
        <v>0</v>
      </c>
      <c r="W153" s="306">
        <v>0</v>
      </c>
      <c r="X153" s="306">
        <v>0</v>
      </c>
      <c r="Y153" s="306">
        <v>0</v>
      </c>
      <c r="Z153" s="306">
        <v>0</v>
      </c>
      <c r="AA153" s="306">
        <v>0</v>
      </c>
    </row>
    <row r="154" spans="1:27" x14ac:dyDescent="0.2">
      <c r="A154" s="307" t="s">
        <v>714</v>
      </c>
      <c r="B154" s="306">
        <v>0</v>
      </c>
      <c r="C154" s="306">
        <v>0</v>
      </c>
      <c r="D154" s="306">
        <v>0</v>
      </c>
      <c r="E154" s="306">
        <v>0</v>
      </c>
      <c r="F154" s="306">
        <v>0</v>
      </c>
      <c r="G154" s="306">
        <v>872.21663759437695</v>
      </c>
      <c r="H154" s="306">
        <v>0</v>
      </c>
      <c r="I154" s="306">
        <v>0</v>
      </c>
      <c r="J154" s="306">
        <v>0</v>
      </c>
      <c r="K154" s="306">
        <v>0</v>
      </c>
      <c r="L154" s="306">
        <v>0</v>
      </c>
      <c r="M154" s="306">
        <v>0</v>
      </c>
      <c r="N154" s="306">
        <v>0</v>
      </c>
      <c r="O154" s="306">
        <v>0</v>
      </c>
      <c r="P154" s="306">
        <v>0</v>
      </c>
      <c r="Q154" s="306">
        <v>0</v>
      </c>
      <c r="R154" s="306">
        <v>0</v>
      </c>
      <c r="S154" s="306">
        <v>0</v>
      </c>
      <c r="T154" s="306">
        <v>0</v>
      </c>
      <c r="U154" s="306">
        <v>0</v>
      </c>
      <c r="V154" s="306">
        <v>0</v>
      </c>
      <c r="W154" s="306">
        <v>0</v>
      </c>
      <c r="X154" s="306">
        <v>0</v>
      </c>
      <c r="Y154" s="306">
        <v>0</v>
      </c>
      <c r="Z154" s="306">
        <v>0</v>
      </c>
      <c r="AA154" s="306">
        <v>0</v>
      </c>
    </row>
    <row r="155" spans="1:27" x14ac:dyDescent="0.2">
      <c r="A155" s="307" t="s">
        <v>715</v>
      </c>
      <c r="B155" s="306">
        <v>0</v>
      </c>
      <c r="C155" s="306">
        <v>0</v>
      </c>
      <c r="D155" s="306">
        <v>0</v>
      </c>
      <c r="E155" s="306">
        <v>0</v>
      </c>
      <c r="F155" s="306">
        <v>0</v>
      </c>
      <c r="G155" s="306">
        <v>0</v>
      </c>
      <c r="H155" s="306">
        <v>36781.329005505002</v>
      </c>
      <c r="I155" s="306">
        <v>0</v>
      </c>
      <c r="J155" s="306">
        <v>0</v>
      </c>
      <c r="K155" s="306">
        <v>0</v>
      </c>
      <c r="L155" s="306">
        <v>0</v>
      </c>
      <c r="M155" s="306">
        <v>0</v>
      </c>
      <c r="N155" s="306">
        <v>0</v>
      </c>
      <c r="O155" s="306">
        <v>0</v>
      </c>
      <c r="P155" s="306">
        <v>0</v>
      </c>
      <c r="Q155" s="306">
        <v>0</v>
      </c>
      <c r="R155" s="306">
        <v>0</v>
      </c>
      <c r="S155" s="306">
        <v>0</v>
      </c>
      <c r="T155" s="306">
        <v>0</v>
      </c>
      <c r="U155" s="306">
        <v>0</v>
      </c>
      <c r="V155" s="306">
        <v>0</v>
      </c>
      <c r="W155" s="306">
        <v>0</v>
      </c>
      <c r="X155" s="306">
        <v>0</v>
      </c>
      <c r="Y155" s="306">
        <v>0</v>
      </c>
      <c r="Z155" s="306">
        <v>0</v>
      </c>
      <c r="AA155" s="306">
        <v>0</v>
      </c>
    </row>
    <row r="156" spans="1:27" x14ac:dyDescent="0.2">
      <c r="A156" s="307" t="s">
        <v>716</v>
      </c>
      <c r="B156" s="306">
        <v>0</v>
      </c>
      <c r="C156" s="306">
        <v>0</v>
      </c>
      <c r="D156" s="306">
        <v>0</v>
      </c>
      <c r="E156" s="306">
        <v>0</v>
      </c>
      <c r="F156" s="306">
        <v>0</v>
      </c>
      <c r="G156" s="306">
        <v>0</v>
      </c>
      <c r="H156" s="306">
        <v>0</v>
      </c>
      <c r="I156" s="306">
        <v>0</v>
      </c>
      <c r="J156" s="306">
        <v>0</v>
      </c>
      <c r="K156" s="306">
        <v>2.7994452863509598</v>
      </c>
      <c r="L156" s="306">
        <v>0</v>
      </c>
      <c r="M156" s="306">
        <v>0</v>
      </c>
      <c r="N156" s="306">
        <v>0</v>
      </c>
      <c r="O156" s="306">
        <v>0</v>
      </c>
      <c r="P156" s="306">
        <v>0</v>
      </c>
      <c r="Q156" s="306">
        <v>0</v>
      </c>
      <c r="R156" s="306">
        <v>0</v>
      </c>
      <c r="S156" s="306">
        <v>0</v>
      </c>
      <c r="T156" s="306">
        <v>0</v>
      </c>
      <c r="U156" s="306">
        <v>0</v>
      </c>
      <c r="V156" s="306">
        <v>0</v>
      </c>
      <c r="W156" s="306">
        <v>0</v>
      </c>
      <c r="X156" s="306">
        <v>0</v>
      </c>
      <c r="Y156" s="306">
        <v>0</v>
      </c>
      <c r="Z156" s="306">
        <v>0</v>
      </c>
      <c r="AA156" s="306">
        <v>0</v>
      </c>
    </row>
    <row r="157" spans="1:27" x14ac:dyDescent="0.2">
      <c r="A157" s="307" t="s">
        <v>717</v>
      </c>
      <c r="B157" s="306">
        <v>0</v>
      </c>
      <c r="C157" s="306">
        <v>0</v>
      </c>
      <c r="D157" s="306">
        <v>0</v>
      </c>
      <c r="E157" s="306">
        <v>0</v>
      </c>
      <c r="F157" s="306">
        <v>0</v>
      </c>
      <c r="G157" s="306">
        <v>0</v>
      </c>
      <c r="H157" s="306">
        <v>0</v>
      </c>
      <c r="I157" s="306">
        <v>0</v>
      </c>
      <c r="J157" s="306">
        <v>0</v>
      </c>
      <c r="K157" s="306">
        <v>0</v>
      </c>
      <c r="L157" s="306">
        <v>11125349.8339001</v>
      </c>
      <c r="M157" s="306">
        <v>0</v>
      </c>
      <c r="N157" s="306">
        <v>0</v>
      </c>
      <c r="O157" s="306">
        <v>0</v>
      </c>
      <c r="P157" s="306">
        <v>0</v>
      </c>
      <c r="Q157" s="306">
        <v>0</v>
      </c>
      <c r="R157" s="306">
        <v>0</v>
      </c>
      <c r="S157" s="306">
        <v>0</v>
      </c>
      <c r="T157" s="306">
        <v>0</v>
      </c>
      <c r="U157" s="306">
        <v>0</v>
      </c>
      <c r="V157" s="306">
        <v>0</v>
      </c>
      <c r="W157" s="306">
        <v>0</v>
      </c>
      <c r="X157" s="306">
        <v>0</v>
      </c>
      <c r="Y157" s="306">
        <v>0</v>
      </c>
      <c r="Z157" s="306">
        <v>0</v>
      </c>
      <c r="AA157" s="306">
        <v>0</v>
      </c>
    </row>
    <row r="158" spans="1:27" x14ac:dyDescent="0.2">
      <c r="A158" s="307" t="s">
        <v>718</v>
      </c>
      <c r="B158" s="306">
        <v>0</v>
      </c>
      <c r="C158" s="306">
        <v>0</v>
      </c>
      <c r="D158" s="306">
        <v>0</v>
      </c>
      <c r="E158" s="306">
        <v>0</v>
      </c>
      <c r="F158" s="306">
        <v>0</v>
      </c>
      <c r="G158" s="306">
        <v>0</v>
      </c>
      <c r="H158" s="306">
        <v>0</v>
      </c>
      <c r="I158" s="306">
        <v>0</v>
      </c>
      <c r="J158" s="306">
        <v>0</v>
      </c>
      <c r="K158" s="306">
        <v>0</v>
      </c>
      <c r="L158" s="306">
        <v>0</v>
      </c>
      <c r="M158" s="306">
        <v>0</v>
      </c>
      <c r="N158" s="306">
        <v>0</v>
      </c>
      <c r="O158" s="306">
        <v>0</v>
      </c>
      <c r="P158" s="306">
        <v>0</v>
      </c>
      <c r="Q158" s="306">
        <v>0</v>
      </c>
      <c r="R158" s="306">
        <v>0</v>
      </c>
      <c r="S158" s="306">
        <v>0</v>
      </c>
      <c r="T158" s="306">
        <v>0</v>
      </c>
      <c r="U158" s="306">
        <v>24.966118436670801</v>
      </c>
      <c r="V158" s="306">
        <v>0</v>
      </c>
      <c r="W158" s="306">
        <v>0</v>
      </c>
      <c r="X158" s="306">
        <v>0</v>
      </c>
      <c r="Y158" s="306">
        <v>0</v>
      </c>
      <c r="Z158" s="306">
        <v>0</v>
      </c>
      <c r="AA158" s="306">
        <v>0</v>
      </c>
    </row>
    <row r="159" spans="1:27" x14ac:dyDescent="0.2">
      <c r="A159" s="307" t="s">
        <v>719</v>
      </c>
      <c r="B159" s="306">
        <v>45017.590801780199</v>
      </c>
      <c r="C159" s="306">
        <v>0</v>
      </c>
      <c r="D159" s="306">
        <v>0</v>
      </c>
      <c r="E159" s="306">
        <v>0</v>
      </c>
      <c r="F159" s="306">
        <v>0</v>
      </c>
      <c r="G159" s="306">
        <v>0</v>
      </c>
      <c r="H159" s="306">
        <v>0</v>
      </c>
      <c r="I159" s="306">
        <v>0</v>
      </c>
      <c r="J159" s="306">
        <v>0</v>
      </c>
      <c r="K159" s="306">
        <v>0</v>
      </c>
      <c r="L159" s="306">
        <v>0</v>
      </c>
      <c r="M159" s="306">
        <v>0</v>
      </c>
      <c r="N159" s="306">
        <v>0</v>
      </c>
      <c r="O159" s="306">
        <v>0</v>
      </c>
      <c r="P159" s="306">
        <v>0</v>
      </c>
      <c r="Q159" s="306">
        <v>0</v>
      </c>
      <c r="R159" s="306">
        <v>0</v>
      </c>
      <c r="S159" s="306">
        <v>0</v>
      </c>
      <c r="T159" s="306">
        <v>0</v>
      </c>
      <c r="U159" s="306">
        <v>0</v>
      </c>
      <c r="V159" s="306">
        <v>0</v>
      </c>
      <c r="W159" s="306">
        <v>0</v>
      </c>
      <c r="X159" s="306">
        <v>0</v>
      </c>
      <c r="Y159" s="306">
        <v>0</v>
      </c>
      <c r="Z159" s="306">
        <v>0</v>
      </c>
      <c r="AA159" s="306">
        <v>0</v>
      </c>
    </row>
    <row r="160" spans="1:27" x14ac:dyDescent="0.2">
      <c r="A160" s="307" t="s">
        <v>720</v>
      </c>
      <c r="B160" s="306">
        <v>0</v>
      </c>
      <c r="C160" s="306">
        <v>66251.174567632304</v>
      </c>
      <c r="D160" s="306">
        <v>0</v>
      </c>
      <c r="E160" s="306">
        <v>0</v>
      </c>
      <c r="F160" s="306">
        <v>0</v>
      </c>
      <c r="G160" s="306">
        <v>0</v>
      </c>
      <c r="H160" s="306">
        <v>0</v>
      </c>
      <c r="I160" s="306">
        <v>0</v>
      </c>
      <c r="J160" s="306">
        <v>0</v>
      </c>
      <c r="K160" s="306">
        <v>0</v>
      </c>
      <c r="L160" s="306">
        <v>0</v>
      </c>
      <c r="M160" s="306">
        <v>0</v>
      </c>
      <c r="N160" s="306">
        <v>0</v>
      </c>
      <c r="O160" s="306">
        <v>0</v>
      </c>
      <c r="P160" s="306">
        <v>0</v>
      </c>
      <c r="Q160" s="306">
        <v>0</v>
      </c>
      <c r="R160" s="306">
        <v>0</v>
      </c>
      <c r="S160" s="306">
        <v>0</v>
      </c>
      <c r="T160" s="306">
        <v>0</v>
      </c>
      <c r="U160" s="306">
        <v>0</v>
      </c>
      <c r="V160" s="306">
        <v>0</v>
      </c>
      <c r="W160" s="306">
        <v>0</v>
      </c>
      <c r="X160" s="306">
        <v>0</v>
      </c>
      <c r="Y160" s="306">
        <v>0</v>
      </c>
      <c r="Z160" s="306">
        <v>0</v>
      </c>
      <c r="AA160" s="306">
        <v>0</v>
      </c>
    </row>
    <row r="161" spans="1:27" x14ac:dyDescent="0.2">
      <c r="A161" s="307" t="s">
        <v>721</v>
      </c>
      <c r="B161" s="306">
        <v>0</v>
      </c>
      <c r="C161" s="306">
        <v>0</v>
      </c>
      <c r="D161" s="306">
        <v>0</v>
      </c>
      <c r="E161" s="306">
        <v>290.15291867903898</v>
      </c>
      <c r="F161" s="306">
        <v>0</v>
      </c>
      <c r="G161" s="306">
        <v>0</v>
      </c>
      <c r="H161" s="306">
        <v>0</v>
      </c>
      <c r="I161" s="306">
        <v>0</v>
      </c>
      <c r="J161" s="306">
        <v>0</v>
      </c>
      <c r="K161" s="306">
        <v>0</v>
      </c>
      <c r="L161" s="306">
        <v>0</v>
      </c>
      <c r="M161" s="306">
        <v>0</v>
      </c>
      <c r="N161" s="306">
        <v>0</v>
      </c>
      <c r="O161" s="306">
        <v>0</v>
      </c>
      <c r="P161" s="306">
        <v>0</v>
      </c>
      <c r="Q161" s="306">
        <v>0</v>
      </c>
      <c r="R161" s="306">
        <v>0</v>
      </c>
      <c r="S161" s="306">
        <v>0</v>
      </c>
      <c r="T161" s="306">
        <v>0</v>
      </c>
      <c r="U161" s="306">
        <v>0</v>
      </c>
      <c r="V161" s="306">
        <v>0</v>
      </c>
      <c r="W161" s="306">
        <v>0</v>
      </c>
      <c r="X161" s="306">
        <v>0</v>
      </c>
      <c r="Y161" s="306">
        <v>0</v>
      </c>
      <c r="Z161" s="306">
        <v>0</v>
      </c>
      <c r="AA161" s="306">
        <v>0</v>
      </c>
    </row>
    <row r="162" spans="1:27" x14ac:dyDescent="0.2">
      <c r="A162" s="307" t="s">
        <v>722</v>
      </c>
      <c r="B162" s="306">
        <v>0</v>
      </c>
      <c r="C162" s="306">
        <v>0</v>
      </c>
      <c r="D162" s="306">
        <v>0</v>
      </c>
      <c r="E162" s="306">
        <v>0</v>
      </c>
      <c r="F162" s="306">
        <v>0</v>
      </c>
      <c r="G162" s="306">
        <v>0</v>
      </c>
      <c r="H162" s="306">
        <v>0</v>
      </c>
      <c r="I162" s="306">
        <v>0</v>
      </c>
      <c r="J162" s="306">
        <v>4830.4442158522497</v>
      </c>
      <c r="K162" s="306">
        <v>0</v>
      </c>
      <c r="L162" s="306">
        <v>0</v>
      </c>
      <c r="M162" s="306">
        <v>0</v>
      </c>
      <c r="N162" s="306">
        <v>0</v>
      </c>
      <c r="O162" s="306">
        <v>0</v>
      </c>
      <c r="P162" s="306">
        <v>0</v>
      </c>
      <c r="Q162" s="306">
        <v>0</v>
      </c>
      <c r="R162" s="306">
        <v>0</v>
      </c>
      <c r="S162" s="306">
        <v>0</v>
      </c>
      <c r="T162" s="306">
        <v>0</v>
      </c>
      <c r="U162" s="306">
        <v>0</v>
      </c>
      <c r="V162" s="306">
        <v>0</v>
      </c>
      <c r="W162" s="306">
        <v>0</v>
      </c>
      <c r="X162" s="306">
        <v>0</v>
      </c>
      <c r="Y162" s="306">
        <v>0</v>
      </c>
      <c r="Z162" s="306">
        <v>0</v>
      </c>
      <c r="AA162" s="306">
        <v>0</v>
      </c>
    </row>
    <row r="163" spans="1:27" x14ac:dyDescent="0.2">
      <c r="A163" s="307" t="s">
        <v>723</v>
      </c>
      <c r="B163" s="306">
        <v>0</v>
      </c>
      <c r="C163" s="306">
        <v>0</v>
      </c>
      <c r="D163" s="306">
        <v>0</v>
      </c>
      <c r="E163" s="306">
        <v>0</v>
      </c>
      <c r="F163" s="306">
        <v>0</v>
      </c>
      <c r="G163" s="306">
        <v>0</v>
      </c>
      <c r="H163" s="306">
        <v>0</v>
      </c>
      <c r="I163" s="306">
        <v>0</v>
      </c>
      <c r="J163" s="306">
        <v>0</v>
      </c>
      <c r="K163" s="306">
        <v>0</v>
      </c>
      <c r="L163" s="306">
        <v>0</v>
      </c>
      <c r="M163" s="306">
        <v>0</v>
      </c>
      <c r="N163" s="306">
        <v>0</v>
      </c>
      <c r="O163" s="306">
        <v>668.84165319492104</v>
      </c>
      <c r="P163" s="306">
        <v>0</v>
      </c>
      <c r="Q163" s="306">
        <v>0</v>
      </c>
      <c r="R163" s="306">
        <v>0</v>
      </c>
      <c r="S163" s="306">
        <v>0</v>
      </c>
      <c r="T163" s="306">
        <v>0</v>
      </c>
      <c r="U163" s="306">
        <v>0</v>
      </c>
      <c r="V163" s="306">
        <v>0</v>
      </c>
      <c r="W163" s="306">
        <v>0</v>
      </c>
      <c r="X163" s="306">
        <v>0</v>
      </c>
      <c r="Y163" s="306">
        <v>0</v>
      </c>
      <c r="Z163" s="306">
        <v>0</v>
      </c>
      <c r="AA163" s="306">
        <v>0</v>
      </c>
    </row>
    <row r="164" spans="1:27" x14ac:dyDescent="0.2">
      <c r="A164" s="307" t="s">
        <v>724</v>
      </c>
      <c r="B164" s="306">
        <v>0</v>
      </c>
      <c r="C164" s="306">
        <v>0</v>
      </c>
      <c r="D164" s="306">
        <v>0</v>
      </c>
      <c r="E164" s="306">
        <v>0</v>
      </c>
      <c r="F164" s="306">
        <v>0</v>
      </c>
      <c r="G164" s="306">
        <v>0</v>
      </c>
      <c r="H164" s="306">
        <v>0</v>
      </c>
      <c r="I164" s="306">
        <v>0</v>
      </c>
      <c r="J164" s="306">
        <v>0</v>
      </c>
      <c r="K164" s="306">
        <v>0</v>
      </c>
      <c r="L164" s="306">
        <v>0</v>
      </c>
      <c r="M164" s="306">
        <v>3749358.3680556798</v>
      </c>
      <c r="N164" s="306">
        <v>0</v>
      </c>
      <c r="O164" s="306">
        <v>0</v>
      </c>
      <c r="P164" s="306">
        <v>0</v>
      </c>
      <c r="Q164" s="306">
        <v>0</v>
      </c>
      <c r="R164" s="306">
        <v>0</v>
      </c>
      <c r="S164" s="306">
        <v>0</v>
      </c>
      <c r="T164" s="306">
        <v>0</v>
      </c>
      <c r="U164" s="306">
        <v>0</v>
      </c>
      <c r="V164" s="306">
        <v>0</v>
      </c>
      <c r="W164" s="306">
        <v>0</v>
      </c>
      <c r="X164" s="306">
        <v>0</v>
      </c>
      <c r="Y164" s="306">
        <v>0</v>
      </c>
      <c r="Z164" s="306">
        <v>0</v>
      </c>
      <c r="AA164" s="306">
        <v>0</v>
      </c>
    </row>
    <row r="165" spans="1:27" x14ac:dyDescent="0.2">
      <c r="A165" s="307" t="s">
        <v>725</v>
      </c>
      <c r="B165" s="306">
        <v>0</v>
      </c>
      <c r="C165" s="306">
        <v>0</v>
      </c>
      <c r="D165" s="306">
        <v>0</v>
      </c>
      <c r="E165" s="306">
        <v>0</v>
      </c>
      <c r="F165" s="306">
        <v>0</v>
      </c>
      <c r="G165" s="306">
        <v>0</v>
      </c>
      <c r="H165" s="306">
        <v>0</v>
      </c>
      <c r="I165" s="306">
        <v>0</v>
      </c>
      <c r="J165" s="306">
        <v>0</v>
      </c>
      <c r="K165" s="306">
        <v>0</v>
      </c>
      <c r="L165" s="306">
        <v>0</v>
      </c>
      <c r="M165" s="306">
        <v>0</v>
      </c>
      <c r="N165" s="306">
        <v>0</v>
      </c>
      <c r="O165" s="306">
        <v>0</v>
      </c>
      <c r="P165" s="306">
        <v>0</v>
      </c>
      <c r="Q165" s="306">
        <v>184686.52821315001</v>
      </c>
      <c r="R165" s="306">
        <v>0</v>
      </c>
      <c r="S165" s="306">
        <v>0</v>
      </c>
      <c r="T165" s="306">
        <v>0</v>
      </c>
      <c r="U165" s="306">
        <v>0</v>
      </c>
      <c r="V165" s="306">
        <v>0</v>
      </c>
      <c r="W165" s="306">
        <v>0</v>
      </c>
      <c r="X165" s="306">
        <v>0</v>
      </c>
      <c r="Y165" s="306">
        <v>0</v>
      </c>
      <c r="Z165" s="306">
        <v>0</v>
      </c>
      <c r="AA165" s="306">
        <v>0</v>
      </c>
    </row>
    <row r="166" spans="1:27" x14ac:dyDescent="0.2">
      <c r="A166" s="307" t="s">
        <v>726</v>
      </c>
      <c r="B166" s="306">
        <v>0</v>
      </c>
      <c r="C166" s="306">
        <v>0</v>
      </c>
      <c r="D166" s="306">
        <v>0</v>
      </c>
      <c r="E166" s="306">
        <v>0</v>
      </c>
      <c r="F166" s="306">
        <v>0</v>
      </c>
      <c r="G166" s="306">
        <v>0</v>
      </c>
      <c r="H166" s="306">
        <v>0</v>
      </c>
      <c r="I166" s="306">
        <v>0</v>
      </c>
      <c r="J166" s="306">
        <v>0</v>
      </c>
      <c r="K166" s="306">
        <v>0</v>
      </c>
      <c r="L166" s="306">
        <v>0</v>
      </c>
      <c r="M166" s="306">
        <v>0</v>
      </c>
      <c r="N166" s="306">
        <v>0</v>
      </c>
      <c r="O166" s="306">
        <v>0</v>
      </c>
      <c r="P166" s="306">
        <v>0</v>
      </c>
      <c r="Q166" s="306">
        <v>0</v>
      </c>
      <c r="R166" s="306">
        <v>0</v>
      </c>
      <c r="S166" s="306">
        <v>3090735.3644190198</v>
      </c>
      <c r="T166" s="306">
        <v>0</v>
      </c>
      <c r="U166" s="306">
        <v>0</v>
      </c>
      <c r="V166" s="306">
        <v>0</v>
      </c>
      <c r="W166" s="306">
        <v>0</v>
      </c>
      <c r="X166" s="306">
        <v>0</v>
      </c>
      <c r="Y166" s="306">
        <v>0</v>
      </c>
      <c r="Z166" s="306">
        <v>0</v>
      </c>
      <c r="AA166" s="306">
        <v>0</v>
      </c>
    </row>
    <row r="167" spans="1:27" x14ac:dyDescent="0.2">
      <c r="A167" s="307" t="s">
        <v>727</v>
      </c>
      <c r="B167" s="306">
        <v>0</v>
      </c>
      <c r="C167" s="306">
        <v>0</v>
      </c>
      <c r="D167" s="306">
        <v>0</v>
      </c>
      <c r="E167" s="306">
        <v>0</v>
      </c>
      <c r="F167" s="306">
        <v>0</v>
      </c>
      <c r="G167" s="306">
        <v>0</v>
      </c>
      <c r="H167" s="306">
        <v>0</v>
      </c>
      <c r="I167" s="306">
        <v>0</v>
      </c>
      <c r="J167" s="306">
        <v>0</v>
      </c>
      <c r="K167" s="306">
        <v>0</v>
      </c>
      <c r="L167" s="306">
        <v>0</v>
      </c>
      <c r="M167" s="306">
        <v>0</v>
      </c>
      <c r="N167" s="306">
        <v>0</v>
      </c>
      <c r="O167" s="306">
        <v>0</v>
      </c>
      <c r="P167" s="306">
        <v>0</v>
      </c>
      <c r="Q167" s="306">
        <v>0</v>
      </c>
      <c r="R167" s="306">
        <v>0</v>
      </c>
      <c r="S167" s="306">
        <v>0</v>
      </c>
      <c r="T167" s="306">
        <v>0</v>
      </c>
      <c r="U167" s="306">
        <v>0</v>
      </c>
      <c r="V167" s="306">
        <v>5023.7890204089899</v>
      </c>
      <c r="W167" s="306">
        <v>0</v>
      </c>
      <c r="X167" s="306">
        <v>0</v>
      </c>
      <c r="Y167" s="306">
        <v>0</v>
      </c>
      <c r="Z167" s="306">
        <v>0</v>
      </c>
      <c r="AA167" s="306">
        <v>0</v>
      </c>
    </row>
    <row r="168" spans="1:27" x14ac:dyDescent="0.2">
      <c r="A168" s="307" t="s">
        <v>728</v>
      </c>
      <c r="B168" s="306">
        <v>0</v>
      </c>
      <c r="C168" s="306">
        <v>0</v>
      </c>
      <c r="D168" s="306">
        <v>0</v>
      </c>
      <c r="E168" s="306">
        <v>0</v>
      </c>
      <c r="F168" s="306">
        <v>0</v>
      </c>
      <c r="G168" s="306">
        <v>0</v>
      </c>
      <c r="H168" s="306">
        <v>0</v>
      </c>
      <c r="I168" s="306">
        <v>0</v>
      </c>
      <c r="J168" s="306">
        <v>0</v>
      </c>
      <c r="K168" s="306">
        <v>0</v>
      </c>
      <c r="L168" s="306">
        <v>0</v>
      </c>
      <c r="M168" s="306">
        <v>0</v>
      </c>
      <c r="N168" s="306">
        <v>0</v>
      </c>
      <c r="O168" s="306">
        <v>0</v>
      </c>
      <c r="P168" s="306">
        <v>0</v>
      </c>
      <c r="Q168" s="306">
        <v>0</v>
      </c>
      <c r="R168" s="306">
        <v>0</v>
      </c>
      <c r="S168" s="306">
        <v>0</v>
      </c>
      <c r="T168" s="306">
        <v>0</v>
      </c>
      <c r="U168" s="306">
        <v>0</v>
      </c>
      <c r="V168" s="306">
        <v>0</v>
      </c>
      <c r="W168" s="306">
        <v>0</v>
      </c>
      <c r="X168" s="306">
        <v>0</v>
      </c>
      <c r="Y168" s="306">
        <v>82.091627997489695</v>
      </c>
      <c r="Z168" s="306">
        <v>0</v>
      </c>
      <c r="AA168" s="306">
        <v>0</v>
      </c>
    </row>
    <row r="169" spans="1:27" x14ac:dyDescent="0.2">
      <c r="A169" s="307" t="s">
        <v>729</v>
      </c>
      <c r="B169" s="306">
        <v>0</v>
      </c>
      <c r="C169" s="306">
        <v>0</v>
      </c>
      <c r="D169" s="306">
        <v>0</v>
      </c>
      <c r="E169" s="306">
        <v>0</v>
      </c>
      <c r="F169" s="306">
        <v>0</v>
      </c>
      <c r="G169" s="306">
        <v>0</v>
      </c>
      <c r="H169" s="306">
        <v>0</v>
      </c>
      <c r="I169" s="306">
        <v>0</v>
      </c>
      <c r="J169" s="306">
        <v>0</v>
      </c>
      <c r="K169" s="306">
        <v>0</v>
      </c>
      <c r="L169" s="306">
        <v>0</v>
      </c>
      <c r="M169" s="306">
        <v>0</v>
      </c>
      <c r="N169" s="306">
        <v>0</v>
      </c>
      <c r="O169" s="306">
        <v>0</v>
      </c>
      <c r="P169" s="306">
        <v>0</v>
      </c>
      <c r="Q169" s="306">
        <v>0</v>
      </c>
      <c r="R169" s="306">
        <v>0</v>
      </c>
      <c r="S169" s="306">
        <v>0</v>
      </c>
      <c r="T169" s="306">
        <v>0</v>
      </c>
      <c r="U169" s="306">
        <v>0</v>
      </c>
      <c r="V169" s="306">
        <v>0</v>
      </c>
      <c r="W169" s="306">
        <v>0</v>
      </c>
      <c r="X169" s="306">
        <v>0</v>
      </c>
      <c r="Y169" s="306">
        <v>0</v>
      </c>
      <c r="Z169" s="306">
        <v>0</v>
      </c>
      <c r="AA169" s="306">
        <v>43.206119998678503</v>
      </c>
    </row>
    <row r="170" spans="1:27" x14ac:dyDescent="0.2">
      <c r="A170" s="307" t="s">
        <v>730</v>
      </c>
      <c r="B170" s="306">
        <v>0</v>
      </c>
      <c r="C170" s="306">
        <v>0</v>
      </c>
      <c r="D170" s="306">
        <v>8889.2303268031592</v>
      </c>
      <c r="E170" s="306">
        <v>0</v>
      </c>
      <c r="F170" s="306">
        <v>0</v>
      </c>
      <c r="G170" s="306">
        <v>633.59233329487495</v>
      </c>
      <c r="H170" s="306">
        <v>0</v>
      </c>
      <c r="I170" s="306">
        <v>0</v>
      </c>
      <c r="J170" s="306">
        <v>0</v>
      </c>
      <c r="K170" s="306">
        <v>1.82365383204162</v>
      </c>
      <c r="L170" s="306">
        <v>0</v>
      </c>
      <c r="M170" s="306">
        <v>0</v>
      </c>
      <c r="N170" s="306">
        <v>0</v>
      </c>
      <c r="O170" s="306">
        <v>0</v>
      </c>
      <c r="P170" s="306">
        <v>0</v>
      </c>
      <c r="Q170" s="306">
        <v>0</v>
      </c>
      <c r="R170" s="306">
        <v>82605.805246579795</v>
      </c>
      <c r="S170" s="306">
        <v>0</v>
      </c>
      <c r="T170" s="306">
        <v>0</v>
      </c>
      <c r="U170" s="306">
        <v>0</v>
      </c>
      <c r="V170" s="306">
        <v>0</v>
      </c>
      <c r="W170" s="306">
        <v>0</v>
      </c>
      <c r="X170" s="306">
        <v>0</v>
      </c>
      <c r="Y170" s="306">
        <v>0</v>
      </c>
      <c r="Z170" s="306">
        <v>0</v>
      </c>
      <c r="AA170" s="306">
        <v>0</v>
      </c>
    </row>
    <row r="171" spans="1:27" x14ac:dyDescent="0.2">
      <c r="A171" s="307" t="s">
        <v>731</v>
      </c>
      <c r="B171" s="306">
        <v>0</v>
      </c>
      <c r="C171" s="306">
        <v>0</v>
      </c>
      <c r="D171" s="306">
        <v>633.060913481537</v>
      </c>
      <c r="E171" s="306">
        <v>0</v>
      </c>
      <c r="F171" s="306">
        <v>0</v>
      </c>
      <c r="G171" s="306">
        <v>0</v>
      </c>
      <c r="H171" s="306">
        <v>0</v>
      </c>
      <c r="I171" s="306">
        <v>0</v>
      </c>
      <c r="J171" s="306">
        <v>0</v>
      </c>
      <c r="K171" s="306">
        <v>0</v>
      </c>
      <c r="L171" s="306">
        <v>0</v>
      </c>
      <c r="M171" s="306">
        <v>0</v>
      </c>
      <c r="N171" s="306">
        <v>0</v>
      </c>
      <c r="O171" s="306">
        <v>0</v>
      </c>
      <c r="P171" s="306">
        <v>0</v>
      </c>
      <c r="Q171" s="306">
        <v>0</v>
      </c>
      <c r="R171" s="306">
        <v>0</v>
      </c>
      <c r="S171" s="306">
        <v>0</v>
      </c>
      <c r="T171" s="306">
        <v>0</v>
      </c>
      <c r="U171" s="306">
        <v>0</v>
      </c>
      <c r="V171" s="306">
        <v>0</v>
      </c>
      <c r="W171" s="306">
        <v>0</v>
      </c>
      <c r="X171" s="306">
        <v>0</v>
      </c>
      <c r="Y171" s="306">
        <v>0</v>
      </c>
      <c r="Z171" s="306">
        <v>0</v>
      </c>
      <c r="AA171" s="306">
        <v>0</v>
      </c>
    </row>
    <row r="172" spans="1:27" x14ac:dyDescent="0.2">
      <c r="B172" s="432" t="s">
        <v>56</v>
      </c>
      <c r="C172" s="433"/>
      <c r="D172" s="433"/>
      <c r="E172" s="433"/>
      <c r="F172" s="433"/>
      <c r="G172" s="433"/>
      <c r="H172" s="433"/>
      <c r="I172" s="433"/>
      <c r="J172" s="433"/>
      <c r="K172" s="433"/>
      <c r="L172" s="433"/>
      <c r="M172" s="433"/>
      <c r="N172" s="433"/>
      <c r="O172" s="433"/>
      <c r="P172" s="433"/>
      <c r="Q172" s="433"/>
      <c r="R172" s="433"/>
      <c r="S172" s="433"/>
      <c r="T172" s="433"/>
      <c r="U172" s="433"/>
      <c r="V172" s="433"/>
      <c r="W172" s="433"/>
      <c r="X172" s="433"/>
      <c r="Y172" s="433"/>
      <c r="Z172" s="433"/>
      <c r="AA172" s="433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baseColWidth="10" defaultColWidth="8.83203125" defaultRowHeight="15" x14ac:dyDescent="0.2"/>
  <cols>
    <col min="1" max="1" width="50.6640625" bestFit="1" customWidth="1"/>
    <col min="2" max="60" width="8.5"/>
    <col min="61" max="61" width="50.6640625" bestFit="1" customWidth="1"/>
    <col min="62" max="92" width="8.5"/>
    <col min="93" max="93" width="50.6640625" bestFit="1" customWidth="1"/>
  </cols>
  <sheetData>
    <row r="1" spans="1:122" ht="179" x14ac:dyDescent="0.2">
      <c r="B1" s="308" t="s">
        <v>474</v>
      </c>
      <c r="BJ1" s="308" t="s">
        <v>337</v>
      </c>
      <c r="BK1" s="308" t="s">
        <v>362</v>
      </c>
      <c r="BL1" s="308" t="s">
        <v>327</v>
      </c>
      <c r="BM1" s="308" t="s">
        <v>434</v>
      </c>
      <c r="BN1" s="308" t="s">
        <v>641</v>
      </c>
      <c r="BO1" s="308" t="s">
        <v>642</v>
      </c>
      <c r="BP1" s="308" t="s">
        <v>516</v>
      </c>
      <c r="BQ1" s="308" t="s">
        <v>514</v>
      </c>
      <c r="BR1" s="308" t="s">
        <v>344</v>
      </c>
      <c r="BS1" s="308" t="s">
        <v>643</v>
      </c>
      <c r="BT1" s="308" t="s">
        <v>351</v>
      </c>
      <c r="BU1" s="308" t="s">
        <v>325</v>
      </c>
      <c r="BV1" s="308" t="s">
        <v>455</v>
      </c>
      <c r="BW1" s="308" t="s">
        <v>348</v>
      </c>
      <c r="BX1" s="308" t="s">
        <v>326</v>
      </c>
      <c r="BY1" s="308" t="s">
        <v>435</v>
      </c>
      <c r="BZ1" s="308" t="s">
        <v>644</v>
      </c>
      <c r="CA1" s="308" t="s">
        <v>645</v>
      </c>
      <c r="CB1" s="308" t="s">
        <v>646</v>
      </c>
      <c r="CC1" s="308" t="s">
        <v>647</v>
      </c>
      <c r="CD1" s="308" t="s">
        <v>648</v>
      </c>
      <c r="CE1" s="308" t="s">
        <v>649</v>
      </c>
      <c r="CF1" s="308" t="s">
        <v>76</v>
      </c>
      <c r="CG1" s="308" t="s">
        <v>650</v>
      </c>
      <c r="CH1" s="308" t="s">
        <v>651</v>
      </c>
      <c r="CI1" s="308" t="s">
        <v>652</v>
      </c>
      <c r="CJ1" s="308" t="s">
        <v>653</v>
      </c>
      <c r="CK1" s="308" t="s">
        <v>349</v>
      </c>
      <c r="CL1" s="308" t="s">
        <v>654</v>
      </c>
      <c r="CP1" s="308" t="s">
        <v>337</v>
      </c>
      <c r="CQ1" s="308" t="s">
        <v>362</v>
      </c>
      <c r="CR1" s="308" t="s">
        <v>327</v>
      </c>
      <c r="CS1" s="308" t="s">
        <v>434</v>
      </c>
      <c r="CT1" s="308" t="s">
        <v>641</v>
      </c>
      <c r="CU1" s="308" t="s">
        <v>642</v>
      </c>
      <c r="CV1" s="308" t="s">
        <v>516</v>
      </c>
      <c r="CW1" s="308" t="s">
        <v>514</v>
      </c>
      <c r="CX1" s="308" t="s">
        <v>344</v>
      </c>
      <c r="CY1" s="308" t="s">
        <v>643</v>
      </c>
      <c r="CZ1" s="308" t="s">
        <v>351</v>
      </c>
      <c r="DA1" s="308" t="s">
        <v>325</v>
      </c>
      <c r="DB1" s="308" t="s">
        <v>455</v>
      </c>
      <c r="DC1" s="308" t="s">
        <v>348</v>
      </c>
      <c r="DD1" s="308" t="s">
        <v>326</v>
      </c>
      <c r="DE1" s="308" t="s">
        <v>435</v>
      </c>
      <c r="DF1" s="308" t="s">
        <v>644</v>
      </c>
      <c r="DG1" s="308" t="s">
        <v>645</v>
      </c>
      <c r="DH1" s="308" t="s">
        <v>646</v>
      </c>
      <c r="DI1" s="308" t="s">
        <v>647</v>
      </c>
      <c r="DJ1" s="308" t="s">
        <v>648</v>
      </c>
      <c r="DK1" s="308" t="s">
        <v>649</v>
      </c>
      <c r="DL1" s="308" t="s">
        <v>76</v>
      </c>
      <c r="DM1" s="308" t="s">
        <v>650</v>
      </c>
      <c r="DN1" s="308" t="s">
        <v>651</v>
      </c>
      <c r="DO1" s="308" t="s">
        <v>652</v>
      </c>
      <c r="DP1" s="308" t="s">
        <v>653</v>
      </c>
      <c r="DQ1" s="308" t="s">
        <v>349</v>
      </c>
      <c r="DR1" s="308" t="s">
        <v>654</v>
      </c>
    </row>
    <row r="2" spans="1:122" x14ac:dyDescent="0.2">
      <c r="A2" s="307" t="s">
        <v>694</v>
      </c>
      <c r="B2" s="310">
        <v>1</v>
      </c>
      <c r="BI2" s="307" t="s">
        <v>484</v>
      </c>
      <c r="BJ2" s="310">
        <v>0</v>
      </c>
      <c r="BK2" s="310">
        <v>0</v>
      </c>
      <c r="BL2" s="310">
        <v>0</v>
      </c>
      <c r="BM2" s="310">
        <v>0</v>
      </c>
      <c r="BN2" s="310">
        <v>0</v>
      </c>
      <c r="BO2" s="310">
        <v>0</v>
      </c>
      <c r="BP2" s="310">
        <v>0</v>
      </c>
      <c r="BQ2" s="310">
        <v>0</v>
      </c>
      <c r="BR2" s="310">
        <v>0</v>
      </c>
      <c r="BS2" s="310">
        <v>0</v>
      </c>
      <c r="BT2" s="310">
        <v>0</v>
      </c>
      <c r="BU2" s="310">
        <v>0</v>
      </c>
      <c r="BV2" s="310">
        <v>0</v>
      </c>
      <c r="BW2" s="310">
        <v>0</v>
      </c>
      <c r="BX2" s="310">
        <v>0</v>
      </c>
      <c r="BY2" s="310">
        <v>0</v>
      </c>
      <c r="BZ2" s="310">
        <v>0</v>
      </c>
      <c r="CA2" s="310">
        <v>0</v>
      </c>
      <c r="CB2" s="310">
        <v>0</v>
      </c>
      <c r="CC2" s="310">
        <v>0</v>
      </c>
      <c r="CD2" s="310">
        <v>0</v>
      </c>
      <c r="CE2" s="310">
        <v>0</v>
      </c>
      <c r="CF2" s="310">
        <v>0</v>
      </c>
      <c r="CG2" s="310">
        <v>0</v>
      </c>
      <c r="CH2" s="310">
        <v>0</v>
      </c>
      <c r="CI2" s="310">
        <v>0</v>
      </c>
      <c r="CJ2" s="310">
        <v>0</v>
      </c>
      <c r="CK2" s="310">
        <v>0</v>
      </c>
      <c r="CL2" s="310">
        <v>0</v>
      </c>
      <c r="CO2" s="307" t="s">
        <v>484</v>
      </c>
      <c r="CP2" s="310">
        <v>0</v>
      </c>
      <c r="CQ2" s="310">
        <v>0</v>
      </c>
      <c r="CR2" s="310">
        <v>0</v>
      </c>
      <c r="CS2" s="310">
        <v>0</v>
      </c>
      <c r="CT2" s="310">
        <v>0</v>
      </c>
      <c r="CU2" s="310">
        <v>0</v>
      </c>
      <c r="CV2" s="310">
        <v>0</v>
      </c>
      <c r="CW2" s="310">
        <v>0</v>
      </c>
      <c r="CX2" s="310">
        <v>0</v>
      </c>
      <c r="CY2" s="310">
        <v>0</v>
      </c>
      <c r="CZ2" s="310">
        <v>0</v>
      </c>
      <c r="DA2" s="310">
        <v>0</v>
      </c>
      <c r="DB2" s="310">
        <v>0</v>
      </c>
      <c r="DC2" s="310">
        <v>0</v>
      </c>
      <c r="DD2" s="310">
        <v>0</v>
      </c>
      <c r="DE2" s="310">
        <v>0</v>
      </c>
      <c r="DF2" s="310">
        <v>0</v>
      </c>
      <c r="DG2" s="310">
        <v>0</v>
      </c>
      <c r="DH2" s="310">
        <v>0</v>
      </c>
      <c r="DI2" s="310">
        <v>0</v>
      </c>
      <c r="DJ2" s="310">
        <v>0</v>
      </c>
      <c r="DK2" s="310">
        <v>0</v>
      </c>
      <c r="DL2" s="310">
        <v>0</v>
      </c>
      <c r="DM2" s="310">
        <v>0</v>
      </c>
      <c r="DN2" s="310">
        <v>0</v>
      </c>
      <c r="DO2" s="310">
        <v>0</v>
      </c>
      <c r="DP2" s="310">
        <v>0</v>
      </c>
      <c r="DQ2" s="310">
        <v>0</v>
      </c>
      <c r="DR2" s="310">
        <v>0</v>
      </c>
    </row>
    <row r="3" spans="1:122" x14ac:dyDescent="0.2">
      <c r="A3" s="307" t="s">
        <v>484</v>
      </c>
      <c r="B3" s="310">
        <v>1</v>
      </c>
      <c r="BI3" s="307" t="s">
        <v>673</v>
      </c>
      <c r="BJ3" s="310">
        <v>0</v>
      </c>
      <c r="BK3" s="310">
        <v>0</v>
      </c>
      <c r="BL3" s="310">
        <v>0</v>
      </c>
      <c r="BM3" s="310">
        <v>0</v>
      </c>
      <c r="BN3" s="310">
        <v>0</v>
      </c>
      <c r="BO3" s="310">
        <v>0</v>
      </c>
      <c r="BP3" s="310">
        <v>0</v>
      </c>
      <c r="BQ3" s="310">
        <v>0</v>
      </c>
      <c r="BR3" s="310">
        <v>0</v>
      </c>
      <c r="BS3" s="310">
        <v>0</v>
      </c>
      <c r="BT3" s="310">
        <v>0</v>
      </c>
      <c r="BU3" s="310">
        <v>0</v>
      </c>
      <c r="BV3" s="310">
        <v>0</v>
      </c>
      <c r="BW3" s="310">
        <v>0</v>
      </c>
      <c r="BX3" s="310">
        <v>0</v>
      </c>
      <c r="BY3" s="310">
        <v>0</v>
      </c>
      <c r="BZ3" s="310">
        <v>0</v>
      </c>
      <c r="CA3" s="310">
        <v>0</v>
      </c>
      <c r="CB3" s="310">
        <v>0</v>
      </c>
      <c r="CC3" s="310">
        <v>0</v>
      </c>
      <c r="CD3" s="310">
        <v>0</v>
      </c>
      <c r="CE3" s="310">
        <v>0</v>
      </c>
      <c r="CF3" s="310">
        <v>0</v>
      </c>
      <c r="CG3" s="310">
        <v>0</v>
      </c>
      <c r="CH3" s="310">
        <v>0</v>
      </c>
      <c r="CI3" s="310">
        <v>0</v>
      </c>
      <c r="CJ3" s="310">
        <v>0</v>
      </c>
      <c r="CK3" s="310">
        <v>0</v>
      </c>
      <c r="CL3" s="310">
        <v>0</v>
      </c>
      <c r="CO3" s="307" t="s">
        <v>673</v>
      </c>
      <c r="CP3" s="310">
        <v>0</v>
      </c>
      <c r="CQ3" s="310">
        <v>0</v>
      </c>
      <c r="CR3" s="310">
        <v>0</v>
      </c>
      <c r="CS3" s="310">
        <v>0</v>
      </c>
      <c r="CT3" s="310">
        <v>0</v>
      </c>
      <c r="CU3" s="310">
        <v>0</v>
      </c>
      <c r="CV3" s="310">
        <v>0</v>
      </c>
      <c r="CW3" s="310">
        <v>0</v>
      </c>
      <c r="CX3" s="310">
        <v>0</v>
      </c>
      <c r="CY3" s="310">
        <v>0</v>
      </c>
      <c r="CZ3" s="310">
        <v>0</v>
      </c>
      <c r="DA3" s="310">
        <v>0</v>
      </c>
      <c r="DB3" s="310">
        <v>0</v>
      </c>
      <c r="DC3" s="310">
        <v>0</v>
      </c>
      <c r="DD3" s="310">
        <v>0</v>
      </c>
      <c r="DE3" s="310">
        <v>0</v>
      </c>
      <c r="DF3" s="310">
        <v>0</v>
      </c>
      <c r="DG3" s="310">
        <v>0</v>
      </c>
      <c r="DH3" s="310">
        <v>0</v>
      </c>
      <c r="DI3" s="310">
        <v>0</v>
      </c>
      <c r="DJ3" s="310">
        <v>0</v>
      </c>
      <c r="DK3" s="310">
        <v>0</v>
      </c>
      <c r="DL3" s="310">
        <v>0</v>
      </c>
      <c r="DM3" s="310">
        <v>0</v>
      </c>
      <c r="DN3" s="310">
        <v>0</v>
      </c>
      <c r="DO3" s="310">
        <v>0</v>
      </c>
      <c r="DP3" s="310">
        <v>0</v>
      </c>
      <c r="DQ3" s="310">
        <v>0</v>
      </c>
      <c r="DR3" s="310">
        <v>0</v>
      </c>
    </row>
    <row r="4" spans="1:122" x14ac:dyDescent="0.2">
      <c r="A4" s="307" t="s">
        <v>673</v>
      </c>
      <c r="B4" s="310">
        <v>1</v>
      </c>
      <c r="BI4" s="307" t="s">
        <v>421</v>
      </c>
      <c r="BJ4" s="310">
        <v>0</v>
      </c>
      <c r="BK4" s="310">
        <v>0</v>
      </c>
      <c r="BL4" s="310">
        <v>0</v>
      </c>
      <c r="BM4" s="310">
        <v>0</v>
      </c>
      <c r="BN4" s="310">
        <v>0</v>
      </c>
      <c r="BO4" s="310">
        <v>0</v>
      </c>
      <c r="BP4" s="310">
        <v>0</v>
      </c>
      <c r="BQ4" s="310">
        <v>0</v>
      </c>
      <c r="BR4" s="310">
        <v>0</v>
      </c>
      <c r="BS4" s="310">
        <v>0</v>
      </c>
      <c r="BT4" s="310">
        <v>0</v>
      </c>
      <c r="BU4" s="310">
        <v>0</v>
      </c>
      <c r="BV4" s="310">
        <v>0</v>
      </c>
      <c r="BW4" s="310">
        <v>0</v>
      </c>
      <c r="BX4" s="310">
        <v>0</v>
      </c>
      <c r="BY4" s="310">
        <v>0</v>
      </c>
      <c r="BZ4" s="310">
        <v>0</v>
      </c>
      <c r="CA4" s="310">
        <v>0</v>
      </c>
      <c r="CB4" s="310">
        <v>0</v>
      </c>
      <c r="CC4" s="310">
        <v>0</v>
      </c>
      <c r="CD4" s="310">
        <v>0</v>
      </c>
      <c r="CE4" s="310">
        <v>0</v>
      </c>
      <c r="CF4" s="310">
        <v>0</v>
      </c>
      <c r="CG4" s="310">
        <v>0</v>
      </c>
      <c r="CH4" s="310">
        <v>0</v>
      </c>
      <c r="CI4" s="310">
        <v>0</v>
      </c>
      <c r="CJ4" s="310">
        <v>0</v>
      </c>
      <c r="CK4" s="310">
        <v>0</v>
      </c>
      <c r="CL4" s="310">
        <v>0</v>
      </c>
      <c r="CO4" s="307" t="s">
        <v>421</v>
      </c>
      <c r="CP4" s="310">
        <v>0</v>
      </c>
      <c r="CQ4" s="310">
        <v>0</v>
      </c>
      <c r="CR4" s="310">
        <v>0</v>
      </c>
      <c r="CS4" s="310">
        <v>0</v>
      </c>
      <c r="CT4" s="310">
        <v>0</v>
      </c>
      <c r="CU4" s="310">
        <v>0</v>
      </c>
      <c r="CV4" s="310">
        <v>0</v>
      </c>
      <c r="CW4" s="310">
        <v>0</v>
      </c>
      <c r="CX4" s="310">
        <v>0</v>
      </c>
      <c r="CY4" s="310">
        <v>0</v>
      </c>
      <c r="CZ4" s="310">
        <v>0</v>
      </c>
      <c r="DA4" s="310">
        <v>0</v>
      </c>
      <c r="DB4" s="310">
        <v>0</v>
      </c>
      <c r="DC4" s="310">
        <v>0</v>
      </c>
      <c r="DD4" s="310">
        <v>0</v>
      </c>
      <c r="DE4" s="310">
        <v>0</v>
      </c>
      <c r="DF4" s="310">
        <v>0</v>
      </c>
      <c r="DG4" s="310">
        <v>0</v>
      </c>
      <c r="DH4" s="310">
        <v>0</v>
      </c>
      <c r="DI4" s="310">
        <v>0</v>
      </c>
      <c r="DJ4" s="310">
        <v>0</v>
      </c>
      <c r="DK4" s="310">
        <v>0</v>
      </c>
      <c r="DL4" s="310">
        <v>0</v>
      </c>
      <c r="DM4" s="310">
        <v>0</v>
      </c>
      <c r="DN4" s="310">
        <v>0</v>
      </c>
      <c r="DO4" s="310">
        <v>0</v>
      </c>
      <c r="DP4" s="310">
        <v>0</v>
      </c>
      <c r="DQ4" s="310">
        <v>0</v>
      </c>
      <c r="DR4" s="310">
        <v>0</v>
      </c>
    </row>
    <row r="5" spans="1:122" x14ac:dyDescent="0.2">
      <c r="A5" s="307" t="s">
        <v>421</v>
      </c>
      <c r="B5" s="310">
        <v>1</v>
      </c>
      <c r="BI5" s="307" t="s">
        <v>447</v>
      </c>
      <c r="BJ5" s="310">
        <v>0</v>
      </c>
      <c r="BK5" s="310">
        <v>0</v>
      </c>
      <c r="BL5" s="310">
        <v>0</v>
      </c>
      <c r="BM5" s="310">
        <v>0</v>
      </c>
      <c r="BN5" s="310">
        <v>0</v>
      </c>
      <c r="BO5" s="310">
        <v>0</v>
      </c>
      <c r="BP5" s="310">
        <v>0</v>
      </c>
      <c r="BQ5" s="310">
        <v>0</v>
      </c>
      <c r="BR5" s="310">
        <v>0</v>
      </c>
      <c r="BS5" s="310">
        <v>0</v>
      </c>
      <c r="BT5" s="310">
        <v>0</v>
      </c>
      <c r="BU5" s="310">
        <v>0</v>
      </c>
      <c r="BV5" s="310">
        <v>0</v>
      </c>
      <c r="BW5" s="310">
        <v>0</v>
      </c>
      <c r="BX5" s="310">
        <v>0</v>
      </c>
      <c r="BY5" s="310">
        <v>0</v>
      </c>
      <c r="BZ5" s="310">
        <v>0</v>
      </c>
      <c r="CA5" s="310">
        <v>0</v>
      </c>
      <c r="CB5" s="310">
        <v>0</v>
      </c>
      <c r="CC5" s="310">
        <v>0</v>
      </c>
      <c r="CD5" s="310">
        <v>0</v>
      </c>
      <c r="CE5" s="310">
        <v>0</v>
      </c>
      <c r="CF5" s="310">
        <v>0</v>
      </c>
      <c r="CG5" s="310">
        <v>0</v>
      </c>
      <c r="CH5" s="310">
        <v>0</v>
      </c>
      <c r="CI5" s="310">
        <v>0</v>
      </c>
      <c r="CJ5" s="310">
        <v>0</v>
      </c>
      <c r="CK5" s="310">
        <v>0</v>
      </c>
      <c r="CL5" s="310">
        <v>0</v>
      </c>
      <c r="CO5" s="307" t="s">
        <v>447</v>
      </c>
      <c r="CP5" s="310">
        <v>0</v>
      </c>
      <c r="CQ5" s="310">
        <v>0</v>
      </c>
      <c r="CR5" s="310">
        <v>0</v>
      </c>
      <c r="CS5" s="310">
        <v>0</v>
      </c>
      <c r="CT5" s="310">
        <v>0</v>
      </c>
      <c r="CU5" s="310">
        <v>0</v>
      </c>
      <c r="CV5" s="310">
        <v>0</v>
      </c>
      <c r="CW5" s="310">
        <v>0</v>
      </c>
      <c r="CX5" s="310">
        <v>0</v>
      </c>
      <c r="CY5" s="310">
        <v>0</v>
      </c>
      <c r="CZ5" s="310">
        <v>0</v>
      </c>
      <c r="DA5" s="310">
        <v>0</v>
      </c>
      <c r="DB5" s="310">
        <v>0</v>
      </c>
      <c r="DC5" s="310">
        <v>0</v>
      </c>
      <c r="DD5" s="310">
        <v>0</v>
      </c>
      <c r="DE5" s="310">
        <v>0</v>
      </c>
      <c r="DF5" s="310">
        <v>0</v>
      </c>
      <c r="DG5" s="310">
        <v>0</v>
      </c>
      <c r="DH5" s="310">
        <v>0</v>
      </c>
      <c r="DI5" s="310">
        <v>0</v>
      </c>
      <c r="DJ5" s="310">
        <v>0</v>
      </c>
      <c r="DK5" s="310">
        <v>0</v>
      </c>
      <c r="DL5" s="310">
        <v>0</v>
      </c>
      <c r="DM5" s="310">
        <v>0</v>
      </c>
      <c r="DN5" s="310">
        <v>0</v>
      </c>
      <c r="DO5" s="310">
        <v>0</v>
      </c>
      <c r="DP5" s="310">
        <v>0</v>
      </c>
      <c r="DQ5" s="310">
        <v>0</v>
      </c>
      <c r="DR5" s="310">
        <v>0</v>
      </c>
    </row>
    <row r="6" spans="1:122" x14ac:dyDescent="0.2">
      <c r="A6" s="307" t="s">
        <v>695</v>
      </c>
      <c r="B6" s="310">
        <v>1</v>
      </c>
      <c r="BI6" s="307" t="s">
        <v>445</v>
      </c>
      <c r="BJ6" s="310">
        <v>0</v>
      </c>
      <c r="BK6" s="310">
        <v>0</v>
      </c>
      <c r="BL6" s="310">
        <v>0</v>
      </c>
      <c r="BM6" s="310">
        <v>0</v>
      </c>
      <c r="BN6" s="310">
        <v>0</v>
      </c>
      <c r="BO6" s="310">
        <v>0</v>
      </c>
      <c r="BP6" s="310">
        <v>0</v>
      </c>
      <c r="BQ6" s="310">
        <v>0</v>
      </c>
      <c r="BR6" s="310">
        <v>0</v>
      </c>
      <c r="BS6" s="310">
        <v>0</v>
      </c>
      <c r="BT6" s="310">
        <v>0</v>
      </c>
      <c r="BU6" s="310">
        <v>0</v>
      </c>
      <c r="BV6" s="310">
        <v>0</v>
      </c>
      <c r="BW6" s="310">
        <v>0</v>
      </c>
      <c r="BX6" s="310">
        <v>0</v>
      </c>
      <c r="BY6" s="310">
        <v>0</v>
      </c>
      <c r="BZ6" s="310">
        <v>0</v>
      </c>
      <c r="CA6" s="310">
        <v>0</v>
      </c>
      <c r="CB6" s="310">
        <v>0</v>
      </c>
      <c r="CC6" s="310">
        <v>0</v>
      </c>
      <c r="CD6" s="310">
        <v>0</v>
      </c>
      <c r="CE6" s="310">
        <v>0</v>
      </c>
      <c r="CF6" s="310">
        <v>0</v>
      </c>
      <c r="CG6" s="310">
        <v>0</v>
      </c>
      <c r="CH6" s="310">
        <v>0</v>
      </c>
      <c r="CI6" s="310">
        <v>0</v>
      </c>
      <c r="CJ6" s="310">
        <v>0</v>
      </c>
      <c r="CK6" s="310">
        <v>0</v>
      </c>
      <c r="CL6" s="310">
        <v>0</v>
      </c>
      <c r="CO6" s="307" t="s">
        <v>445</v>
      </c>
      <c r="CP6" s="310">
        <v>0</v>
      </c>
      <c r="CQ6" s="310">
        <v>0</v>
      </c>
      <c r="CR6" s="310">
        <v>0</v>
      </c>
      <c r="CS6" s="310">
        <v>0</v>
      </c>
      <c r="CT6" s="310">
        <v>0</v>
      </c>
      <c r="CU6" s="310">
        <v>0</v>
      </c>
      <c r="CV6" s="310">
        <v>0</v>
      </c>
      <c r="CW6" s="310">
        <v>0</v>
      </c>
      <c r="CX6" s="310">
        <v>0</v>
      </c>
      <c r="CY6" s="310">
        <v>0</v>
      </c>
      <c r="CZ6" s="310">
        <v>0</v>
      </c>
      <c r="DA6" s="310">
        <v>0</v>
      </c>
      <c r="DB6" s="310">
        <v>0</v>
      </c>
      <c r="DC6" s="310">
        <v>0</v>
      </c>
      <c r="DD6" s="310">
        <v>0</v>
      </c>
      <c r="DE6" s="310">
        <v>0</v>
      </c>
      <c r="DF6" s="310">
        <v>0</v>
      </c>
      <c r="DG6" s="310">
        <v>0</v>
      </c>
      <c r="DH6" s="310">
        <v>0</v>
      </c>
      <c r="DI6" s="310">
        <v>0</v>
      </c>
      <c r="DJ6" s="310">
        <v>0</v>
      </c>
      <c r="DK6" s="310">
        <v>0</v>
      </c>
      <c r="DL6" s="310">
        <v>0</v>
      </c>
      <c r="DM6" s="310">
        <v>0</v>
      </c>
      <c r="DN6" s="310">
        <v>0</v>
      </c>
      <c r="DO6" s="310">
        <v>0</v>
      </c>
      <c r="DP6" s="310">
        <v>0</v>
      </c>
      <c r="DQ6" s="310">
        <v>0</v>
      </c>
      <c r="DR6" s="310">
        <v>0</v>
      </c>
    </row>
    <row r="7" spans="1:122" x14ac:dyDescent="0.2">
      <c r="A7" s="307" t="s">
        <v>696</v>
      </c>
      <c r="B7" s="310">
        <v>1</v>
      </c>
      <c r="BI7" s="307" t="s">
        <v>456</v>
      </c>
      <c r="BJ7" s="310">
        <v>0</v>
      </c>
      <c r="BK7" s="310">
        <v>0</v>
      </c>
      <c r="BL7" s="310">
        <v>0</v>
      </c>
      <c r="BM7" s="310">
        <v>0</v>
      </c>
      <c r="BN7" s="310">
        <v>0</v>
      </c>
      <c r="BO7" s="310">
        <v>0</v>
      </c>
      <c r="BP7" s="310">
        <v>0</v>
      </c>
      <c r="BQ7" s="310">
        <v>0</v>
      </c>
      <c r="BR7" s="310">
        <v>0</v>
      </c>
      <c r="BS7" s="310">
        <v>0</v>
      </c>
      <c r="BT7" s="310">
        <v>0</v>
      </c>
      <c r="BU7" s="310">
        <v>0</v>
      </c>
      <c r="BV7" s="310">
        <v>0</v>
      </c>
      <c r="BW7" s="310">
        <v>0</v>
      </c>
      <c r="BX7" s="310">
        <v>0</v>
      </c>
      <c r="BY7" s="310">
        <v>0</v>
      </c>
      <c r="BZ7" s="310">
        <v>0</v>
      </c>
      <c r="CA7" s="310">
        <v>0</v>
      </c>
      <c r="CB7" s="310">
        <v>0</v>
      </c>
      <c r="CC7" s="310">
        <v>0</v>
      </c>
      <c r="CD7" s="310">
        <v>0</v>
      </c>
      <c r="CE7" s="310">
        <v>0</v>
      </c>
      <c r="CF7" s="310">
        <v>0</v>
      </c>
      <c r="CG7" s="310">
        <v>0</v>
      </c>
      <c r="CH7" s="310">
        <v>0</v>
      </c>
      <c r="CI7" s="310">
        <v>0</v>
      </c>
      <c r="CJ7" s="310">
        <v>0</v>
      </c>
      <c r="CK7" s="310">
        <v>0</v>
      </c>
      <c r="CL7" s="310">
        <v>0</v>
      </c>
      <c r="CO7" s="307" t="s">
        <v>456</v>
      </c>
      <c r="CP7" s="310">
        <v>0</v>
      </c>
      <c r="CQ7" s="310">
        <v>0</v>
      </c>
      <c r="CR7" s="310">
        <v>0</v>
      </c>
      <c r="CS7" s="310">
        <v>0</v>
      </c>
      <c r="CT7" s="310">
        <v>0</v>
      </c>
      <c r="CU7" s="310">
        <v>0</v>
      </c>
      <c r="CV7" s="310">
        <v>0</v>
      </c>
      <c r="CW7" s="310">
        <v>0</v>
      </c>
      <c r="CX7" s="310">
        <v>0</v>
      </c>
      <c r="CY7" s="310">
        <v>0</v>
      </c>
      <c r="CZ7" s="310">
        <v>0</v>
      </c>
      <c r="DA7" s="310">
        <v>0</v>
      </c>
      <c r="DB7" s="310">
        <v>0</v>
      </c>
      <c r="DC7" s="310">
        <v>0</v>
      </c>
      <c r="DD7" s="310">
        <v>0</v>
      </c>
      <c r="DE7" s="310">
        <v>0</v>
      </c>
      <c r="DF7" s="310">
        <v>0</v>
      </c>
      <c r="DG7" s="310">
        <v>0</v>
      </c>
      <c r="DH7" s="310">
        <v>0</v>
      </c>
      <c r="DI7" s="310">
        <v>0</v>
      </c>
      <c r="DJ7" s="310">
        <v>0</v>
      </c>
      <c r="DK7" s="310">
        <v>0</v>
      </c>
      <c r="DL7" s="310">
        <v>0</v>
      </c>
      <c r="DM7" s="310">
        <v>0</v>
      </c>
      <c r="DN7" s="310">
        <v>0</v>
      </c>
      <c r="DO7" s="310">
        <v>0</v>
      </c>
      <c r="DP7" s="310">
        <v>0</v>
      </c>
      <c r="DQ7" s="310">
        <v>0</v>
      </c>
      <c r="DR7" s="310">
        <v>0</v>
      </c>
    </row>
    <row r="8" spans="1:122" x14ac:dyDescent="0.2">
      <c r="A8" s="307" t="s">
        <v>697</v>
      </c>
      <c r="B8" s="310">
        <v>1</v>
      </c>
      <c r="BI8" s="307" t="s">
        <v>430</v>
      </c>
      <c r="BJ8" s="310">
        <v>0</v>
      </c>
      <c r="BK8" s="310">
        <v>0</v>
      </c>
      <c r="BL8" s="310">
        <v>0</v>
      </c>
      <c r="BM8" s="310">
        <v>0</v>
      </c>
      <c r="BN8" s="310">
        <v>0</v>
      </c>
      <c r="BO8" s="310">
        <v>0</v>
      </c>
      <c r="BP8" s="310">
        <v>0</v>
      </c>
      <c r="BQ8" s="310">
        <v>0</v>
      </c>
      <c r="BR8" s="310">
        <v>0</v>
      </c>
      <c r="BS8" s="310">
        <v>0</v>
      </c>
      <c r="BT8" s="310">
        <v>0</v>
      </c>
      <c r="BU8" s="310">
        <v>0</v>
      </c>
      <c r="BV8" s="310">
        <v>0</v>
      </c>
      <c r="BW8" s="310">
        <v>0</v>
      </c>
      <c r="BX8" s="310">
        <v>0</v>
      </c>
      <c r="BY8" s="310">
        <v>0</v>
      </c>
      <c r="BZ8" s="310">
        <v>0</v>
      </c>
      <c r="CA8" s="310">
        <v>0</v>
      </c>
      <c r="CB8" s="310">
        <v>0</v>
      </c>
      <c r="CC8" s="310">
        <v>0</v>
      </c>
      <c r="CD8" s="310">
        <v>0</v>
      </c>
      <c r="CE8" s="310">
        <v>0</v>
      </c>
      <c r="CF8" s="310">
        <v>0</v>
      </c>
      <c r="CG8" s="310">
        <v>0</v>
      </c>
      <c r="CH8" s="310">
        <v>0</v>
      </c>
      <c r="CI8" s="310">
        <v>0</v>
      </c>
      <c r="CJ8" s="310">
        <v>0</v>
      </c>
      <c r="CK8" s="310">
        <v>0</v>
      </c>
      <c r="CL8" s="310">
        <v>0</v>
      </c>
      <c r="CO8" s="307" t="s">
        <v>430</v>
      </c>
      <c r="CP8" s="310">
        <v>0</v>
      </c>
      <c r="CQ8" s="310">
        <v>0</v>
      </c>
      <c r="CR8" s="310">
        <v>0</v>
      </c>
      <c r="CS8" s="310">
        <v>0</v>
      </c>
      <c r="CT8" s="310">
        <v>0</v>
      </c>
      <c r="CU8" s="310">
        <v>0</v>
      </c>
      <c r="CV8" s="310">
        <v>0</v>
      </c>
      <c r="CW8" s="310">
        <v>0</v>
      </c>
      <c r="CX8" s="310">
        <v>0</v>
      </c>
      <c r="CY8" s="310">
        <v>0</v>
      </c>
      <c r="CZ8" s="310">
        <v>0</v>
      </c>
      <c r="DA8" s="310">
        <v>0</v>
      </c>
      <c r="DB8" s="310">
        <v>0</v>
      </c>
      <c r="DC8" s="310">
        <v>0</v>
      </c>
      <c r="DD8" s="310">
        <v>0</v>
      </c>
      <c r="DE8" s="310">
        <v>0</v>
      </c>
      <c r="DF8" s="310">
        <v>0</v>
      </c>
      <c r="DG8" s="310">
        <v>0</v>
      </c>
      <c r="DH8" s="310">
        <v>0</v>
      </c>
      <c r="DI8" s="310">
        <v>0</v>
      </c>
      <c r="DJ8" s="310">
        <v>0</v>
      </c>
      <c r="DK8" s="310">
        <v>0</v>
      </c>
      <c r="DL8" s="310">
        <v>0</v>
      </c>
      <c r="DM8" s="310">
        <v>0</v>
      </c>
      <c r="DN8" s="310">
        <v>0</v>
      </c>
      <c r="DO8" s="310">
        <v>0</v>
      </c>
      <c r="DP8" s="310">
        <v>0</v>
      </c>
      <c r="DQ8" s="310">
        <v>0</v>
      </c>
      <c r="DR8" s="310">
        <v>0</v>
      </c>
    </row>
    <row r="9" spans="1:122" x14ac:dyDescent="0.2">
      <c r="A9" s="307" t="s">
        <v>447</v>
      </c>
      <c r="B9" s="310">
        <v>1</v>
      </c>
      <c r="BI9" s="307" t="s">
        <v>433</v>
      </c>
      <c r="BJ9" s="310">
        <v>0</v>
      </c>
      <c r="BK9" s="310">
        <v>0</v>
      </c>
      <c r="BL9" s="310">
        <v>0</v>
      </c>
      <c r="BM9" s="310">
        <v>0</v>
      </c>
      <c r="BN9" s="310">
        <v>0</v>
      </c>
      <c r="BO9" s="310">
        <v>0</v>
      </c>
      <c r="BP9" s="310">
        <v>0</v>
      </c>
      <c r="BQ9" s="310">
        <v>0</v>
      </c>
      <c r="BR9" s="310">
        <v>0</v>
      </c>
      <c r="BS9" s="310">
        <v>0</v>
      </c>
      <c r="BT9" s="310">
        <v>0</v>
      </c>
      <c r="BU9" s="310">
        <v>0</v>
      </c>
      <c r="BV9" s="310">
        <v>0</v>
      </c>
      <c r="BW9" s="310">
        <v>0</v>
      </c>
      <c r="BX9" s="310">
        <v>0</v>
      </c>
      <c r="BY9" s="310">
        <v>0</v>
      </c>
      <c r="BZ9" s="310">
        <v>0</v>
      </c>
      <c r="CA9" s="310">
        <v>0</v>
      </c>
      <c r="CB9" s="310">
        <v>0</v>
      </c>
      <c r="CC9" s="310">
        <v>0</v>
      </c>
      <c r="CD9" s="310">
        <v>0</v>
      </c>
      <c r="CE9" s="310">
        <v>0</v>
      </c>
      <c r="CF9" s="310">
        <v>0</v>
      </c>
      <c r="CG9" s="310">
        <v>0</v>
      </c>
      <c r="CH9" s="310">
        <v>0</v>
      </c>
      <c r="CI9" s="310">
        <v>0</v>
      </c>
      <c r="CJ9" s="310">
        <v>0</v>
      </c>
      <c r="CK9" s="310">
        <v>0</v>
      </c>
      <c r="CL9" s="310">
        <v>0</v>
      </c>
      <c r="CO9" s="307" t="s">
        <v>433</v>
      </c>
      <c r="CP9" s="310">
        <v>0</v>
      </c>
      <c r="CQ9" s="310">
        <v>0</v>
      </c>
      <c r="CR9" s="310">
        <v>0</v>
      </c>
      <c r="CS9" s="310">
        <v>0</v>
      </c>
      <c r="CT9" s="310">
        <v>0</v>
      </c>
      <c r="CU9" s="310">
        <v>0</v>
      </c>
      <c r="CV9" s="310">
        <v>0</v>
      </c>
      <c r="CW9" s="310">
        <v>0</v>
      </c>
      <c r="CX9" s="310">
        <v>0</v>
      </c>
      <c r="CY9" s="310">
        <v>0</v>
      </c>
      <c r="CZ9" s="310">
        <v>0</v>
      </c>
      <c r="DA9" s="310">
        <v>0</v>
      </c>
      <c r="DB9" s="310">
        <v>0</v>
      </c>
      <c r="DC9" s="310">
        <v>0</v>
      </c>
      <c r="DD9" s="310">
        <v>0</v>
      </c>
      <c r="DE9" s="310">
        <v>0</v>
      </c>
      <c r="DF9" s="310">
        <v>0</v>
      </c>
      <c r="DG9" s="310">
        <v>0</v>
      </c>
      <c r="DH9" s="310">
        <v>0</v>
      </c>
      <c r="DI9" s="310">
        <v>0</v>
      </c>
      <c r="DJ9" s="310">
        <v>0</v>
      </c>
      <c r="DK9" s="310">
        <v>0</v>
      </c>
      <c r="DL9" s="310">
        <v>0</v>
      </c>
      <c r="DM9" s="310">
        <v>0</v>
      </c>
      <c r="DN9" s="310">
        <v>0</v>
      </c>
      <c r="DO9" s="310">
        <v>0</v>
      </c>
      <c r="DP9" s="310">
        <v>0</v>
      </c>
      <c r="DQ9" s="310">
        <v>0</v>
      </c>
      <c r="DR9" s="310">
        <v>0</v>
      </c>
    </row>
    <row r="10" spans="1:122" x14ac:dyDescent="0.2">
      <c r="A10" s="307" t="s">
        <v>445</v>
      </c>
      <c r="B10" s="310">
        <v>1</v>
      </c>
      <c r="BI10" s="307" t="s">
        <v>336</v>
      </c>
      <c r="BJ10" s="310">
        <v>0</v>
      </c>
      <c r="BK10" s="310">
        <v>0</v>
      </c>
      <c r="BL10" s="310">
        <v>0</v>
      </c>
      <c r="BM10" s="310">
        <v>0</v>
      </c>
      <c r="BN10" s="310">
        <v>0</v>
      </c>
      <c r="BO10" s="310">
        <v>0</v>
      </c>
      <c r="BP10" s="310">
        <v>0</v>
      </c>
      <c r="BQ10" s="310">
        <v>0</v>
      </c>
      <c r="BR10" s="310">
        <v>0</v>
      </c>
      <c r="BS10" s="310">
        <v>0</v>
      </c>
      <c r="BT10" s="310">
        <v>0</v>
      </c>
      <c r="BU10" s="310">
        <v>0</v>
      </c>
      <c r="BV10" s="310">
        <v>0</v>
      </c>
      <c r="BW10" s="310">
        <v>0</v>
      </c>
      <c r="BX10" s="310">
        <v>0</v>
      </c>
      <c r="BY10" s="310">
        <v>0</v>
      </c>
      <c r="BZ10" s="310">
        <v>0</v>
      </c>
      <c r="CA10" s="310">
        <v>0</v>
      </c>
      <c r="CB10" s="310">
        <v>0</v>
      </c>
      <c r="CC10" s="310">
        <v>0</v>
      </c>
      <c r="CD10" s="310">
        <v>0</v>
      </c>
      <c r="CE10" s="310">
        <v>0</v>
      </c>
      <c r="CF10" s="310">
        <v>0</v>
      </c>
      <c r="CG10" s="310">
        <v>0</v>
      </c>
      <c r="CH10" s="310">
        <v>0</v>
      </c>
      <c r="CI10" s="310">
        <v>0</v>
      </c>
      <c r="CJ10" s="310">
        <v>0</v>
      </c>
      <c r="CK10" s="310">
        <v>0</v>
      </c>
      <c r="CL10" s="310">
        <v>0</v>
      </c>
      <c r="CO10" s="307" t="s">
        <v>336</v>
      </c>
      <c r="CP10" s="310">
        <v>0</v>
      </c>
      <c r="CQ10" s="310">
        <v>0</v>
      </c>
      <c r="CR10" s="310">
        <v>0</v>
      </c>
      <c r="CS10" s="310">
        <v>0</v>
      </c>
      <c r="CT10" s="310">
        <v>0</v>
      </c>
      <c r="CU10" s="310">
        <v>0</v>
      </c>
      <c r="CV10" s="310">
        <v>0</v>
      </c>
      <c r="CW10" s="310">
        <v>0</v>
      </c>
      <c r="CX10" s="310">
        <v>0</v>
      </c>
      <c r="CY10" s="310">
        <v>0</v>
      </c>
      <c r="CZ10" s="310">
        <v>0</v>
      </c>
      <c r="DA10" s="310">
        <v>0</v>
      </c>
      <c r="DB10" s="310">
        <v>0</v>
      </c>
      <c r="DC10" s="310">
        <v>0</v>
      </c>
      <c r="DD10" s="310">
        <v>0</v>
      </c>
      <c r="DE10" s="310">
        <v>0</v>
      </c>
      <c r="DF10" s="310">
        <v>0</v>
      </c>
      <c r="DG10" s="310">
        <v>0</v>
      </c>
      <c r="DH10" s="310">
        <v>0</v>
      </c>
      <c r="DI10" s="310">
        <v>0</v>
      </c>
      <c r="DJ10" s="310">
        <v>0</v>
      </c>
      <c r="DK10" s="310">
        <v>0</v>
      </c>
      <c r="DL10" s="310">
        <v>0</v>
      </c>
      <c r="DM10" s="310">
        <v>0</v>
      </c>
      <c r="DN10" s="310">
        <v>0</v>
      </c>
      <c r="DO10" s="310">
        <v>0</v>
      </c>
      <c r="DP10" s="310">
        <v>0</v>
      </c>
      <c r="DQ10" s="310">
        <v>0</v>
      </c>
      <c r="DR10" s="310">
        <v>0</v>
      </c>
    </row>
    <row r="11" spans="1:122" x14ac:dyDescent="0.2">
      <c r="A11" s="307" t="s">
        <v>698</v>
      </c>
      <c r="B11" s="310">
        <v>1</v>
      </c>
      <c r="BI11" s="307" t="s">
        <v>422</v>
      </c>
      <c r="BJ11" s="310">
        <v>0</v>
      </c>
      <c r="BK11" s="310">
        <v>0</v>
      </c>
      <c r="BL11" s="310">
        <v>0</v>
      </c>
      <c r="BM11" s="310">
        <v>0</v>
      </c>
      <c r="BN11" s="310">
        <v>0</v>
      </c>
      <c r="BO11" s="310">
        <v>0</v>
      </c>
      <c r="BP11" s="310">
        <v>0</v>
      </c>
      <c r="BQ11" s="310">
        <v>0</v>
      </c>
      <c r="BR11" s="310">
        <v>0</v>
      </c>
      <c r="BS11" s="310">
        <v>0</v>
      </c>
      <c r="BT11" s="310">
        <v>0</v>
      </c>
      <c r="BU11" s="310">
        <v>0</v>
      </c>
      <c r="BV11" s="310">
        <v>0</v>
      </c>
      <c r="BW11" s="310">
        <v>0</v>
      </c>
      <c r="BX11" s="310">
        <v>0</v>
      </c>
      <c r="BY11" s="310">
        <v>0</v>
      </c>
      <c r="BZ11" s="310">
        <v>0</v>
      </c>
      <c r="CA11" s="310">
        <v>0</v>
      </c>
      <c r="CB11" s="310">
        <v>0</v>
      </c>
      <c r="CC11" s="310">
        <v>0</v>
      </c>
      <c r="CD11" s="310">
        <v>0</v>
      </c>
      <c r="CE11" s="310">
        <v>0</v>
      </c>
      <c r="CF11" s="310">
        <v>0</v>
      </c>
      <c r="CG11" s="310">
        <v>0</v>
      </c>
      <c r="CH11" s="310">
        <v>0</v>
      </c>
      <c r="CI11" s="310">
        <v>0</v>
      </c>
      <c r="CJ11" s="310">
        <v>0</v>
      </c>
      <c r="CK11" s="310">
        <v>0</v>
      </c>
      <c r="CL11" s="310">
        <v>0</v>
      </c>
      <c r="CO11" s="307" t="s">
        <v>422</v>
      </c>
      <c r="CP11" s="310">
        <v>0</v>
      </c>
      <c r="CQ11" s="310">
        <v>0</v>
      </c>
      <c r="CR11" s="310">
        <v>0</v>
      </c>
      <c r="CS11" s="310">
        <v>0</v>
      </c>
      <c r="CT11" s="310">
        <v>0</v>
      </c>
      <c r="CU11" s="310">
        <v>0</v>
      </c>
      <c r="CV11" s="310">
        <v>0</v>
      </c>
      <c r="CW11" s="310">
        <v>0</v>
      </c>
      <c r="CX11" s="310">
        <v>0</v>
      </c>
      <c r="CY11" s="310">
        <v>0</v>
      </c>
      <c r="CZ11" s="310">
        <v>0</v>
      </c>
      <c r="DA11" s="310">
        <v>0</v>
      </c>
      <c r="DB11" s="310">
        <v>0</v>
      </c>
      <c r="DC11" s="310">
        <v>0</v>
      </c>
      <c r="DD11" s="310">
        <v>0</v>
      </c>
      <c r="DE11" s="310">
        <v>0</v>
      </c>
      <c r="DF11" s="310">
        <v>0</v>
      </c>
      <c r="DG11" s="310">
        <v>0</v>
      </c>
      <c r="DH11" s="310">
        <v>0</v>
      </c>
      <c r="DI11" s="310">
        <v>0</v>
      </c>
      <c r="DJ11" s="310">
        <v>0</v>
      </c>
      <c r="DK11" s="310">
        <v>0</v>
      </c>
      <c r="DL11" s="310">
        <v>0</v>
      </c>
      <c r="DM11" s="310">
        <v>0</v>
      </c>
      <c r="DN11" s="310">
        <v>0</v>
      </c>
      <c r="DO11" s="310">
        <v>0</v>
      </c>
      <c r="DP11" s="310">
        <v>0</v>
      </c>
      <c r="DQ11" s="310">
        <v>0</v>
      </c>
      <c r="DR11" s="310">
        <v>0</v>
      </c>
    </row>
    <row r="12" spans="1:122" x14ac:dyDescent="0.2">
      <c r="A12" s="307" t="s">
        <v>456</v>
      </c>
      <c r="B12" s="310">
        <v>1</v>
      </c>
      <c r="BI12" s="307" t="s">
        <v>674</v>
      </c>
      <c r="BJ12" s="310">
        <v>0</v>
      </c>
      <c r="BK12" s="310">
        <v>0</v>
      </c>
      <c r="BL12" s="310">
        <v>0</v>
      </c>
      <c r="BM12" s="310">
        <v>0</v>
      </c>
      <c r="BN12" s="310">
        <v>0</v>
      </c>
      <c r="BO12" s="310">
        <v>0</v>
      </c>
      <c r="BP12" s="310">
        <v>0</v>
      </c>
      <c r="BQ12" s="310">
        <v>0</v>
      </c>
      <c r="BR12" s="310">
        <v>0</v>
      </c>
      <c r="BS12" s="310">
        <v>0</v>
      </c>
      <c r="BT12" s="310">
        <v>0</v>
      </c>
      <c r="BU12" s="310">
        <v>0</v>
      </c>
      <c r="BV12" s="310">
        <v>0</v>
      </c>
      <c r="BW12" s="310">
        <v>0</v>
      </c>
      <c r="BX12" s="310">
        <v>0</v>
      </c>
      <c r="BY12" s="310">
        <v>0</v>
      </c>
      <c r="BZ12" s="310">
        <v>0</v>
      </c>
      <c r="CA12" s="310">
        <v>0</v>
      </c>
      <c r="CB12" s="310">
        <v>0</v>
      </c>
      <c r="CC12" s="310">
        <v>0</v>
      </c>
      <c r="CD12" s="310">
        <v>0</v>
      </c>
      <c r="CE12" s="310">
        <v>0</v>
      </c>
      <c r="CF12" s="310">
        <v>0</v>
      </c>
      <c r="CG12" s="310">
        <v>0</v>
      </c>
      <c r="CH12" s="310">
        <v>0</v>
      </c>
      <c r="CI12" s="310">
        <v>0</v>
      </c>
      <c r="CJ12" s="310">
        <v>0</v>
      </c>
      <c r="CK12" s="310">
        <v>0</v>
      </c>
      <c r="CL12" s="310">
        <v>0</v>
      </c>
      <c r="CO12" s="307" t="s">
        <v>674</v>
      </c>
      <c r="CP12" s="310">
        <v>0</v>
      </c>
      <c r="CQ12" s="310">
        <v>0</v>
      </c>
      <c r="CR12" s="310">
        <v>0</v>
      </c>
      <c r="CS12" s="310">
        <v>0</v>
      </c>
      <c r="CT12" s="310">
        <v>0</v>
      </c>
      <c r="CU12" s="310">
        <v>0</v>
      </c>
      <c r="CV12" s="310">
        <v>0</v>
      </c>
      <c r="CW12" s="310">
        <v>0</v>
      </c>
      <c r="CX12" s="310">
        <v>0</v>
      </c>
      <c r="CY12" s="310">
        <v>0</v>
      </c>
      <c r="CZ12" s="310">
        <v>0</v>
      </c>
      <c r="DA12" s="310">
        <v>0</v>
      </c>
      <c r="DB12" s="310">
        <v>0</v>
      </c>
      <c r="DC12" s="310">
        <v>0</v>
      </c>
      <c r="DD12" s="310">
        <v>0</v>
      </c>
      <c r="DE12" s="310">
        <v>0</v>
      </c>
      <c r="DF12" s="310">
        <v>0</v>
      </c>
      <c r="DG12" s="310">
        <v>0</v>
      </c>
      <c r="DH12" s="310">
        <v>0</v>
      </c>
      <c r="DI12" s="310">
        <v>0</v>
      </c>
      <c r="DJ12" s="310">
        <v>0</v>
      </c>
      <c r="DK12" s="310">
        <v>0</v>
      </c>
      <c r="DL12" s="310">
        <v>0</v>
      </c>
      <c r="DM12" s="310">
        <v>0</v>
      </c>
      <c r="DN12" s="310">
        <v>0</v>
      </c>
      <c r="DO12" s="310">
        <v>0</v>
      </c>
      <c r="DP12" s="310">
        <v>0</v>
      </c>
      <c r="DQ12" s="310">
        <v>0</v>
      </c>
      <c r="DR12" s="310">
        <v>0</v>
      </c>
    </row>
    <row r="13" spans="1:122" x14ac:dyDescent="0.2">
      <c r="A13" s="307" t="s">
        <v>430</v>
      </c>
      <c r="B13" s="310">
        <v>1</v>
      </c>
      <c r="BI13" s="307" t="s">
        <v>355</v>
      </c>
      <c r="BJ13" s="310">
        <v>0</v>
      </c>
      <c r="BK13" s="310">
        <v>0</v>
      </c>
      <c r="BL13" s="310">
        <v>0</v>
      </c>
      <c r="BM13" s="310">
        <v>0</v>
      </c>
      <c r="BN13" s="310">
        <v>0</v>
      </c>
      <c r="BO13" s="310">
        <v>0</v>
      </c>
      <c r="BP13" s="310">
        <v>0</v>
      </c>
      <c r="BQ13" s="310">
        <v>0</v>
      </c>
      <c r="BR13" s="310">
        <v>0</v>
      </c>
      <c r="BS13" s="310">
        <v>0</v>
      </c>
      <c r="BT13" s="310">
        <v>0</v>
      </c>
      <c r="BU13" s="310">
        <v>0</v>
      </c>
      <c r="BV13" s="310">
        <v>0</v>
      </c>
      <c r="BW13" s="310">
        <v>0</v>
      </c>
      <c r="BX13" s="310">
        <v>0</v>
      </c>
      <c r="BY13" s="310">
        <v>0</v>
      </c>
      <c r="BZ13" s="310">
        <v>0</v>
      </c>
      <c r="CA13" s="310">
        <v>0</v>
      </c>
      <c r="CB13" s="310">
        <v>0</v>
      </c>
      <c r="CC13" s="310">
        <v>0</v>
      </c>
      <c r="CD13" s="310">
        <v>0</v>
      </c>
      <c r="CE13" s="310">
        <v>0</v>
      </c>
      <c r="CF13" s="310">
        <v>0</v>
      </c>
      <c r="CG13" s="310">
        <v>0</v>
      </c>
      <c r="CH13" s="310">
        <v>0</v>
      </c>
      <c r="CI13" s="310">
        <v>0</v>
      </c>
      <c r="CJ13" s="310">
        <v>0</v>
      </c>
      <c r="CK13" s="310">
        <v>0</v>
      </c>
      <c r="CL13" s="310">
        <v>0</v>
      </c>
      <c r="CO13" s="307" t="s">
        <v>355</v>
      </c>
      <c r="CP13" s="310">
        <v>0</v>
      </c>
      <c r="CQ13" s="310">
        <v>0</v>
      </c>
      <c r="CR13" s="310">
        <v>0</v>
      </c>
      <c r="CS13" s="310">
        <v>0</v>
      </c>
      <c r="CT13" s="310">
        <v>0</v>
      </c>
      <c r="CU13" s="310">
        <v>0</v>
      </c>
      <c r="CV13" s="310">
        <v>0</v>
      </c>
      <c r="CW13" s="310">
        <v>0</v>
      </c>
      <c r="CX13" s="310">
        <v>0</v>
      </c>
      <c r="CY13" s="310">
        <v>0</v>
      </c>
      <c r="CZ13" s="310">
        <v>0</v>
      </c>
      <c r="DA13" s="310">
        <v>0</v>
      </c>
      <c r="DB13" s="310">
        <v>0</v>
      </c>
      <c r="DC13" s="310">
        <v>0</v>
      </c>
      <c r="DD13" s="310">
        <v>0</v>
      </c>
      <c r="DE13" s="310">
        <v>0</v>
      </c>
      <c r="DF13" s="310">
        <v>0</v>
      </c>
      <c r="DG13" s="310">
        <v>0</v>
      </c>
      <c r="DH13" s="310">
        <v>0</v>
      </c>
      <c r="DI13" s="310">
        <v>0</v>
      </c>
      <c r="DJ13" s="310">
        <v>0</v>
      </c>
      <c r="DK13" s="310">
        <v>0</v>
      </c>
      <c r="DL13" s="310">
        <v>0</v>
      </c>
      <c r="DM13" s="310">
        <v>0</v>
      </c>
      <c r="DN13" s="310">
        <v>0</v>
      </c>
      <c r="DO13" s="310">
        <v>0</v>
      </c>
      <c r="DP13" s="310">
        <v>0</v>
      </c>
      <c r="DQ13" s="310">
        <v>0</v>
      </c>
      <c r="DR13" s="310">
        <v>0</v>
      </c>
    </row>
    <row r="14" spans="1:122" x14ac:dyDescent="0.2">
      <c r="A14" s="307" t="s">
        <v>433</v>
      </c>
      <c r="B14" s="310">
        <v>1</v>
      </c>
      <c r="BI14" s="307" t="s">
        <v>416</v>
      </c>
      <c r="BJ14" s="310">
        <v>0</v>
      </c>
      <c r="BK14" s="310">
        <v>0</v>
      </c>
      <c r="BL14" s="310">
        <v>0</v>
      </c>
      <c r="BM14" s="310">
        <v>0</v>
      </c>
      <c r="BN14" s="310">
        <v>0</v>
      </c>
      <c r="BO14" s="310">
        <v>0</v>
      </c>
      <c r="BP14" s="310">
        <v>0</v>
      </c>
      <c r="BQ14" s="310">
        <v>0</v>
      </c>
      <c r="BR14" s="310">
        <v>0</v>
      </c>
      <c r="BS14" s="310">
        <v>0</v>
      </c>
      <c r="BT14" s="310">
        <v>0</v>
      </c>
      <c r="BU14" s="310">
        <v>0</v>
      </c>
      <c r="BV14" s="310">
        <v>0</v>
      </c>
      <c r="BW14" s="310">
        <v>0</v>
      </c>
      <c r="BX14" s="310">
        <v>0</v>
      </c>
      <c r="BY14" s="310">
        <v>0</v>
      </c>
      <c r="BZ14" s="310">
        <v>0</v>
      </c>
      <c r="CA14" s="310">
        <v>0</v>
      </c>
      <c r="CB14" s="310">
        <v>0</v>
      </c>
      <c r="CC14" s="310">
        <v>0</v>
      </c>
      <c r="CD14" s="310">
        <v>0</v>
      </c>
      <c r="CE14" s="310">
        <v>0</v>
      </c>
      <c r="CF14" s="310">
        <v>0</v>
      </c>
      <c r="CG14" s="310">
        <v>0</v>
      </c>
      <c r="CH14" s="310">
        <v>0</v>
      </c>
      <c r="CI14" s="310">
        <v>0</v>
      </c>
      <c r="CJ14" s="310">
        <v>0</v>
      </c>
      <c r="CK14" s="310">
        <v>0</v>
      </c>
      <c r="CL14" s="310">
        <v>0</v>
      </c>
      <c r="CO14" s="307" t="s">
        <v>416</v>
      </c>
      <c r="CP14" s="310">
        <v>0</v>
      </c>
      <c r="CQ14" s="310">
        <v>0</v>
      </c>
      <c r="CR14" s="310">
        <v>0</v>
      </c>
      <c r="CS14" s="310">
        <v>0</v>
      </c>
      <c r="CT14" s="310">
        <v>0</v>
      </c>
      <c r="CU14" s="310">
        <v>0</v>
      </c>
      <c r="CV14" s="310">
        <v>0</v>
      </c>
      <c r="CW14" s="310">
        <v>0</v>
      </c>
      <c r="CX14" s="310">
        <v>0</v>
      </c>
      <c r="CY14" s="310">
        <v>0</v>
      </c>
      <c r="CZ14" s="310">
        <v>0</v>
      </c>
      <c r="DA14" s="310">
        <v>0</v>
      </c>
      <c r="DB14" s="310">
        <v>0</v>
      </c>
      <c r="DC14" s="310">
        <v>0</v>
      </c>
      <c r="DD14" s="310">
        <v>0</v>
      </c>
      <c r="DE14" s="310">
        <v>0</v>
      </c>
      <c r="DF14" s="310">
        <v>0</v>
      </c>
      <c r="DG14" s="310">
        <v>0</v>
      </c>
      <c r="DH14" s="310">
        <v>0</v>
      </c>
      <c r="DI14" s="310">
        <v>0</v>
      </c>
      <c r="DJ14" s="310">
        <v>0</v>
      </c>
      <c r="DK14" s="310">
        <v>0</v>
      </c>
      <c r="DL14" s="310">
        <v>0</v>
      </c>
      <c r="DM14" s="310">
        <v>0</v>
      </c>
      <c r="DN14" s="310">
        <v>0</v>
      </c>
      <c r="DO14" s="310">
        <v>0</v>
      </c>
      <c r="DP14" s="310">
        <v>0</v>
      </c>
      <c r="DQ14" s="310">
        <v>0</v>
      </c>
      <c r="DR14" s="310">
        <v>0</v>
      </c>
    </row>
    <row r="15" spans="1:122" x14ac:dyDescent="0.2">
      <c r="A15" s="307" t="s">
        <v>336</v>
      </c>
      <c r="B15" s="310">
        <v>1</v>
      </c>
      <c r="BI15" s="307" t="s">
        <v>423</v>
      </c>
      <c r="BJ15" s="310">
        <v>0</v>
      </c>
      <c r="BK15" s="310">
        <v>0</v>
      </c>
      <c r="BL15" s="310">
        <v>0</v>
      </c>
      <c r="BM15" s="310">
        <v>0</v>
      </c>
      <c r="BN15" s="310">
        <v>0</v>
      </c>
      <c r="BO15" s="310">
        <v>0</v>
      </c>
      <c r="BP15" s="310">
        <v>0</v>
      </c>
      <c r="BQ15" s="310">
        <v>0</v>
      </c>
      <c r="BR15" s="310">
        <v>0</v>
      </c>
      <c r="BS15" s="310">
        <v>0</v>
      </c>
      <c r="BT15" s="310">
        <v>0</v>
      </c>
      <c r="BU15" s="310">
        <v>0</v>
      </c>
      <c r="BV15" s="310">
        <v>0</v>
      </c>
      <c r="BW15" s="310">
        <v>0</v>
      </c>
      <c r="BX15" s="310">
        <v>0</v>
      </c>
      <c r="BY15" s="310">
        <v>0</v>
      </c>
      <c r="BZ15" s="310">
        <v>0</v>
      </c>
      <c r="CA15" s="310">
        <v>0</v>
      </c>
      <c r="CB15" s="310">
        <v>0</v>
      </c>
      <c r="CC15" s="310">
        <v>0</v>
      </c>
      <c r="CD15" s="310">
        <v>0</v>
      </c>
      <c r="CE15" s="310">
        <v>0</v>
      </c>
      <c r="CF15" s="310">
        <v>0</v>
      </c>
      <c r="CG15" s="310">
        <v>0</v>
      </c>
      <c r="CH15" s="310">
        <v>0</v>
      </c>
      <c r="CI15" s="310">
        <v>0</v>
      </c>
      <c r="CJ15" s="310">
        <v>0</v>
      </c>
      <c r="CK15" s="310">
        <v>0</v>
      </c>
      <c r="CL15" s="310">
        <v>0</v>
      </c>
      <c r="CO15" s="307" t="s">
        <v>423</v>
      </c>
      <c r="CP15" s="310">
        <v>0</v>
      </c>
      <c r="CQ15" s="310">
        <v>0</v>
      </c>
      <c r="CR15" s="310">
        <v>0</v>
      </c>
      <c r="CS15" s="310">
        <v>0</v>
      </c>
      <c r="CT15" s="310">
        <v>0</v>
      </c>
      <c r="CU15" s="310">
        <v>0</v>
      </c>
      <c r="CV15" s="310">
        <v>0</v>
      </c>
      <c r="CW15" s="310">
        <v>0</v>
      </c>
      <c r="CX15" s="310">
        <v>0</v>
      </c>
      <c r="CY15" s="310">
        <v>0</v>
      </c>
      <c r="CZ15" s="310">
        <v>0</v>
      </c>
      <c r="DA15" s="310">
        <v>0</v>
      </c>
      <c r="DB15" s="310">
        <v>0</v>
      </c>
      <c r="DC15" s="310">
        <v>0</v>
      </c>
      <c r="DD15" s="310">
        <v>0</v>
      </c>
      <c r="DE15" s="310">
        <v>0</v>
      </c>
      <c r="DF15" s="310">
        <v>0</v>
      </c>
      <c r="DG15" s="310">
        <v>0</v>
      </c>
      <c r="DH15" s="310">
        <v>0</v>
      </c>
      <c r="DI15" s="310">
        <v>0</v>
      </c>
      <c r="DJ15" s="310">
        <v>0</v>
      </c>
      <c r="DK15" s="310">
        <v>0</v>
      </c>
      <c r="DL15" s="310">
        <v>0</v>
      </c>
      <c r="DM15" s="310">
        <v>0</v>
      </c>
      <c r="DN15" s="310">
        <v>0</v>
      </c>
      <c r="DO15" s="310">
        <v>0</v>
      </c>
      <c r="DP15" s="310">
        <v>0</v>
      </c>
      <c r="DQ15" s="310">
        <v>0</v>
      </c>
      <c r="DR15" s="310">
        <v>0</v>
      </c>
    </row>
    <row r="16" spans="1:122" x14ac:dyDescent="0.2">
      <c r="A16" s="307" t="s">
        <v>699</v>
      </c>
      <c r="B16" s="310">
        <v>1</v>
      </c>
      <c r="BI16" s="307" t="s">
        <v>409</v>
      </c>
      <c r="BJ16" s="310">
        <v>0</v>
      </c>
      <c r="BK16" s="310">
        <v>0</v>
      </c>
      <c r="BL16" s="310">
        <v>0</v>
      </c>
      <c r="BM16" s="310">
        <v>0</v>
      </c>
      <c r="BN16" s="310">
        <v>0</v>
      </c>
      <c r="BO16" s="310">
        <v>0</v>
      </c>
      <c r="BP16" s="310">
        <v>0</v>
      </c>
      <c r="BQ16" s="310">
        <v>0</v>
      </c>
      <c r="BR16" s="310">
        <v>0</v>
      </c>
      <c r="BS16" s="310">
        <v>0</v>
      </c>
      <c r="BT16" s="310">
        <v>0</v>
      </c>
      <c r="BU16" s="310">
        <v>0</v>
      </c>
      <c r="BV16" s="310">
        <v>0</v>
      </c>
      <c r="BW16" s="310">
        <v>0</v>
      </c>
      <c r="BX16" s="310">
        <v>0</v>
      </c>
      <c r="BY16" s="310">
        <v>0</v>
      </c>
      <c r="BZ16" s="310">
        <v>0</v>
      </c>
      <c r="CA16" s="310">
        <v>0</v>
      </c>
      <c r="CB16" s="310">
        <v>0</v>
      </c>
      <c r="CC16" s="310">
        <v>0</v>
      </c>
      <c r="CD16" s="310">
        <v>0</v>
      </c>
      <c r="CE16" s="310">
        <v>0</v>
      </c>
      <c r="CF16" s="310">
        <v>0</v>
      </c>
      <c r="CG16" s="310">
        <v>0</v>
      </c>
      <c r="CH16" s="310">
        <v>0</v>
      </c>
      <c r="CI16" s="310">
        <v>0</v>
      </c>
      <c r="CJ16" s="310">
        <v>0</v>
      </c>
      <c r="CK16" s="310">
        <v>0</v>
      </c>
      <c r="CL16" s="310">
        <v>0</v>
      </c>
      <c r="CO16" s="307" t="s">
        <v>409</v>
      </c>
      <c r="CP16" s="310">
        <v>0</v>
      </c>
      <c r="CQ16" s="310">
        <v>0</v>
      </c>
      <c r="CR16" s="310">
        <v>0</v>
      </c>
      <c r="CS16" s="310">
        <v>0</v>
      </c>
      <c r="CT16" s="310">
        <v>0</v>
      </c>
      <c r="CU16" s="310">
        <v>0</v>
      </c>
      <c r="CV16" s="310">
        <v>0</v>
      </c>
      <c r="CW16" s="310">
        <v>0</v>
      </c>
      <c r="CX16" s="310">
        <v>0</v>
      </c>
      <c r="CY16" s="310">
        <v>0</v>
      </c>
      <c r="CZ16" s="310">
        <v>0</v>
      </c>
      <c r="DA16" s="310">
        <v>0</v>
      </c>
      <c r="DB16" s="310">
        <v>0</v>
      </c>
      <c r="DC16" s="310">
        <v>0</v>
      </c>
      <c r="DD16" s="310">
        <v>0</v>
      </c>
      <c r="DE16" s="310">
        <v>0</v>
      </c>
      <c r="DF16" s="310">
        <v>0</v>
      </c>
      <c r="DG16" s="310">
        <v>0</v>
      </c>
      <c r="DH16" s="310">
        <v>0</v>
      </c>
      <c r="DI16" s="310">
        <v>0</v>
      </c>
      <c r="DJ16" s="310">
        <v>0</v>
      </c>
      <c r="DK16" s="310">
        <v>0</v>
      </c>
      <c r="DL16" s="310">
        <v>0</v>
      </c>
      <c r="DM16" s="310">
        <v>0</v>
      </c>
      <c r="DN16" s="310">
        <v>0</v>
      </c>
      <c r="DO16" s="310">
        <v>0</v>
      </c>
      <c r="DP16" s="310">
        <v>0</v>
      </c>
      <c r="DQ16" s="310">
        <v>0</v>
      </c>
      <c r="DR16" s="310">
        <v>0</v>
      </c>
    </row>
    <row r="17" spans="1:122" x14ac:dyDescent="0.2">
      <c r="A17" s="307" t="s">
        <v>700</v>
      </c>
      <c r="B17" s="310">
        <v>1</v>
      </c>
      <c r="BI17" s="307" t="s">
        <v>437</v>
      </c>
      <c r="BJ17" s="310">
        <v>0</v>
      </c>
      <c r="BK17" s="310">
        <v>0</v>
      </c>
      <c r="BL17" s="310">
        <v>0</v>
      </c>
      <c r="BM17" s="310">
        <v>0</v>
      </c>
      <c r="BN17" s="310">
        <v>0</v>
      </c>
      <c r="BO17" s="310">
        <v>0</v>
      </c>
      <c r="BP17" s="310">
        <v>0</v>
      </c>
      <c r="BQ17" s="310">
        <v>0</v>
      </c>
      <c r="BR17" s="310">
        <v>0</v>
      </c>
      <c r="BS17" s="310">
        <v>0</v>
      </c>
      <c r="BT17" s="310">
        <v>0</v>
      </c>
      <c r="BU17" s="310">
        <v>0</v>
      </c>
      <c r="BV17" s="310">
        <v>0</v>
      </c>
      <c r="BW17" s="310">
        <v>0</v>
      </c>
      <c r="BX17" s="310">
        <v>0</v>
      </c>
      <c r="BY17" s="310">
        <v>0</v>
      </c>
      <c r="BZ17" s="310">
        <v>0</v>
      </c>
      <c r="CA17" s="310">
        <v>0</v>
      </c>
      <c r="CB17" s="310">
        <v>0</v>
      </c>
      <c r="CC17" s="310">
        <v>0</v>
      </c>
      <c r="CD17" s="310">
        <v>0</v>
      </c>
      <c r="CE17" s="310">
        <v>0</v>
      </c>
      <c r="CF17" s="310">
        <v>0</v>
      </c>
      <c r="CG17" s="310">
        <v>0</v>
      </c>
      <c r="CH17" s="310">
        <v>0</v>
      </c>
      <c r="CI17" s="310">
        <v>0</v>
      </c>
      <c r="CJ17" s="310">
        <v>0</v>
      </c>
      <c r="CK17" s="310">
        <v>0</v>
      </c>
      <c r="CL17" s="310">
        <v>0</v>
      </c>
      <c r="CO17" s="307" t="s">
        <v>437</v>
      </c>
      <c r="CP17" s="310">
        <v>0</v>
      </c>
      <c r="CQ17" s="310">
        <v>0</v>
      </c>
      <c r="CR17" s="310">
        <v>0</v>
      </c>
      <c r="CS17" s="310">
        <v>0</v>
      </c>
      <c r="CT17" s="310">
        <v>0</v>
      </c>
      <c r="CU17" s="310">
        <v>0</v>
      </c>
      <c r="CV17" s="310">
        <v>0</v>
      </c>
      <c r="CW17" s="310">
        <v>0</v>
      </c>
      <c r="CX17" s="310">
        <v>0</v>
      </c>
      <c r="CY17" s="310">
        <v>0</v>
      </c>
      <c r="CZ17" s="310">
        <v>0</v>
      </c>
      <c r="DA17" s="310">
        <v>0</v>
      </c>
      <c r="DB17" s="310">
        <v>0</v>
      </c>
      <c r="DC17" s="310">
        <v>0</v>
      </c>
      <c r="DD17" s="310">
        <v>0</v>
      </c>
      <c r="DE17" s="310">
        <v>0</v>
      </c>
      <c r="DF17" s="310">
        <v>0</v>
      </c>
      <c r="DG17" s="310">
        <v>0</v>
      </c>
      <c r="DH17" s="310">
        <v>0</v>
      </c>
      <c r="DI17" s="310">
        <v>0</v>
      </c>
      <c r="DJ17" s="310">
        <v>0</v>
      </c>
      <c r="DK17" s="310">
        <v>0</v>
      </c>
      <c r="DL17" s="310">
        <v>0</v>
      </c>
      <c r="DM17" s="310">
        <v>0</v>
      </c>
      <c r="DN17" s="310">
        <v>0</v>
      </c>
      <c r="DO17" s="310">
        <v>0</v>
      </c>
      <c r="DP17" s="310">
        <v>0</v>
      </c>
      <c r="DQ17" s="310">
        <v>0</v>
      </c>
      <c r="DR17" s="310">
        <v>0</v>
      </c>
    </row>
    <row r="18" spans="1:122" x14ac:dyDescent="0.2">
      <c r="A18" s="307" t="s">
        <v>422</v>
      </c>
      <c r="B18" s="310">
        <v>1</v>
      </c>
      <c r="BI18" s="307" t="s">
        <v>675</v>
      </c>
      <c r="BJ18" s="310">
        <v>0</v>
      </c>
      <c r="BK18" s="310">
        <v>0</v>
      </c>
      <c r="BL18" s="310">
        <v>0</v>
      </c>
      <c r="BM18" s="310">
        <v>0</v>
      </c>
      <c r="BN18" s="310">
        <v>0</v>
      </c>
      <c r="BO18" s="310">
        <v>0</v>
      </c>
      <c r="BP18" s="310">
        <v>0</v>
      </c>
      <c r="BQ18" s="310">
        <v>0</v>
      </c>
      <c r="BR18" s="310">
        <v>0</v>
      </c>
      <c r="BS18" s="310">
        <v>0</v>
      </c>
      <c r="BT18" s="310">
        <v>0</v>
      </c>
      <c r="BU18" s="310">
        <v>0</v>
      </c>
      <c r="BV18" s="310">
        <v>0</v>
      </c>
      <c r="BW18" s="310">
        <v>0</v>
      </c>
      <c r="BX18" s="310">
        <v>0</v>
      </c>
      <c r="BY18" s="310">
        <v>0</v>
      </c>
      <c r="BZ18" s="310">
        <v>0</v>
      </c>
      <c r="CA18" s="310">
        <v>0</v>
      </c>
      <c r="CB18" s="310">
        <v>0</v>
      </c>
      <c r="CC18" s="310">
        <v>0</v>
      </c>
      <c r="CD18" s="310">
        <v>0</v>
      </c>
      <c r="CE18" s="310">
        <v>0</v>
      </c>
      <c r="CF18" s="310">
        <v>0</v>
      </c>
      <c r="CG18" s="310">
        <v>0</v>
      </c>
      <c r="CH18" s="310">
        <v>0</v>
      </c>
      <c r="CI18" s="310">
        <v>0</v>
      </c>
      <c r="CJ18" s="310">
        <v>0</v>
      </c>
      <c r="CK18" s="310">
        <v>0</v>
      </c>
      <c r="CL18" s="310">
        <v>0</v>
      </c>
      <c r="CO18" s="307" t="s">
        <v>675</v>
      </c>
      <c r="CP18" s="310">
        <v>0</v>
      </c>
      <c r="CQ18" s="310">
        <v>0</v>
      </c>
      <c r="CR18" s="310">
        <v>0</v>
      </c>
      <c r="CS18" s="310">
        <v>0</v>
      </c>
      <c r="CT18" s="310">
        <v>0</v>
      </c>
      <c r="CU18" s="310">
        <v>0</v>
      </c>
      <c r="CV18" s="310">
        <v>0</v>
      </c>
      <c r="CW18" s="310">
        <v>0</v>
      </c>
      <c r="CX18" s="310">
        <v>0</v>
      </c>
      <c r="CY18" s="310">
        <v>0</v>
      </c>
      <c r="CZ18" s="310">
        <v>0</v>
      </c>
      <c r="DA18" s="310">
        <v>0</v>
      </c>
      <c r="DB18" s="310">
        <v>0</v>
      </c>
      <c r="DC18" s="310">
        <v>0</v>
      </c>
      <c r="DD18" s="310">
        <v>0</v>
      </c>
      <c r="DE18" s="310">
        <v>0</v>
      </c>
      <c r="DF18" s="310">
        <v>0</v>
      </c>
      <c r="DG18" s="310">
        <v>0</v>
      </c>
      <c r="DH18" s="310">
        <v>0</v>
      </c>
      <c r="DI18" s="310">
        <v>0</v>
      </c>
      <c r="DJ18" s="310">
        <v>0</v>
      </c>
      <c r="DK18" s="310">
        <v>0</v>
      </c>
      <c r="DL18" s="310">
        <v>0</v>
      </c>
      <c r="DM18" s="310">
        <v>0</v>
      </c>
      <c r="DN18" s="310">
        <v>0</v>
      </c>
      <c r="DO18" s="310">
        <v>0</v>
      </c>
      <c r="DP18" s="310">
        <v>0</v>
      </c>
      <c r="DQ18" s="310">
        <v>0</v>
      </c>
      <c r="DR18" s="310">
        <v>0</v>
      </c>
    </row>
    <row r="19" spans="1:122" x14ac:dyDescent="0.2">
      <c r="A19" s="307" t="s">
        <v>701</v>
      </c>
      <c r="B19" s="310">
        <v>1</v>
      </c>
      <c r="BI19" s="307" t="s">
        <v>676</v>
      </c>
      <c r="BJ19" s="310">
        <v>0</v>
      </c>
      <c r="BK19" s="310">
        <v>0</v>
      </c>
      <c r="BL19" s="310">
        <v>0</v>
      </c>
      <c r="BM19" s="310">
        <v>0</v>
      </c>
      <c r="BN19" s="310">
        <v>0</v>
      </c>
      <c r="BO19" s="310">
        <v>0</v>
      </c>
      <c r="BP19" s="310">
        <v>0</v>
      </c>
      <c r="BQ19" s="310">
        <v>0</v>
      </c>
      <c r="BR19" s="310">
        <v>0</v>
      </c>
      <c r="BS19" s="310">
        <v>0</v>
      </c>
      <c r="BT19" s="310">
        <v>0</v>
      </c>
      <c r="BU19" s="310">
        <v>0</v>
      </c>
      <c r="BV19" s="310">
        <v>0</v>
      </c>
      <c r="BW19" s="310">
        <v>0</v>
      </c>
      <c r="BX19" s="310">
        <v>0</v>
      </c>
      <c r="BY19" s="310">
        <v>0</v>
      </c>
      <c r="BZ19" s="310">
        <v>0</v>
      </c>
      <c r="CA19" s="310">
        <v>0</v>
      </c>
      <c r="CB19" s="310">
        <v>0</v>
      </c>
      <c r="CC19" s="310">
        <v>0</v>
      </c>
      <c r="CD19" s="310">
        <v>0</v>
      </c>
      <c r="CE19" s="310">
        <v>0</v>
      </c>
      <c r="CF19" s="310">
        <v>0</v>
      </c>
      <c r="CG19" s="310">
        <v>0</v>
      </c>
      <c r="CH19" s="310">
        <v>0</v>
      </c>
      <c r="CI19" s="310">
        <v>0</v>
      </c>
      <c r="CJ19" s="310">
        <v>0</v>
      </c>
      <c r="CK19" s="310">
        <v>0</v>
      </c>
      <c r="CL19" s="310">
        <v>0</v>
      </c>
      <c r="CO19" s="307" t="s">
        <v>676</v>
      </c>
      <c r="CP19" s="310">
        <v>0</v>
      </c>
      <c r="CQ19" s="310">
        <v>0</v>
      </c>
      <c r="CR19" s="310">
        <v>0</v>
      </c>
      <c r="CS19" s="310">
        <v>0</v>
      </c>
      <c r="CT19" s="310">
        <v>0</v>
      </c>
      <c r="CU19" s="310">
        <v>0</v>
      </c>
      <c r="CV19" s="310">
        <v>0</v>
      </c>
      <c r="CW19" s="310">
        <v>0</v>
      </c>
      <c r="CX19" s="310">
        <v>0</v>
      </c>
      <c r="CY19" s="310">
        <v>0</v>
      </c>
      <c r="CZ19" s="310">
        <v>0</v>
      </c>
      <c r="DA19" s="310">
        <v>0</v>
      </c>
      <c r="DB19" s="310">
        <v>0</v>
      </c>
      <c r="DC19" s="310">
        <v>0</v>
      </c>
      <c r="DD19" s="310">
        <v>0</v>
      </c>
      <c r="DE19" s="310">
        <v>0</v>
      </c>
      <c r="DF19" s="310">
        <v>0</v>
      </c>
      <c r="DG19" s="310">
        <v>0</v>
      </c>
      <c r="DH19" s="310">
        <v>0</v>
      </c>
      <c r="DI19" s="310">
        <v>0</v>
      </c>
      <c r="DJ19" s="310">
        <v>0</v>
      </c>
      <c r="DK19" s="310">
        <v>0</v>
      </c>
      <c r="DL19" s="310">
        <v>0</v>
      </c>
      <c r="DM19" s="310">
        <v>0</v>
      </c>
      <c r="DN19" s="310">
        <v>0</v>
      </c>
      <c r="DO19" s="310">
        <v>0</v>
      </c>
      <c r="DP19" s="310">
        <v>0</v>
      </c>
      <c r="DQ19" s="310">
        <v>0</v>
      </c>
      <c r="DR19" s="310">
        <v>0</v>
      </c>
    </row>
    <row r="20" spans="1:122" x14ac:dyDescent="0.2">
      <c r="A20" s="307" t="s">
        <v>674</v>
      </c>
      <c r="B20" s="310">
        <v>1</v>
      </c>
      <c r="BI20" s="307" t="s">
        <v>342</v>
      </c>
      <c r="BJ20" s="310">
        <v>0</v>
      </c>
      <c r="BK20" s="310">
        <v>0</v>
      </c>
      <c r="BL20" s="310">
        <v>0</v>
      </c>
      <c r="BM20" s="310">
        <v>0</v>
      </c>
      <c r="BN20" s="310">
        <v>0</v>
      </c>
      <c r="BO20" s="310">
        <v>5820.7321553561396</v>
      </c>
      <c r="BP20" s="310">
        <v>0</v>
      </c>
      <c r="BQ20" s="310">
        <v>0</v>
      </c>
      <c r="BR20" s="310">
        <v>0</v>
      </c>
      <c r="BS20" s="310">
        <v>0</v>
      </c>
      <c r="BT20" s="310">
        <v>0</v>
      </c>
      <c r="BU20" s="310">
        <v>0</v>
      </c>
      <c r="BV20" s="310">
        <v>0</v>
      </c>
      <c r="BW20" s="310">
        <v>0</v>
      </c>
      <c r="BX20" s="310">
        <v>0</v>
      </c>
      <c r="BY20" s="310">
        <v>0</v>
      </c>
      <c r="BZ20" s="310">
        <v>67354.020465940004</v>
      </c>
      <c r="CA20" s="310">
        <v>0</v>
      </c>
      <c r="CB20" s="310">
        <v>0</v>
      </c>
      <c r="CC20" s="310">
        <v>0</v>
      </c>
      <c r="CD20" s="310">
        <v>0</v>
      </c>
      <c r="CE20" s="310">
        <v>0</v>
      </c>
      <c r="CF20" s="310">
        <v>0</v>
      </c>
      <c r="CG20" s="310">
        <v>0</v>
      </c>
      <c r="CH20" s="310">
        <v>0</v>
      </c>
      <c r="CI20" s="310">
        <v>0</v>
      </c>
      <c r="CJ20" s="310">
        <v>3155.63573488975</v>
      </c>
      <c r="CK20" s="310">
        <v>0</v>
      </c>
      <c r="CL20" s="310">
        <v>0</v>
      </c>
      <c r="CO20" s="307" t="s">
        <v>342</v>
      </c>
      <c r="CP20" s="310">
        <v>0</v>
      </c>
      <c r="CQ20" s="310">
        <v>0</v>
      </c>
      <c r="CR20" s="310">
        <v>0</v>
      </c>
      <c r="CS20" s="310">
        <v>0</v>
      </c>
      <c r="CT20" s="310">
        <v>0</v>
      </c>
      <c r="CU20" s="310">
        <v>1</v>
      </c>
      <c r="CV20" s="310">
        <v>0</v>
      </c>
      <c r="CW20" s="310">
        <v>0</v>
      </c>
      <c r="CX20" s="310">
        <v>0</v>
      </c>
      <c r="CY20" s="310">
        <v>0</v>
      </c>
      <c r="CZ20" s="310">
        <v>0</v>
      </c>
      <c r="DA20" s="310">
        <v>0</v>
      </c>
      <c r="DB20" s="310">
        <v>0</v>
      </c>
      <c r="DC20" s="310">
        <v>0</v>
      </c>
      <c r="DD20" s="310">
        <v>0</v>
      </c>
      <c r="DE20" s="310">
        <v>0</v>
      </c>
      <c r="DF20" s="310">
        <v>1</v>
      </c>
      <c r="DG20" s="310">
        <v>0</v>
      </c>
      <c r="DH20" s="310">
        <v>0</v>
      </c>
      <c r="DI20" s="310">
        <v>0</v>
      </c>
      <c r="DJ20" s="310">
        <v>0</v>
      </c>
      <c r="DK20" s="310">
        <v>0</v>
      </c>
      <c r="DL20" s="310">
        <v>0</v>
      </c>
      <c r="DM20" s="310">
        <v>0</v>
      </c>
      <c r="DN20" s="310">
        <v>0</v>
      </c>
      <c r="DO20" s="310">
        <v>0</v>
      </c>
      <c r="DP20" s="310">
        <v>1</v>
      </c>
      <c r="DQ20" s="310">
        <v>0</v>
      </c>
      <c r="DR20" s="310">
        <v>0</v>
      </c>
    </row>
    <row r="21" spans="1:122" x14ac:dyDescent="0.2">
      <c r="A21" s="307" t="s">
        <v>355</v>
      </c>
      <c r="B21" s="310">
        <v>1</v>
      </c>
      <c r="BI21" s="307" t="s">
        <v>448</v>
      </c>
      <c r="BJ21" s="310">
        <v>0</v>
      </c>
      <c r="BK21" s="310">
        <v>0</v>
      </c>
      <c r="BL21" s="310">
        <v>0</v>
      </c>
      <c r="BM21" s="310">
        <v>0</v>
      </c>
      <c r="BN21" s="310">
        <v>0</v>
      </c>
      <c r="BO21" s="310">
        <v>0</v>
      </c>
      <c r="BP21" s="310">
        <v>0</v>
      </c>
      <c r="BQ21" s="310">
        <v>0</v>
      </c>
      <c r="BR21" s="310">
        <v>0</v>
      </c>
      <c r="BS21" s="310">
        <v>0</v>
      </c>
      <c r="BT21" s="310">
        <v>0</v>
      </c>
      <c r="BU21" s="310">
        <v>0</v>
      </c>
      <c r="BV21" s="310">
        <v>0</v>
      </c>
      <c r="BW21" s="310">
        <v>0</v>
      </c>
      <c r="BX21" s="310">
        <v>0</v>
      </c>
      <c r="BY21" s="310">
        <v>0</v>
      </c>
      <c r="BZ21" s="310">
        <v>0</v>
      </c>
      <c r="CA21" s="310">
        <v>0</v>
      </c>
      <c r="CB21" s="310">
        <v>0</v>
      </c>
      <c r="CC21" s="310">
        <v>0</v>
      </c>
      <c r="CD21" s="310">
        <v>0</v>
      </c>
      <c r="CE21" s="310">
        <v>0</v>
      </c>
      <c r="CF21" s="310">
        <v>0</v>
      </c>
      <c r="CG21" s="310">
        <v>0</v>
      </c>
      <c r="CH21" s="310">
        <v>0</v>
      </c>
      <c r="CI21" s="310">
        <v>0</v>
      </c>
      <c r="CJ21" s="310">
        <v>0</v>
      </c>
      <c r="CK21" s="310">
        <v>0</v>
      </c>
      <c r="CL21" s="310">
        <v>0</v>
      </c>
      <c r="CO21" s="307" t="s">
        <v>448</v>
      </c>
      <c r="CP21" s="310">
        <v>0</v>
      </c>
      <c r="CQ21" s="310">
        <v>0</v>
      </c>
      <c r="CR21" s="310">
        <v>0</v>
      </c>
      <c r="CS21" s="310">
        <v>0</v>
      </c>
      <c r="CT21" s="310">
        <v>0</v>
      </c>
      <c r="CU21" s="310">
        <v>0</v>
      </c>
      <c r="CV21" s="310">
        <v>0</v>
      </c>
      <c r="CW21" s="310">
        <v>0</v>
      </c>
      <c r="CX21" s="310">
        <v>0</v>
      </c>
      <c r="CY21" s="310">
        <v>0</v>
      </c>
      <c r="CZ21" s="310">
        <v>0</v>
      </c>
      <c r="DA21" s="310">
        <v>0</v>
      </c>
      <c r="DB21" s="310">
        <v>0</v>
      </c>
      <c r="DC21" s="310">
        <v>0</v>
      </c>
      <c r="DD21" s="310">
        <v>0</v>
      </c>
      <c r="DE21" s="310">
        <v>0</v>
      </c>
      <c r="DF21" s="310">
        <v>0</v>
      </c>
      <c r="DG21" s="310">
        <v>0</v>
      </c>
      <c r="DH21" s="310">
        <v>0</v>
      </c>
      <c r="DI21" s="310">
        <v>0</v>
      </c>
      <c r="DJ21" s="310">
        <v>0</v>
      </c>
      <c r="DK21" s="310">
        <v>0</v>
      </c>
      <c r="DL21" s="310">
        <v>0</v>
      </c>
      <c r="DM21" s="310">
        <v>0</v>
      </c>
      <c r="DN21" s="310">
        <v>0</v>
      </c>
      <c r="DO21" s="310">
        <v>0</v>
      </c>
      <c r="DP21" s="310">
        <v>0</v>
      </c>
      <c r="DQ21" s="310">
        <v>0</v>
      </c>
      <c r="DR21" s="310">
        <v>0</v>
      </c>
    </row>
    <row r="22" spans="1:122" x14ac:dyDescent="0.2">
      <c r="A22" s="307" t="s">
        <v>416</v>
      </c>
      <c r="B22" s="310">
        <v>1</v>
      </c>
      <c r="BI22" s="307" t="s">
        <v>462</v>
      </c>
      <c r="BJ22" s="310">
        <v>0</v>
      </c>
      <c r="BK22" s="310">
        <v>0</v>
      </c>
      <c r="BL22" s="310">
        <v>0</v>
      </c>
      <c r="BM22" s="310">
        <v>0</v>
      </c>
      <c r="BN22" s="310">
        <v>0</v>
      </c>
      <c r="BO22" s="310">
        <v>0</v>
      </c>
      <c r="BP22" s="310">
        <v>0</v>
      </c>
      <c r="BQ22" s="310">
        <v>0</v>
      </c>
      <c r="BR22" s="310">
        <v>0</v>
      </c>
      <c r="BS22" s="310">
        <v>0</v>
      </c>
      <c r="BT22" s="310">
        <v>0</v>
      </c>
      <c r="BU22" s="310">
        <v>0</v>
      </c>
      <c r="BV22" s="310">
        <v>0</v>
      </c>
      <c r="BW22" s="310">
        <v>0</v>
      </c>
      <c r="BX22" s="310">
        <v>0</v>
      </c>
      <c r="BY22" s="310">
        <v>0</v>
      </c>
      <c r="BZ22" s="310">
        <v>0</v>
      </c>
      <c r="CA22" s="310">
        <v>0</v>
      </c>
      <c r="CB22" s="310">
        <v>0</v>
      </c>
      <c r="CC22" s="310">
        <v>0</v>
      </c>
      <c r="CD22" s="310">
        <v>0</v>
      </c>
      <c r="CE22" s="310">
        <v>0</v>
      </c>
      <c r="CF22" s="310">
        <v>0</v>
      </c>
      <c r="CG22" s="310">
        <v>0</v>
      </c>
      <c r="CH22" s="310">
        <v>0</v>
      </c>
      <c r="CI22" s="310">
        <v>0</v>
      </c>
      <c r="CJ22" s="310">
        <v>0</v>
      </c>
      <c r="CK22" s="310">
        <v>0</v>
      </c>
      <c r="CL22" s="310">
        <v>0</v>
      </c>
      <c r="CO22" s="307" t="s">
        <v>462</v>
      </c>
      <c r="CP22" s="310">
        <v>0</v>
      </c>
      <c r="CQ22" s="310">
        <v>0</v>
      </c>
      <c r="CR22" s="310">
        <v>0</v>
      </c>
      <c r="CS22" s="310">
        <v>0</v>
      </c>
      <c r="CT22" s="310">
        <v>0</v>
      </c>
      <c r="CU22" s="310">
        <v>0</v>
      </c>
      <c r="CV22" s="310">
        <v>0</v>
      </c>
      <c r="CW22" s="310">
        <v>0</v>
      </c>
      <c r="CX22" s="310">
        <v>0</v>
      </c>
      <c r="CY22" s="310">
        <v>0</v>
      </c>
      <c r="CZ22" s="310">
        <v>0</v>
      </c>
      <c r="DA22" s="310">
        <v>0</v>
      </c>
      <c r="DB22" s="310">
        <v>0</v>
      </c>
      <c r="DC22" s="310">
        <v>0</v>
      </c>
      <c r="DD22" s="310">
        <v>0</v>
      </c>
      <c r="DE22" s="310">
        <v>0</v>
      </c>
      <c r="DF22" s="310">
        <v>0</v>
      </c>
      <c r="DG22" s="310">
        <v>0</v>
      </c>
      <c r="DH22" s="310">
        <v>0</v>
      </c>
      <c r="DI22" s="310">
        <v>0</v>
      </c>
      <c r="DJ22" s="310">
        <v>0</v>
      </c>
      <c r="DK22" s="310">
        <v>0</v>
      </c>
      <c r="DL22" s="310">
        <v>0</v>
      </c>
      <c r="DM22" s="310">
        <v>0</v>
      </c>
      <c r="DN22" s="310">
        <v>0</v>
      </c>
      <c r="DO22" s="310">
        <v>0</v>
      </c>
      <c r="DP22" s="310">
        <v>0</v>
      </c>
      <c r="DQ22" s="310">
        <v>0</v>
      </c>
      <c r="DR22" s="310">
        <v>0</v>
      </c>
    </row>
    <row r="23" spans="1:122" x14ac:dyDescent="0.2">
      <c r="A23" s="307" t="s">
        <v>423</v>
      </c>
      <c r="B23" s="310">
        <v>1</v>
      </c>
      <c r="BI23" s="307" t="s">
        <v>677</v>
      </c>
      <c r="BJ23" s="310">
        <v>0</v>
      </c>
      <c r="BK23" s="310">
        <v>0</v>
      </c>
      <c r="BL23" s="310">
        <v>0</v>
      </c>
      <c r="BM23" s="310">
        <v>0</v>
      </c>
      <c r="BN23" s="310">
        <v>0</v>
      </c>
      <c r="BO23" s="310">
        <v>0</v>
      </c>
      <c r="BP23" s="310">
        <v>0</v>
      </c>
      <c r="BQ23" s="310">
        <v>0</v>
      </c>
      <c r="BR23" s="310">
        <v>0</v>
      </c>
      <c r="BS23" s="310">
        <v>0</v>
      </c>
      <c r="BT23" s="310">
        <v>0</v>
      </c>
      <c r="BU23" s="310">
        <v>0</v>
      </c>
      <c r="BV23" s="310">
        <v>0</v>
      </c>
      <c r="BW23" s="310">
        <v>0</v>
      </c>
      <c r="BX23" s="310">
        <v>0</v>
      </c>
      <c r="BY23" s="310">
        <v>0</v>
      </c>
      <c r="BZ23" s="310">
        <v>0</v>
      </c>
      <c r="CA23" s="310">
        <v>0</v>
      </c>
      <c r="CB23" s="310">
        <v>0</v>
      </c>
      <c r="CC23" s="310">
        <v>0</v>
      </c>
      <c r="CD23" s="310">
        <v>0</v>
      </c>
      <c r="CE23" s="310">
        <v>0</v>
      </c>
      <c r="CF23" s="310">
        <v>0</v>
      </c>
      <c r="CG23" s="310">
        <v>0</v>
      </c>
      <c r="CH23" s="310">
        <v>0</v>
      </c>
      <c r="CI23" s="310">
        <v>0</v>
      </c>
      <c r="CJ23" s="310">
        <v>0</v>
      </c>
      <c r="CK23" s="310">
        <v>0</v>
      </c>
      <c r="CL23" s="310">
        <v>0</v>
      </c>
      <c r="CO23" s="307" t="s">
        <v>677</v>
      </c>
      <c r="CP23" s="310">
        <v>0</v>
      </c>
      <c r="CQ23" s="310">
        <v>0</v>
      </c>
      <c r="CR23" s="310">
        <v>0</v>
      </c>
      <c r="CS23" s="310">
        <v>0</v>
      </c>
      <c r="CT23" s="310">
        <v>0</v>
      </c>
      <c r="CU23" s="310">
        <v>0</v>
      </c>
      <c r="CV23" s="310">
        <v>0</v>
      </c>
      <c r="CW23" s="310">
        <v>0</v>
      </c>
      <c r="CX23" s="310">
        <v>0</v>
      </c>
      <c r="CY23" s="310">
        <v>0</v>
      </c>
      <c r="CZ23" s="310">
        <v>0</v>
      </c>
      <c r="DA23" s="310">
        <v>0</v>
      </c>
      <c r="DB23" s="310">
        <v>0</v>
      </c>
      <c r="DC23" s="310">
        <v>0</v>
      </c>
      <c r="DD23" s="310">
        <v>0</v>
      </c>
      <c r="DE23" s="310">
        <v>0</v>
      </c>
      <c r="DF23" s="310">
        <v>0</v>
      </c>
      <c r="DG23" s="310">
        <v>0</v>
      </c>
      <c r="DH23" s="310">
        <v>0</v>
      </c>
      <c r="DI23" s="310">
        <v>0</v>
      </c>
      <c r="DJ23" s="310">
        <v>0</v>
      </c>
      <c r="DK23" s="310">
        <v>0</v>
      </c>
      <c r="DL23" s="310">
        <v>0</v>
      </c>
      <c r="DM23" s="310">
        <v>0</v>
      </c>
      <c r="DN23" s="310">
        <v>0</v>
      </c>
      <c r="DO23" s="310">
        <v>0</v>
      </c>
      <c r="DP23" s="310">
        <v>0</v>
      </c>
      <c r="DQ23" s="310">
        <v>0</v>
      </c>
      <c r="DR23" s="310">
        <v>0</v>
      </c>
    </row>
    <row r="24" spans="1:122" x14ac:dyDescent="0.2">
      <c r="A24" s="307" t="s">
        <v>409</v>
      </c>
      <c r="B24" s="310">
        <v>1</v>
      </c>
      <c r="BI24" s="307" t="s">
        <v>678</v>
      </c>
      <c r="BJ24" s="310">
        <v>0</v>
      </c>
      <c r="BK24" s="310">
        <v>0</v>
      </c>
      <c r="BL24" s="310">
        <v>0</v>
      </c>
      <c r="BM24" s="310">
        <v>0</v>
      </c>
      <c r="BN24" s="310">
        <v>0</v>
      </c>
      <c r="BO24" s="310">
        <v>0</v>
      </c>
      <c r="BP24" s="310">
        <v>0</v>
      </c>
      <c r="BQ24" s="310">
        <v>0</v>
      </c>
      <c r="BR24" s="310">
        <v>0</v>
      </c>
      <c r="BS24" s="310">
        <v>0</v>
      </c>
      <c r="BT24" s="310">
        <v>0</v>
      </c>
      <c r="BU24" s="310">
        <v>0</v>
      </c>
      <c r="BV24" s="310">
        <v>0</v>
      </c>
      <c r="BW24" s="310">
        <v>0</v>
      </c>
      <c r="BX24" s="310">
        <v>0</v>
      </c>
      <c r="BY24" s="310">
        <v>0</v>
      </c>
      <c r="BZ24" s="310">
        <v>0</v>
      </c>
      <c r="CA24" s="310">
        <v>0</v>
      </c>
      <c r="CB24" s="310">
        <v>0</v>
      </c>
      <c r="CC24" s="310">
        <v>0</v>
      </c>
      <c r="CD24" s="310">
        <v>0</v>
      </c>
      <c r="CE24" s="310">
        <v>0</v>
      </c>
      <c r="CF24" s="310">
        <v>0</v>
      </c>
      <c r="CG24" s="310">
        <v>0</v>
      </c>
      <c r="CH24" s="310">
        <v>0</v>
      </c>
      <c r="CI24" s="310">
        <v>0</v>
      </c>
      <c r="CJ24" s="310">
        <v>0</v>
      </c>
      <c r="CK24" s="310">
        <v>0</v>
      </c>
      <c r="CL24" s="310">
        <v>0</v>
      </c>
      <c r="CO24" s="307" t="s">
        <v>678</v>
      </c>
      <c r="CP24" s="310">
        <v>0</v>
      </c>
      <c r="CQ24" s="310">
        <v>0</v>
      </c>
      <c r="CR24" s="310">
        <v>0</v>
      </c>
      <c r="CS24" s="310">
        <v>0</v>
      </c>
      <c r="CT24" s="310">
        <v>0</v>
      </c>
      <c r="CU24" s="310">
        <v>0</v>
      </c>
      <c r="CV24" s="310">
        <v>0</v>
      </c>
      <c r="CW24" s="310">
        <v>0</v>
      </c>
      <c r="CX24" s="310">
        <v>0</v>
      </c>
      <c r="CY24" s="310">
        <v>0</v>
      </c>
      <c r="CZ24" s="310">
        <v>0</v>
      </c>
      <c r="DA24" s="310">
        <v>0</v>
      </c>
      <c r="DB24" s="310">
        <v>0</v>
      </c>
      <c r="DC24" s="310">
        <v>0</v>
      </c>
      <c r="DD24" s="310">
        <v>0</v>
      </c>
      <c r="DE24" s="310">
        <v>0</v>
      </c>
      <c r="DF24" s="310">
        <v>0</v>
      </c>
      <c r="DG24" s="310">
        <v>0</v>
      </c>
      <c r="DH24" s="310">
        <v>0</v>
      </c>
      <c r="DI24" s="310">
        <v>0</v>
      </c>
      <c r="DJ24" s="310">
        <v>0</v>
      </c>
      <c r="DK24" s="310">
        <v>0</v>
      </c>
      <c r="DL24" s="310">
        <v>0</v>
      </c>
      <c r="DM24" s="310">
        <v>0</v>
      </c>
      <c r="DN24" s="310">
        <v>0</v>
      </c>
      <c r="DO24" s="310">
        <v>0</v>
      </c>
      <c r="DP24" s="310">
        <v>0</v>
      </c>
      <c r="DQ24" s="310">
        <v>0</v>
      </c>
      <c r="DR24" s="310">
        <v>0</v>
      </c>
    </row>
    <row r="25" spans="1:122" x14ac:dyDescent="0.2">
      <c r="A25" s="307" t="s">
        <v>437</v>
      </c>
      <c r="B25" s="310">
        <v>1</v>
      </c>
      <c r="BI25" s="307" t="s">
        <v>439</v>
      </c>
      <c r="BJ25" s="310">
        <v>0</v>
      </c>
      <c r="BK25" s="310">
        <v>0</v>
      </c>
      <c r="BL25" s="310">
        <v>0</v>
      </c>
      <c r="BM25" s="310">
        <v>0</v>
      </c>
      <c r="BN25" s="310">
        <v>0</v>
      </c>
      <c r="BO25" s="310">
        <v>0</v>
      </c>
      <c r="BP25" s="310">
        <v>0</v>
      </c>
      <c r="BQ25" s="310">
        <v>0</v>
      </c>
      <c r="BR25" s="310">
        <v>0</v>
      </c>
      <c r="BS25" s="310">
        <v>0</v>
      </c>
      <c r="BT25" s="310">
        <v>0</v>
      </c>
      <c r="BU25" s="310">
        <v>0</v>
      </c>
      <c r="BV25" s="310">
        <v>0</v>
      </c>
      <c r="BW25" s="310">
        <v>0</v>
      </c>
      <c r="BX25" s="310">
        <v>0</v>
      </c>
      <c r="BY25" s="310">
        <v>0</v>
      </c>
      <c r="BZ25" s="310">
        <v>0</v>
      </c>
      <c r="CA25" s="310">
        <v>0</v>
      </c>
      <c r="CB25" s="310">
        <v>0</v>
      </c>
      <c r="CC25" s="310">
        <v>0</v>
      </c>
      <c r="CD25" s="310">
        <v>0</v>
      </c>
      <c r="CE25" s="310">
        <v>0</v>
      </c>
      <c r="CF25" s="310">
        <v>0</v>
      </c>
      <c r="CG25" s="310">
        <v>0</v>
      </c>
      <c r="CH25" s="310">
        <v>0</v>
      </c>
      <c r="CI25" s="310">
        <v>0</v>
      </c>
      <c r="CJ25" s="310">
        <v>0</v>
      </c>
      <c r="CK25" s="310">
        <v>0</v>
      </c>
      <c r="CL25" s="310">
        <v>0</v>
      </c>
      <c r="CO25" s="307" t="s">
        <v>439</v>
      </c>
      <c r="CP25" s="310">
        <v>0</v>
      </c>
      <c r="CQ25" s="310">
        <v>0</v>
      </c>
      <c r="CR25" s="310">
        <v>0</v>
      </c>
      <c r="CS25" s="310">
        <v>0</v>
      </c>
      <c r="CT25" s="310">
        <v>0</v>
      </c>
      <c r="CU25" s="310">
        <v>0</v>
      </c>
      <c r="CV25" s="310">
        <v>0</v>
      </c>
      <c r="CW25" s="310">
        <v>0</v>
      </c>
      <c r="CX25" s="310">
        <v>0</v>
      </c>
      <c r="CY25" s="310">
        <v>0</v>
      </c>
      <c r="CZ25" s="310">
        <v>0</v>
      </c>
      <c r="DA25" s="310">
        <v>0</v>
      </c>
      <c r="DB25" s="310">
        <v>0</v>
      </c>
      <c r="DC25" s="310">
        <v>0</v>
      </c>
      <c r="DD25" s="310">
        <v>0</v>
      </c>
      <c r="DE25" s="310">
        <v>0</v>
      </c>
      <c r="DF25" s="310">
        <v>0</v>
      </c>
      <c r="DG25" s="310">
        <v>0</v>
      </c>
      <c r="DH25" s="310">
        <v>0</v>
      </c>
      <c r="DI25" s="310">
        <v>0</v>
      </c>
      <c r="DJ25" s="310">
        <v>0</v>
      </c>
      <c r="DK25" s="310">
        <v>0</v>
      </c>
      <c r="DL25" s="310">
        <v>0</v>
      </c>
      <c r="DM25" s="310">
        <v>0</v>
      </c>
      <c r="DN25" s="310">
        <v>0</v>
      </c>
      <c r="DO25" s="310">
        <v>0</v>
      </c>
      <c r="DP25" s="310">
        <v>0</v>
      </c>
      <c r="DQ25" s="310">
        <v>0</v>
      </c>
      <c r="DR25" s="310">
        <v>0</v>
      </c>
    </row>
    <row r="26" spans="1:122" x14ac:dyDescent="0.2">
      <c r="A26" s="307" t="s">
        <v>675</v>
      </c>
      <c r="B26" s="310">
        <v>1</v>
      </c>
      <c r="BI26" s="307" t="s">
        <v>442</v>
      </c>
      <c r="BJ26" s="310">
        <v>0</v>
      </c>
      <c r="BK26" s="310">
        <v>0</v>
      </c>
      <c r="BL26" s="310">
        <v>0</v>
      </c>
      <c r="BM26" s="310">
        <v>0</v>
      </c>
      <c r="BN26" s="310">
        <v>0</v>
      </c>
      <c r="BO26" s="310">
        <v>0</v>
      </c>
      <c r="BP26" s="310">
        <v>0</v>
      </c>
      <c r="BQ26" s="310">
        <v>0</v>
      </c>
      <c r="BR26" s="310">
        <v>0</v>
      </c>
      <c r="BS26" s="310">
        <v>0</v>
      </c>
      <c r="BT26" s="310">
        <v>0</v>
      </c>
      <c r="BU26" s="310">
        <v>0</v>
      </c>
      <c r="BV26" s="310">
        <v>0</v>
      </c>
      <c r="BW26" s="310">
        <v>0</v>
      </c>
      <c r="BX26" s="310">
        <v>0</v>
      </c>
      <c r="BY26" s="310">
        <v>0</v>
      </c>
      <c r="BZ26" s="310">
        <v>0</v>
      </c>
      <c r="CA26" s="310">
        <v>0</v>
      </c>
      <c r="CB26" s="310">
        <v>0</v>
      </c>
      <c r="CC26" s="310">
        <v>0</v>
      </c>
      <c r="CD26" s="310">
        <v>0</v>
      </c>
      <c r="CE26" s="310">
        <v>0</v>
      </c>
      <c r="CF26" s="310">
        <v>0</v>
      </c>
      <c r="CG26" s="310">
        <v>0</v>
      </c>
      <c r="CH26" s="310">
        <v>0</v>
      </c>
      <c r="CI26" s="310">
        <v>0</v>
      </c>
      <c r="CJ26" s="310">
        <v>0</v>
      </c>
      <c r="CK26" s="310">
        <v>0</v>
      </c>
      <c r="CL26" s="310">
        <v>0</v>
      </c>
      <c r="CO26" s="307" t="s">
        <v>442</v>
      </c>
      <c r="CP26" s="310">
        <v>0</v>
      </c>
      <c r="CQ26" s="310">
        <v>0</v>
      </c>
      <c r="CR26" s="310">
        <v>0</v>
      </c>
      <c r="CS26" s="310">
        <v>0</v>
      </c>
      <c r="CT26" s="310">
        <v>0</v>
      </c>
      <c r="CU26" s="310">
        <v>0</v>
      </c>
      <c r="CV26" s="310">
        <v>0</v>
      </c>
      <c r="CW26" s="310">
        <v>0</v>
      </c>
      <c r="CX26" s="310">
        <v>0</v>
      </c>
      <c r="CY26" s="310">
        <v>0</v>
      </c>
      <c r="CZ26" s="310">
        <v>0</v>
      </c>
      <c r="DA26" s="310">
        <v>0</v>
      </c>
      <c r="DB26" s="310">
        <v>0</v>
      </c>
      <c r="DC26" s="310">
        <v>0</v>
      </c>
      <c r="DD26" s="310">
        <v>0</v>
      </c>
      <c r="DE26" s="310">
        <v>0</v>
      </c>
      <c r="DF26" s="310">
        <v>0</v>
      </c>
      <c r="DG26" s="310">
        <v>0</v>
      </c>
      <c r="DH26" s="310">
        <v>0</v>
      </c>
      <c r="DI26" s="310">
        <v>0</v>
      </c>
      <c r="DJ26" s="310">
        <v>0</v>
      </c>
      <c r="DK26" s="310">
        <v>0</v>
      </c>
      <c r="DL26" s="310">
        <v>0</v>
      </c>
      <c r="DM26" s="310">
        <v>0</v>
      </c>
      <c r="DN26" s="310">
        <v>0</v>
      </c>
      <c r="DO26" s="310">
        <v>0</v>
      </c>
      <c r="DP26" s="310">
        <v>0</v>
      </c>
      <c r="DQ26" s="310">
        <v>0</v>
      </c>
      <c r="DR26" s="310">
        <v>0</v>
      </c>
    </row>
    <row r="27" spans="1:122" x14ac:dyDescent="0.2">
      <c r="A27" s="307" t="s">
        <v>676</v>
      </c>
      <c r="B27" s="310">
        <v>1</v>
      </c>
      <c r="BI27" s="307" t="s">
        <v>441</v>
      </c>
      <c r="BJ27" s="310">
        <v>0</v>
      </c>
      <c r="BK27" s="310">
        <v>0</v>
      </c>
      <c r="BL27" s="310">
        <v>0</v>
      </c>
      <c r="BM27" s="310">
        <v>0</v>
      </c>
      <c r="BN27" s="310">
        <v>0</v>
      </c>
      <c r="BO27" s="310">
        <v>0</v>
      </c>
      <c r="BP27" s="310">
        <v>0</v>
      </c>
      <c r="BQ27" s="310">
        <v>0</v>
      </c>
      <c r="BR27" s="310">
        <v>0</v>
      </c>
      <c r="BS27" s="310">
        <v>0</v>
      </c>
      <c r="BT27" s="310">
        <v>0</v>
      </c>
      <c r="BU27" s="310">
        <v>0</v>
      </c>
      <c r="BV27" s="310">
        <v>0</v>
      </c>
      <c r="BW27" s="310">
        <v>0</v>
      </c>
      <c r="BX27" s="310">
        <v>0</v>
      </c>
      <c r="BY27" s="310">
        <v>0</v>
      </c>
      <c r="BZ27" s="310">
        <v>0</v>
      </c>
      <c r="CA27" s="310">
        <v>0</v>
      </c>
      <c r="CB27" s="310">
        <v>0</v>
      </c>
      <c r="CC27" s="310">
        <v>0</v>
      </c>
      <c r="CD27" s="310">
        <v>0</v>
      </c>
      <c r="CE27" s="310">
        <v>0</v>
      </c>
      <c r="CF27" s="310">
        <v>0</v>
      </c>
      <c r="CG27" s="310">
        <v>0</v>
      </c>
      <c r="CH27" s="310">
        <v>0</v>
      </c>
      <c r="CI27" s="310">
        <v>0</v>
      </c>
      <c r="CJ27" s="310">
        <v>0</v>
      </c>
      <c r="CK27" s="310">
        <v>0</v>
      </c>
      <c r="CL27" s="310">
        <v>0</v>
      </c>
      <c r="CO27" s="307" t="s">
        <v>441</v>
      </c>
      <c r="CP27" s="310">
        <v>0</v>
      </c>
      <c r="CQ27" s="310">
        <v>0</v>
      </c>
      <c r="CR27" s="310">
        <v>0</v>
      </c>
      <c r="CS27" s="310">
        <v>0</v>
      </c>
      <c r="CT27" s="310">
        <v>0</v>
      </c>
      <c r="CU27" s="310">
        <v>0</v>
      </c>
      <c r="CV27" s="310">
        <v>0</v>
      </c>
      <c r="CW27" s="310">
        <v>0</v>
      </c>
      <c r="CX27" s="310">
        <v>0</v>
      </c>
      <c r="CY27" s="310">
        <v>0</v>
      </c>
      <c r="CZ27" s="310">
        <v>0</v>
      </c>
      <c r="DA27" s="310">
        <v>0</v>
      </c>
      <c r="DB27" s="310">
        <v>0</v>
      </c>
      <c r="DC27" s="310">
        <v>0</v>
      </c>
      <c r="DD27" s="310">
        <v>0</v>
      </c>
      <c r="DE27" s="310">
        <v>0</v>
      </c>
      <c r="DF27" s="310">
        <v>0</v>
      </c>
      <c r="DG27" s="310">
        <v>0</v>
      </c>
      <c r="DH27" s="310">
        <v>0</v>
      </c>
      <c r="DI27" s="310">
        <v>0</v>
      </c>
      <c r="DJ27" s="310">
        <v>0</v>
      </c>
      <c r="DK27" s="310">
        <v>0</v>
      </c>
      <c r="DL27" s="310">
        <v>0</v>
      </c>
      <c r="DM27" s="310">
        <v>0</v>
      </c>
      <c r="DN27" s="310">
        <v>0</v>
      </c>
      <c r="DO27" s="310">
        <v>0</v>
      </c>
      <c r="DP27" s="310">
        <v>0</v>
      </c>
      <c r="DQ27" s="310">
        <v>0</v>
      </c>
      <c r="DR27" s="310">
        <v>0</v>
      </c>
    </row>
    <row r="28" spans="1:122" x14ac:dyDescent="0.2">
      <c r="A28" s="307" t="s">
        <v>342</v>
      </c>
      <c r="B28" s="310">
        <v>2</v>
      </c>
      <c r="BI28" s="307" t="s">
        <v>333</v>
      </c>
      <c r="BJ28" s="310">
        <v>0</v>
      </c>
      <c r="BK28" s="310">
        <v>0</v>
      </c>
      <c r="BL28" s="310">
        <v>0</v>
      </c>
      <c r="BM28" s="310">
        <v>0</v>
      </c>
      <c r="BN28" s="310">
        <v>0</v>
      </c>
      <c r="BO28" s="310">
        <v>0</v>
      </c>
      <c r="BP28" s="310">
        <v>0</v>
      </c>
      <c r="BQ28" s="310">
        <v>0</v>
      </c>
      <c r="BR28" s="310">
        <v>0</v>
      </c>
      <c r="BS28" s="310">
        <v>0</v>
      </c>
      <c r="BT28" s="310">
        <v>0</v>
      </c>
      <c r="BU28" s="310">
        <v>0</v>
      </c>
      <c r="BV28" s="310">
        <v>0</v>
      </c>
      <c r="BW28" s="310">
        <v>0</v>
      </c>
      <c r="BX28" s="310">
        <v>0</v>
      </c>
      <c r="BY28" s="310">
        <v>0</v>
      </c>
      <c r="BZ28" s="310">
        <v>0</v>
      </c>
      <c r="CA28" s="310">
        <v>0</v>
      </c>
      <c r="CB28" s="310">
        <v>0</v>
      </c>
      <c r="CC28" s="310">
        <v>0</v>
      </c>
      <c r="CD28" s="310">
        <v>0</v>
      </c>
      <c r="CE28" s="310">
        <v>0</v>
      </c>
      <c r="CF28" s="310">
        <v>0</v>
      </c>
      <c r="CG28" s="310">
        <v>0</v>
      </c>
      <c r="CH28" s="310">
        <v>0</v>
      </c>
      <c r="CI28" s="310">
        <v>0</v>
      </c>
      <c r="CJ28" s="310">
        <v>0</v>
      </c>
      <c r="CK28" s="310">
        <v>0</v>
      </c>
      <c r="CL28" s="310">
        <v>0</v>
      </c>
      <c r="CO28" s="307" t="s">
        <v>333</v>
      </c>
      <c r="CP28" s="310">
        <v>0</v>
      </c>
      <c r="CQ28" s="310">
        <v>0</v>
      </c>
      <c r="CR28" s="310">
        <v>0</v>
      </c>
      <c r="CS28" s="310">
        <v>0</v>
      </c>
      <c r="CT28" s="310">
        <v>0</v>
      </c>
      <c r="CU28" s="310">
        <v>0</v>
      </c>
      <c r="CV28" s="310">
        <v>0</v>
      </c>
      <c r="CW28" s="310">
        <v>0</v>
      </c>
      <c r="CX28" s="310">
        <v>0</v>
      </c>
      <c r="CY28" s="310">
        <v>0</v>
      </c>
      <c r="CZ28" s="310">
        <v>0</v>
      </c>
      <c r="DA28" s="310">
        <v>0</v>
      </c>
      <c r="DB28" s="310">
        <v>0</v>
      </c>
      <c r="DC28" s="310">
        <v>0</v>
      </c>
      <c r="DD28" s="310">
        <v>0</v>
      </c>
      <c r="DE28" s="310">
        <v>0</v>
      </c>
      <c r="DF28" s="310">
        <v>0</v>
      </c>
      <c r="DG28" s="310">
        <v>0</v>
      </c>
      <c r="DH28" s="310">
        <v>0</v>
      </c>
      <c r="DI28" s="310">
        <v>0</v>
      </c>
      <c r="DJ28" s="310">
        <v>0</v>
      </c>
      <c r="DK28" s="310">
        <v>0</v>
      </c>
      <c r="DL28" s="310">
        <v>0</v>
      </c>
      <c r="DM28" s="310">
        <v>0</v>
      </c>
      <c r="DN28" s="310">
        <v>0</v>
      </c>
      <c r="DO28" s="310">
        <v>0</v>
      </c>
      <c r="DP28" s="310">
        <v>0</v>
      </c>
      <c r="DQ28" s="310">
        <v>0</v>
      </c>
      <c r="DR28" s="310">
        <v>0</v>
      </c>
    </row>
    <row r="29" spans="1:122" x14ac:dyDescent="0.2">
      <c r="A29" s="307" t="s">
        <v>448</v>
      </c>
      <c r="B29" s="310">
        <v>2</v>
      </c>
      <c r="BI29" s="307" t="s">
        <v>438</v>
      </c>
      <c r="BJ29" s="310">
        <v>0</v>
      </c>
      <c r="BK29" s="310">
        <v>0</v>
      </c>
      <c r="BL29" s="310">
        <v>0</v>
      </c>
      <c r="BM29" s="310">
        <v>0</v>
      </c>
      <c r="BN29" s="310">
        <v>0</v>
      </c>
      <c r="BO29" s="310">
        <v>0</v>
      </c>
      <c r="BP29" s="310">
        <v>0</v>
      </c>
      <c r="BQ29" s="310">
        <v>0</v>
      </c>
      <c r="BR29" s="310">
        <v>0</v>
      </c>
      <c r="BS29" s="310">
        <v>0</v>
      </c>
      <c r="BT29" s="310">
        <v>0</v>
      </c>
      <c r="BU29" s="310">
        <v>0</v>
      </c>
      <c r="BV29" s="310">
        <v>0</v>
      </c>
      <c r="BW29" s="310">
        <v>0</v>
      </c>
      <c r="BX29" s="310">
        <v>0</v>
      </c>
      <c r="BY29" s="310">
        <v>0</v>
      </c>
      <c r="BZ29" s="310">
        <v>0</v>
      </c>
      <c r="CA29" s="310">
        <v>0</v>
      </c>
      <c r="CB29" s="310">
        <v>0</v>
      </c>
      <c r="CC29" s="310">
        <v>0</v>
      </c>
      <c r="CD29" s="310">
        <v>0</v>
      </c>
      <c r="CE29" s="310">
        <v>0</v>
      </c>
      <c r="CF29" s="310">
        <v>0</v>
      </c>
      <c r="CG29" s="310">
        <v>0</v>
      </c>
      <c r="CH29" s="310">
        <v>0</v>
      </c>
      <c r="CI29" s="310">
        <v>0</v>
      </c>
      <c r="CJ29" s="310">
        <v>0</v>
      </c>
      <c r="CK29" s="310">
        <v>0</v>
      </c>
      <c r="CL29" s="310">
        <v>0</v>
      </c>
      <c r="CO29" s="307" t="s">
        <v>438</v>
      </c>
      <c r="CP29" s="310">
        <v>0</v>
      </c>
      <c r="CQ29" s="310">
        <v>0</v>
      </c>
      <c r="CR29" s="310">
        <v>0</v>
      </c>
      <c r="CS29" s="310">
        <v>0</v>
      </c>
      <c r="CT29" s="310">
        <v>0</v>
      </c>
      <c r="CU29" s="310">
        <v>0</v>
      </c>
      <c r="CV29" s="310">
        <v>0</v>
      </c>
      <c r="CW29" s="310">
        <v>0</v>
      </c>
      <c r="CX29" s="310">
        <v>0</v>
      </c>
      <c r="CY29" s="310">
        <v>0</v>
      </c>
      <c r="CZ29" s="310">
        <v>0</v>
      </c>
      <c r="DA29" s="310">
        <v>0</v>
      </c>
      <c r="DB29" s="310">
        <v>0</v>
      </c>
      <c r="DC29" s="310">
        <v>0</v>
      </c>
      <c r="DD29" s="310">
        <v>0</v>
      </c>
      <c r="DE29" s="310">
        <v>0</v>
      </c>
      <c r="DF29" s="310">
        <v>0</v>
      </c>
      <c r="DG29" s="310">
        <v>0</v>
      </c>
      <c r="DH29" s="310">
        <v>0</v>
      </c>
      <c r="DI29" s="310">
        <v>0</v>
      </c>
      <c r="DJ29" s="310">
        <v>0</v>
      </c>
      <c r="DK29" s="310">
        <v>0</v>
      </c>
      <c r="DL29" s="310">
        <v>0</v>
      </c>
      <c r="DM29" s="310">
        <v>0</v>
      </c>
      <c r="DN29" s="310">
        <v>0</v>
      </c>
      <c r="DO29" s="310">
        <v>0</v>
      </c>
      <c r="DP29" s="310">
        <v>0</v>
      </c>
      <c r="DQ29" s="310">
        <v>0</v>
      </c>
      <c r="DR29" s="310">
        <v>0</v>
      </c>
    </row>
    <row r="30" spans="1:122" x14ac:dyDescent="0.2">
      <c r="A30" s="307" t="s">
        <v>702</v>
      </c>
      <c r="B30" s="310">
        <v>1</v>
      </c>
      <c r="BI30" s="307" t="s">
        <v>426</v>
      </c>
      <c r="BJ30" s="310">
        <v>0</v>
      </c>
      <c r="BK30" s="310">
        <v>0</v>
      </c>
      <c r="BL30" s="310">
        <v>0</v>
      </c>
      <c r="BM30" s="310">
        <v>0</v>
      </c>
      <c r="BN30" s="310">
        <v>0</v>
      </c>
      <c r="BO30" s="310">
        <v>0</v>
      </c>
      <c r="BP30" s="310">
        <v>0</v>
      </c>
      <c r="BQ30" s="310">
        <v>0</v>
      </c>
      <c r="BR30" s="310">
        <v>0</v>
      </c>
      <c r="BS30" s="310">
        <v>0</v>
      </c>
      <c r="BT30" s="310">
        <v>0</v>
      </c>
      <c r="BU30" s="310">
        <v>0</v>
      </c>
      <c r="BV30" s="310">
        <v>0</v>
      </c>
      <c r="BW30" s="310">
        <v>0</v>
      </c>
      <c r="BX30" s="310">
        <v>0</v>
      </c>
      <c r="BY30" s="310">
        <v>0</v>
      </c>
      <c r="BZ30" s="310">
        <v>0</v>
      </c>
      <c r="CA30" s="310">
        <v>0</v>
      </c>
      <c r="CB30" s="310">
        <v>0</v>
      </c>
      <c r="CC30" s="310">
        <v>0</v>
      </c>
      <c r="CD30" s="310">
        <v>0</v>
      </c>
      <c r="CE30" s="310">
        <v>0</v>
      </c>
      <c r="CF30" s="310">
        <v>0</v>
      </c>
      <c r="CG30" s="310">
        <v>0</v>
      </c>
      <c r="CH30" s="310">
        <v>0</v>
      </c>
      <c r="CI30" s="310">
        <v>0</v>
      </c>
      <c r="CJ30" s="310">
        <v>0</v>
      </c>
      <c r="CK30" s="310">
        <v>0</v>
      </c>
      <c r="CL30" s="310">
        <v>0</v>
      </c>
      <c r="CO30" s="307" t="s">
        <v>426</v>
      </c>
      <c r="CP30" s="310">
        <v>0</v>
      </c>
      <c r="CQ30" s="310">
        <v>0</v>
      </c>
      <c r="CR30" s="310">
        <v>0</v>
      </c>
      <c r="CS30" s="310">
        <v>0</v>
      </c>
      <c r="CT30" s="310">
        <v>0</v>
      </c>
      <c r="CU30" s="310">
        <v>0</v>
      </c>
      <c r="CV30" s="310">
        <v>0</v>
      </c>
      <c r="CW30" s="310">
        <v>0</v>
      </c>
      <c r="CX30" s="310">
        <v>0</v>
      </c>
      <c r="CY30" s="310">
        <v>0</v>
      </c>
      <c r="CZ30" s="310">
        <v>0</v>
      </c>
      <c r="DA30" s="310">
        <v>0</v>
      </c>
      <c r="DB30" s="310">
        <v>0</v>
      </c>
      <c r="DC30" s="310">
        <v>0</v>
      </c>
      <c r="DD30" s="310">
        <v>0</v>
      </c>
      <c r="DE30" s="310">
        <v>0</v>
      </c>
      <c r="DF30" s="310">
        <v>0</v>
      </c>
      <c r="DG30" s="310">
        <v>0</v>
      </c>
      <c r="DH30" s="310">
        <v>0</v>
      </c>
      <c r="DI30" s="310">
        <v>0</v>
      </c>
      <c r="DJ30" s="310">
        <v>0</v>
      </c>
      <c r="DK30" s="310">
        <v>0</v>
      </c>
      <c r="DL30" s="310">
        <v>0</v>
      </c>
      <c r="DM30" s="310">
        <v>0</v>
      </c>
      <c r="DN30" s="310">
        <v>0</v>
      </c>
      <c r="DO30" s="310">
        <v>0</v>
      </c>
      <c r="DP30" s="310">
        <v>0</v>
      </c>
      <c r="DQ30" s="310">
        <v>0</v>
      </c>
      <c r="DR30" s="310">
        <v>0</v>
      </c>
    </row>
    <row r="31" spans="1:122" x14ac:dyDescent="0.2">
      <c r="A31" s="307" t="s">
        <v>462</v>
      </c>
      <c r="B31" s="310">
        <v>2</v>
      </c>
      <c r="BI31" s="307" t="s">
        <v>424</v>
      </c>
      <c r="BJ31" s="310">
        <v>0</v>
      </c>
      <c r="BK31" s="310">
        <v>0</v>
      </c>
      <c r="BL31" s="310">
        <v>0</v>
      </c>
      <c r="BM31" s="310">
        <v>0</v>
      </c>
      <c r="BN31" s="310">
        <v>0</v>
      </c>
      <c r="BO31" s="310">
        <v>0</v>
      </c>
      <c r="BP31" s="310">
        <v>0</v>
      </c>
      <c r="BQ31" s="310">
        <v>0</v>
      </c>
      <c r="BR31" s="310">
        <v>0</v>
      </c>
      <c r="BS31" s="310">
        <v>0</v>
      </c>
      <c r="BT31" s="310">
        <v>0</v>
      </c>
      <c r="BU31" s="310">
        <v>0</v>
      </c>
      <c r="BV31" s="310">
        <v>0</v>
      </c>
      <c r="BW31" s="310">
        <v>0</v>
      </c>
      <c r="BX31" s="310">
        <v>0</v>
      </c>
      <c r="BY31" s="310">
        <v>0</v>
      </c>
      <c r="BZ31" s="310">
        <v>0</v>
      </c>
      <c r="CA31" s="310">
        <v>0</v>
      </c>
      <c r="CB31" s="310">
        <v>0</v>
      </c>
      <c r="CC31" s="310">
        <v>0</v>
      </c>
      <c r="CD31" s="310">
        <v>0</v>
      </c>
      <c r="CE31" s="310">
        <v>0</v>
      </c>
      <c r="CF31" s="310">
        <v>0</v>
      </c>
      <c r="CG31" s="310">
        <v>0</v>
      </c>
      <c r="CH31" s="310">
        <v>0</v>
      </c>
      <c r="CI31" s="310">
        <v>0</v>
      </c>
      <c r="CJ31" s="310">
        <v>0</v>
      </c>
      <c r="CK31" s="310">
        <v>0</v>
      </c>
      <c r="CL31" s="310">
        <v>0</v>
      </c>
      <c r="CO31" s="307" t="s">
        <v>424</v>
      </c>
      <c r="CP31" s="310">
        <v>0</v>
      </c>
      <c r="CQ31" s="310">
        <v>0</v>
      </c>
      <c r="CR31" s="310">
        <v>0</v>
      </c>
      <c r="CS31" s="310">
        <v>0</v>
      </c>
      <c r="CT31" s="310">
        <v>0</v>
      </c>
      <c r="CU31" s="310">
        <v>0</v>
      </c>
      <c r="CV31" s="310">
        <v>0</v>
      </c>
      <c r="CW31" s="310">
        <v>0</v>
      </c>
      <c r="CX31" s="310">
        <v>0</v>
      </c>
      <c r="CY31" s="310">
        <v>0</v>
      </c>
      <c r="CZ31" s="310">
        <v>0</v>
      </c>
      <c r="DA31" s="310">
        <v>0</v>
      </c>
      <c r="DB31" s="310">
        <v>0</v>
      </c>
      <c r="DC31" s="310">
        <v>0</v>
      </c>
      <c r="DD31" s="310">
        <v>0</v>
      </c>
      <c r="DE31" s="310">
        <v>0</v>
      </c>
      <c r="DF31" s="310">
        <v>0</v>
      </c>
      <c r="DG31" s="310">
        <v>0</v>
      </c>
      <c r="DH31" s="310">
        <v>0</v>
      </c>
      <c r="DI31" s="310">
        <v>0</v>
      </c>
      <c r="DJ31" s="310">
        <v>0</v>
      </c>
      <c r="DK31" s="310">
        <v>0</v>
      </c>
      <c r="DL31" s="310">
        <v>0</v>
      </c>
      <c r="DM31" s="310">
        <v>0</v>
      </c>
      <c r="DN31" s="310">
        <v>0</v>
      </c>
      <c r="DO31" s="310">
        <v>0</v>
      </c>
      <c r="DP31" s="310">
        <v>0</v>
      </c>
      <c r="DQ31" s="310">
        <v>0</v>
      </c>
      <c r="DR31" s="310">
        <v>0</v>
      </c>
    </row>
    <row r="32" spans="1:122" x14ac:dyDescent="0.2">
      <c r="A32" s="307" t="s">
        <v>677</v>
      </c>
      <c r="B32" s="310">
        <v>1</v>
      </c>
      <c r="BI32" s="307" t="s">
        <v>412</v>
      </c>
      <c r="BJ32" s="310">
        <v>0</v>
      </c>
      <c r="BK32" s="310">
        <v>0</v>
      </c>
      <c r="BL32" s="310">
        <v>0</v>
      </c>
      <c r="BM32" s="310">
        <v>0</v>
      </c>
      <c r="BN32" s="310">
        <v>0</v>
      </c>
      <c r="BO32" s="310">
        <v>0</v>
      </c>
      <c r="BP32" s="310">
        <v>0</v>
      </c>
      <c r="BQ32" s="310">
        <v>0</v>
      </c>
      <c r="BR32" s="310">
        <v>0</v>
      </c>
      <c r="BS32" s="310">
        <v>0</v>
      </c>
      <c r="BT32" s="310">
        <v>0</v>
      </c>
      <c r="BU32" s="310">
        <v>0</v>
      </c>
      <c r="BV32" s="310">
        <v>0</v>
      </c>
      <c r="BW32" s="310">
        <v>0</v>
      </c>
      <c r="BX32" s="310">
        <v>0</v>
      </c>
      <c r="BY32" s="310">
        <v>0</v>
      </c>
      <c r="BZ32" s="310">
        <v>0</v>
      </c>
      <c r="CA32" s="310">
        <v>0</v>
      </c>
      <c r="CB32" s="310">
        <v>0</v>
      </c>
      <c r="CC32" s="310">
        <v>0</v>
      </c>
      <c r="CD32" s="310">
        <v>0</v>
      </c>
      <c r="CE32" s="310">
        <v>0</v>
      </c>
      <c r="CF32" s="310">
        <v>0</v>
      </c>
      <c r="CG32" s="310">
        <v>0</v>
      </c>
      <c r="CH32" s="310">
        <v>0</v>
      </c>
      <c r="CI32" s="310">
        <v>0</v>
      </c>
      <c r="CJ32" s="310">
        <v>0</v>
      </c>
      <c r="CK32" s="310">
        <v>0</v>
      </c>
      <c r="CL32" s="310">
        <v>0</v>
      </c>
      <c r="CO32" s="307" t="s">
        <v>412</v>
      </c>
      <c r="CP32" s="310">
        <v>0</v>
      </c>
      <c r="CQ32" s="310">
        <v>0</v>
      </c>
      <c r="CR32" s="310">
        <v>0</v>
      </c>
      <c r="CS32" s="310">
        <v>0</v>
      </c>
      <c r="CT32" s="310">
        <v>0</v>
      </c>
      <c r="CU32" s="310">
        <v>0</v>
      </c>
      <c r="CV32" s="310">
        <v>0</v>
      </c>
      <c r="CW32" s="310">
        <v>0</v>
      </c>
      <c r="CX32" s="310">
        <v>0</v>
      </c>
      <c r="CY32" s="310">
        <v>0</v>
      </c>
      <c r="CZ32" s="310">
        <v>0</v>
      </c>
      <c r="DA32" s="310">
        <v>0</v>
      </c>
      <c r="DB32" s="310">
        <v>0</v>
      </c>
      <c r="DC32" s="310">
        <v>0</v>
      </c>
      <c r="DD32" s="310">
        <v>0</v>
      </c>
      <c r="DE32" s="310">
        <v>0</v>
      </c>
      <c r="DF32" s="310">
        <v>0</v>
      </c>
      <c r="DG32" s="310">
        <v>0</v>
      </c>
      <c r="DH32" s="310">
        <v>0</v>
      </c>
      <c r="DI32" s="310">
        <v>0</v>
      </c>
      <c r="DJ32" s="310">
        <v>0</v>
      </c>
      <c r="DK32" s="310">
        <v>0</v>
      </c>
      <c r="DL32" s="310">
        <v>0</v>
      </c>
      <c r="DM32" s="310">
        <v>0</v>
      </c>
      <c r="DN32" s="310">
        <v>0</v>
      </c>
      <c r="DO32" s="310">
        <v>0</v>
      </c>
      <c r="DP32" s="310">
        <v>0</v>
      </c>
      <c r="DQ32" s="310">
        <v>0</v>
      </c>
      <c r="DR32" s="310">
        <v>0</v>
      </c>
    </row>
    <row r="33" spans="1:122" x14ac:dyDescent="0.2">
      <c r="A33" s="307" t="s">
        <v>678</v>
      </c>
      <c r="B33" s="310">
        <v>1</v>
      </c>
      <c r="BI33" s="307" t="s">
        <v>436</v>
      </c>
      <c r="BJ33" s="310">
        <v>0</v>
      </c>
      <c r="BK33" s="310">
        <v>0</v>
      </c>
      <c r="BL33" s="310">
        <v>0</v>
      </c>
      <c r="BM33" s="310">
        <v>0</v>
      </c>
      <c r="BN33" s="310">
        <v>0</v>
      </c>
      <c r="BO33" s="310">
        <v>0</v>
      </c>
      <c r="BP33" s="310">
        <v>0</v>
      </c>
      <c r="BQ33" s="310">
        <v>0</v>
      </c>
      <c r="BR33" s="310">
        <v>0</v>
      </c>
      <c r="BS33" s="310">
        <v>0</v>
      </c>
      <c r="BT33" s="310">
        <v>0</v>
      </c>
      <c r="BU33" s="310">
        <v>0</v>
      </c>
      <c r="BV33" s="310">
        <v>0</v>
      </c>
      <c r="BW33" s="310">
        <v>0</v>
      </c>
      <c r="BX33" s="310">
        <v>0</v>
      </c>
      <c r="BY33" s="310">
        <v>0</v>
      </c>
      <c r="BZ33" s="310">
        <v>0</v>
      </c>
      <c r="CA33" s="310">
        <v>0</v>
      </c>
      <c r="CB33" s="310">
        <v>0</v>
      </c>
      <c r="CC33" s="310">
        <v>0</v>
      </c>
      <c r="CD33" s="310">
        <v>0</v>
      </c>
      <c r="CE33" s="310">
        <v>0</v>
      </c>
      <c r="CF33" s="310">
        <v>0</v>
      </c>
      <c r="CG33" s="310">
        <v>0</v>
      </c>
      <c r="CH33" s="310">
        <v>0</v>
      </c>
      <c r="CI33" s="310">
        <v>0</v>
      </c>
      <c r="CJ33" s="310">
        <v>0</v>
      </c>
      <c r="CK33" s="310">
        <v>0</v>
      </c>
      <c r="CL33" s="310">
        <v>0</v>
      </c>
      <c r="CO33" s="307" t="s">
        <v>436</v>
      </c>
      <c r="CP33" s="310">
        <v>0</v>
      </c>
      <c r="CQ33" s="310">
        <v>0</v>
      </c>
      <c r="CR33" s="310">
        <v>0</v>
      </c>
      <c r="CS33" s="310">
        <v>0</v>
      </c>
      <c r="CT33" s="310">
        <v>0</v>
      </c>
      <c r="CU33" s="310">
        <v>0</v>
      </c>
      <c r="CV33" s="310">
        <v>0</v>
      </c>
      <c r="CW33" s="310">
        <v>0</v>
      </c>
      <c r="CX33" s="310">
        <v>0</v>
      </c>
      <c r="CY33" s="310">
        <v>0</v>
      </c>
      <c r="CZ33" s="310">
        <v>0</v>
      </c>
      <c r="DA33" s="310">
        <v>0</v>
      </c>
      <c r="DB33" s="310">
        <v>0</v>
      </c>
      <c r="DC33" s="310">
        <v>0</v>
      </c>
      <c r="DD33" s="310">
        <v>0</v>
      </c>
      <c r="DE33" s="310">
        <v>0</v>
      </c>
      <c r="DF33" s="310">
        <v>0</v>
      </c>
      <c r="DG33" s="310">
        <v>0</v>
      </c>
      <c r="DH33" s="310">
        <v>0</v>
      </c>
      <c r="DI33" s="310">
        <v>0</v>
      </c>
      <c r="DJ33" s="310">
        <v>0</v>
      </c>
      <c r="DK33" s="310">
        <v>0</v>
      </c>
      <c r="DL33" s="310">
        <v>0</v>
      </c>
      <c r="DM33" s="310">
        <v>0</v>
      </c>
      <c r="DN33" s="310">
        <v>0</v>
      </c>
      <c r="DO33" s="310">
        <v>0</v>
      </c>
      <c r="DP33" s="310">
        <v>0</v>
      </c>
      <c r="DQ33" s="310">
        <v>0</v>
      </c>
      <c r="DR33" s="310">
        <v>0</v>
      </c>
    </row>
    <row r="34" spans="1:122" x14ac:dyDescent="0.2">
      <c r="A34" s="307" t="s">
        <v>439</v>
      </c>
      <c r="B34" s="310">
        <v>1</v>
      </c>
      <c r="BI34" s="307" t="s">
        <v>335</v>
      </c>
      <c r="BJ34" s="310">
        <v>0</v>
      </c>
      <c r="BK34" s="310">
        <v>0</v>
      </c>
      <c r="BL34" s="310">
        <v>0</v>
      </c>
      <c r="BM34" s="310">
        <v>0</v>
      </c>
      <c r="BN34" s="310">
        <v>0</v>
      </c>
      <c r="BO34" s="310">
        <v>0</v>
      </c>
      <c r="BP34" s="310">
        <v>0</v>
      </c>
      <c r="BQ34" s="310">
        <v>0</v>
      </c>
      <c r="BR34" s="310">
        <v>0</v>
      </c>
      <c r="BS34" s="310">
        <v>0</v>
      </c>
      <c r="BT34" s="310">
        <v>0</v>
      </c>
      <c r="BU34" s="310">
        <v>0</v>
      </c>
      <c r="BV34" s="310">
        <v>0</v>
      </c>
      <c r="BW34" s="310">
        <v>0</v>
      </c>
      <c r="BX34" s="310">
        <v>0</v>
      </c>
      <c r="BY34" s="310">
        <v>0</v>
      </c>
      <c r="BZ34" s="310">
        <v>0</v>
      </c>
      <c r="CA34" s="310">
        <v>0</v>
      </c>
      <c r="CB34" s="310">
        <v>0</v>
      </c>
      <c r="CC34" s="310">
        <v>0</v>
      </c>
      <c r="CD34" s="310">
        <v>0</v>
      </c>
      <c r="CE34" s="310">
        <v>0</v>
      </c>
      <c r="CF34" s="310">
        <v>0</v>
      </c>
      <c r="CG34" s="310">
        <v>0</v>
      </c>
      <c r="CH34" s="310">
        <v>0</v>
      </c>
      <c r="CI34" s="310">
        <v>0</v>
      </c>
      <c r="CJ34" s="310">
        <v>0</v>
      </c>
      <c r="CK34" s="310">
        <v>0</v>
      </c>
      <c r="CL34" s="310">
        <v>0</v>
      </c>
      <c r="CO34" s="307" t="s">
        <v>335</v>
      </c>
      <c r="CP34" s="310">
        <v>0</v>
      </c>
      <c r="CQ34" s="310">
        <v>0</v>
      </c>
      <c r="CR34" s="310">
        <v>0</v>
      </c>
      <c r="CS34" s="310">
        <v>0</v>
      </c>
      <c r="CT34" s="310">
        <v>0</v>
      </c>
      <c r="CU34" s="310">
        <v>0</v>
      </c>
      <c r="CV34" s="310">
        <v>0</v>
      </c>
      <c r="CW34" s="310">
        <v>0</v>
      </c>
      <c r="CX34" s="310">
        <v>0</v>
      </c>
      <c r="CY34" s="310">
        <v>0</v>
      </c>
      <c r="CZ34" s="310">
        <v>0</v>
      </c>
      <c r="DA34" s="310">
        <v>0</v>
      </c>
      <c r="DB34" s="310">
        <v>0</v>
      </c>
      <c r="DC34" s="310">
        <v>0</v>
      </c>
      <c r="DD34" s="310">
        <v>0</v>
      </c>
      <c r="DE34" s="310">
        <v>0</v>
      </c>
      <c r="DF34" s="310">
        <v>0</v>
      </c>
      <c r="DG34" s="310">
        <v>0</v>
      </c>
      <c r="DH34" s="310">
        <v>0</v>
      </c>
      <c r="DI34" s="310">
        <v>0</v>
      </c>
      <c r="DJ34" s="310">
        <v>0</v>
      </c>
      <c r="DK34" s="310">
        <v>0</v>
      </c>
      <c r="DL34" s="310">
        <v>0</v>
      </c>
      <c r="DM34" s="310">
        <v>0</v>
      </c>
      <c r="DN34" s="310">
        <v>0</v>
      </c>
      <c r="DO34" s="310">
        <v>0</v>
      </c>
      <c r="DP34" s="310">
        <v>0</v>
      </c>
      <c r="DQ34" s="310">
        <v>0</v>
      </c>
      <c r="DR34" s="310">
        <v>0</v>
      </c>
    </row>
    <row r="35" spans="1:122" x14ac:dyDescent="0.2">
      <c r="A35" s="307" t="s">
        <v>442</v>
      </c>
      <c r="B35" s="310">
        <v>1</v>
      </c>
      <c r="BI35" s="307" t="s">
        <v>427</v>
      </c>
      <c r="BJ35" s="310">
        <v>0</v>
      </c>
      <c r="BK35" s="310">
        <v>0</v>
      </c>
      <c r="BL35" s="310">
        <v>0</v>
      </c>
      <c r="BM35" s="310">
        <v>0</v>
      </c>
      <c r="BN35" s="310">
        <v>0</v>
      </c>
      <c r="BO35" s="310">
        <v>0</v>
      </c>
      <c r="BP35" s="310">
        <v>0</v>
      </c>
      <c r="BQ35" s="310">
        <v>0</v>
      </c>
      <c r="BR35" s="310">
        <v>0</v>
      </c>
      <c r="BS35" s="310">
        <v>0</v>
      </c>
      <c r="BT35" s="310">
        <v>0</v>
      </c>
      <c r="BU35" s="310">
        <v>0</v>
      </c>
      <c r="BV35" s="310">
        <v>0</v>
      </c>
      <c r="BW35" s="310">
        <v>0</v>
      </c>
      <c r="BX35" s="310">
        <v>0</v>
      </c>
      <c r="BY35" s="310">
        <v>0</v>
      </c>
      <c r="BZ35" s="310">
        <v>0</v>
      </c>
      <c r="CA35" s="310">
        <v>0</v>
      </c>
      <c r="CB35" s="310">
        <v>0</v>
      </c>
      <c r="CC35" s="310">
        <v>0</v>
      </c>
      <c r="CD35" s="310">
        <v>0</v>
      </c>
      <c r="CE35" s="310">
        <v>0</v>
      </c>
      <c r="CF35" s="310">
        <v>0</v>
      </c>
      <c r="CG35" s="310">
        <v>0</v>
      </c>
      <c r="CH35" s="310">
        <v>0</v>
      </c>
      <c r="CI35" s="310">
        <v>0</v>
      </c>
      <c r="CJ35" s="310">
        <v>0</v>
      </c>
      <c r="CK35" s="310">
        <v>0</v>
      </c>
      <c r="CL35" s="310">
        <v>0</v>
      </c>
      <c r="CO35" s="307" t="s">
        <v>427</v>
      </c>
      <c r="CP35" s="310">
        <v>0</v>
      </c>
      <c r="CQ35" s="310">
        <v>0</v>
      </c>
      <c r="CR35" s="310">
        <v>0</v>
      </c>
      <c r="CS35" s="310">
        <v>0</v>
      </c>
      <c r="CT35" s="310">
        <v>0</v>
      </c>
      <c r="CU35" s="310">
        <v>0</v>
      </c>
      <c r="CV35" s="310">
        <v>0</v>
      </c>
      <c r="CW35" s="310">
        <v>0</v>
      </c>
      <c r="CX35" s="310">
        <v>0</v>
      </c>
      <c r="CY35" s="310">
        <v>0</v>
      </c>
      <c r="CZ35" s="310">
        <v>0</v>
      </c>
      <c r="DA35" s="310">
        <v>0</v>
      </c>
      <c r="DB35" s="310">
        <v>0</v>
      </c>
      <c r="DC35" s="310">
        <v>0</v>
      </c>
      <c r="DD35" s="310">
        <v>0</v>
      </c>
      <c r="DE35" s="310">
        <v>0</v>
      </c>
      <c r="DF35" s="310">
        <v>0</v>
      </c>
      <c r="DG35" s="310">
        <v>0</v>
      </c>
      <c r="DH35" s="310">
        <v>0</v>
      </c>
      <c r="DI35" s="310">
        <v>0</v>
      </c>
      <c r="DJ35" s="310">
        <v>0</v>
      </c>
      <c r="DK35" s="310">
        <v>0</v>
      </c>
      <c r="DL35" s="310">
        <v>0</v>
      </c>
      <c r="DM35" s="310">
        <v>0</v>
      </c>
      <c r="DN35" s="310">
        <v>0</v>
      </c>
      <c r="DO35" s="310">
        <v>0</v>
      </c>
      <c r="DP35" s="310">
        <v>0</v>
      </c>
      <c r="DQ35" s="310">
        <v>0</v>
      </c>
      <c r="DR35" s="310">
        <v>0</v>
      </c>
    </row>
    <row r="36" spans="1:122" x14ac:dyDescent="0.2">
      <c r="A36" s="307" t="s">
        <v>441</v>
      </c>
      <c r="B36" s="310">
        <v>1</v>
      </c>
      <c r="BI36" s="307" t="s">
        <v>463</v>
      </c>
      <c r="BJ36" s="310">
        <v>0</v>
      </c>
      <c r="BK36" s="310">
        <v>0</v>
      </c>
      <c r="BL36" s="310">
        <v>0</v>
      </c>
      <c r="BM36" s="310">
        <v>0</v>
      </c>
      <c r="BN36" s="310">
        <v>0</v>
      </c>
      <c r="BO36" s="310">
        <v>0</v>
      </c>
      <c r="BP36" s="310">
        <v>0</v>
      </c>
      <c r="BQ36" s="310">
        <v>0</v>
      </c>
      <c r="BR36" s="310">
        <v>0</v>
      </c>
      <c r="BS36" s="310">
        <v>0</v>
      </c>
      <c r="BT36" s="310">
        <v>0</v>
      </c>
      <c r="BU36" s="310">
        <v>0</v>
      </c>
      <c r="BV36" s="310">
        <v>0</v>
      </c>
      <c r="BW36" s="310">
        <v>0</v>
      </c>
      <c r="BX36" s="310">
        <v>0</v>
      </c>
      <c r="BY36" s="310">
        <v>0</v>
      </c>
      <c r="BZ36" s="310">
        <v>0</v>
      </c>
      <c r="CA36" s="310">
        <v>0</v>
      </c>
      <c r="CB36" s="310">
        <v>0</v>
      </c>
      <c r="CC36" s="310">
        <v>0</v>
      </c>
      <c r="CD36" s="310">
        <v>0</v>
      </c>
      <c r="CE36" s="310">
        <v>0</v>
      </c>
      <c r="CF36" s="310">
        <v>0</v>
      </c>
      <c r="CG36" s="310">
        <v>0</v>
      </c>
      <c r="CH36" s="310">
        <v>0</v>
      </c>
      <c r="CI36" s="310">
        <v>0</v>
      </c>
      <c r="CJ36" s="310">
        <v>0</v>
      </c>
      <c r="CK36" s="310">
        <v>0</v>
      </c>
      <c r="CL36" s="310">
        <v>0</v>
      </c>
      <c r="CO36" s="307" t="s">
        <v>463</v>
      </c>
      <c r="CP36" s="310">
        <v>0</v>
      </c>
      <c r="CQ36" s="310">
        <v>0</v>
      </c>
      <c r="CR36" s="310">
        <v>0</v>
      </c>
      <c r="CS36" s="310">
        <v>0</v>
      </c>
      <c r="CT36" s="310">
        <v>0</v>
      </c>
      <c r="CU36" s="310">
        <v>0</v>
      </c>
      <c r="CV36" s="310">
        <v>0</v>
      </c>
      <c r="CW36" s="310">
        <v>0</v>
      </c>
      <c r="CX36" s="310">
        <v>0</v>
      </c>
      <c r="CY36" s="310">
        <v>0</v>
      </c>
      <c r="CZ36" s="310">
        <v>0</v>
      </c>
      <c r="DA36" s="310">
        <v>0</v>
      </c>
      <c r="DB36" s="310">
        <v>0</v>
      </c>
      <c r="DC36" s="310">
        <v>0</v>
      </c>
      <c r="DD36" s="310">
        <v>0</v>
      </c>
      <c r="DE36" s="310">
        <v>0</v>
      </c>
      <c r="DF36" s="310">
        <v>0</v>
      </c>
      <c r="DG36" s="310">
        <v>0</v>
      </c>
      <c r="DH36" s="310">
        <v>0</v>
      </c>
      <c r="DI36" s="310">
        <v>0</v>
      </c>
      <c r="DJ36" s="310">
        <v>0</v>
      </c>
      <c r="DK36" s="310">
        <v>0</v>
      </c>
      <c r="DL36" s="310">
        <v>0</v>
      </c>
      <c r="DM36" s="310">
        <v>0</v>
      </c>
      <c r="DN36" s="310">
        <v>0</v>
      </c>
      <c r="DO36" s="310">
        <v>0</v>
      </c>
      <c r="DP36" s="310">
        <v>0</v>
      </c>
      <c r="DQ36" s="310">
        <v>0</v>
      </c>
      <c r="DR36" s="310">
        <v>0</v>
      </c>
    </row>
    <row r="37" spans="1:122" x14ac:dyDescent="0.2">
      <c r="A37" s="307" t="s">
        <v>333</v>
      </c>
      <c r="B37" s="310">
        <v>1</v>
      </c>
      <c r="BI37" s="307" t="s">
        <v>343</v>
      </c>
      <c r="BJ37" s="310">
        <v>0</v>
      </c>
      <c r="BK37" s="310">
        <v>0</v>
      </c>
      <c r="BL37" s="310">
        <v>0</v>
      </c>
      <c r="BM37" s="310">
        <v>0</v>
      </c>
      <c r="BN37" s="310">
        <v>0</v>
      </c>
      <c r="BO37" s="310">
        <v>0</v>
      </c>
      <c r="BP37" s="310">
        <v>0</v>
      </c>
      <c r="BQ37" s="310">
        <v>0</v>
      </c>
      <c r="BR37" s="310">
        <v>0</v>
      </c>
      <c r="BS37" s="310">
        <v>0</v>
      </c>
      <c r="BT37" s="310">
        <v>0</v>
      </c>
      <c r="BU37" s="310">
        <v>0</v>
      </c>
      <c r="BV37" s="310">
        <v>0</v>
      </c>
      <c r="BW37" s="310">
        <v>0</v>
      </c>
      <c r="BX37" s="310">
        <v>0</v>
      </c>
      <c r="BY37" s="310">
        <v>0</v>
      </c>
      <c r="BZ37" s="310">
        <v>0</v>
      </c>
      <c r="CA37" s="310">
        <v>0</v>
      </c>
      <c r="CB37" s="310">
        <v>0</v>
      </c>
      <c r="CC37" s="310">
        <v>0</v>
      </c>
      <c r="CD37" s="310">
        <v>0</v>
      </c>
      <c r="CE37" s="310">
        <v>0</v>
      </c>
      <c r="CF37" s="310">
        <v>0</v>
      </c>
      <c r="CG37" s="310">
        <v>0</v>
      </c>
      <c r="CH37" s="310">
        <v>0</v>
      </c>
      <c r="CI37" s="310">
        <v>0</v>
      </c>
      <c r="CJ37" s="310">
        <v>0</v>
      </c>
      <c r="CK37" s="310">
        <v>0</v>
      </c>
      <c r="CL37" s="310">
        <v>0</v>
      </c>
      <c r="CO37" s="307" t="s">
        <v>343</v>
      </c>
      <c r="CP37" s="310">
        <v>0</v>
      </c>
      <c r="CQ37" s="310">
        <v>0</v>
      </c>
      <c r="CR37" s="310">
        <v>0</v>
      </c>
      <c r="CS37" s="310">
        <v>0</v>
      </c>
      <c r="CT37" s="310">
        <v>0</v>
      </c>
      <c r="CU37" s="310">
        <v>0</v>
      </c>
      <c r="CV37" s="310">
        <v>0</v>
      </c>
      <c r="CW37" s="310">
        <v>0</v>
      </c>
      <c r="CX37" s="310">
        <v>0</v>
      </c>
      <c r="CY37" s="310">
        <v>0</v>
      </c>
      <c r="CZ37" s="310">
        <v>0</v>
      </c>
      <c r="DA37" s="310">
        <v>0</v>
      </c>
      <c r="DB37" s="310">
        <v>0</v>
      </c>
      <c r="DC37" s="310">
        <v>0</v>
      </c>
      <c r="DD37" s="310">
        <v>0</v>
      </c>
      <c r="DE37" s="310">
        <v>0</v>
      </c>
      <c r="DF37" s="310">
        <v>0</v>
      </c>
      <c r="DG37" s="310">
        <v>0</v>
      </c>
      <c r="DH37" s="310">
        <v>0</v>
      </c>
      <c r="DI37" s="310">
        <v>0</v>
      </c>
      <c r="DJ37" s="310">
        <v>0</v>
      </c>
      <c r="DK37" s="310">
        <v>0</v>
      </c>
      <c r="DL37" s="310">
        <v>0</v>
      </c>
      <c r="DM37" s="310">
        <v>0</v>
      </c>
      <c r="DN37" s="310">
        <v>0</v>
      </c>
      <c r="DO37" s="310">
        <v>0</v>
      </c>
      <c r="DP37" s="310">
        <v>0</v>
      </c>
      <c r="DQ37" s="310">
        <v>0</v>
      </c>
      <c r="DR37" s="310">
        <v>0</v>
      </c>
    </row>
    <row r="38" spans="1:122" x14ac:dyDescent="0.2">
      <c r="A38" s="307" t="s">
        <v>438</v>
      </c>
      <c r="B38" s="310">
        <v>1</v>
      </c>
      <c r="BI38" s="307" t="s">
        <v>679</v>
      </c>
      <c r="BJ38" s="310">
        <v>0</v>
      </c>
      <c r="BK38" s="310">
        <v>0</v>
      </c>
      <c r="BL38" s="310">
        <v>0</v>
      </c>
      <c r="BM38" s="310">
        <v>0</v>
      </c>
      <c r="BN38" s="310">
        <v>0</v>
      </c>
      <c r="BO38" s="310">
        <v>0</v>
      </c>
      <c r="BP38" s="310">
        <v>0</v>
      </c>
      <c r="BQ38" s="310">
        <v>0</v>
      </c>
      <c r="BR38" s="310">
        <v>0</v>
      </c>
      <c r="BS38" s="310">
        <v>0</v>
      </c>
      <c r="BT38" s="310">
        <v>0</v>
      </c>
      <c r="BU38" s="310">
        <v>0</v>
      </c>
      <c r="BV38" s="310">
        <v>0</v>
      </c>
      <c r="BW38" s="310">
        <v>0</v>
      </c>
      <c r="BX38" s="310">
        <v>0</v>
      </c>
      <c r="BY38" s="310">
        <v>0</v>
      </c>
      <c r="BZ38" s="310">
        <v>0</v>
      </c>
      <c r="CA38" s="310">
        <v>0</v>
      </c>
      <c r="CB38" s="310">
        <v>0</v>
      </c>
      <c r="CC38" s="310">
        <v>0</v>
      </c>
      <c r="CD38" s="310">
        <v>0</v>
      </c>
      <c r="CE38" s="310">
        <v>0</v>
      </c>
      <c r="CF38" s="310">
        <v>0</v>
      </c>
      <c r="CG38" s="310">
        <v>0</v>
      </c>
      <c r="CH38" s="310">
        <v>0</v>
      </c>
      <c r="CI38" s="310">
        <v>0</v>
      </c>
      <c r="CJ38" s="310">
        <v>0</v>
      </c>
      <c r="CK38" s="310">
        <v>0</v>
      </c>
      <c r="CL38" s="310">
        <v>0</v>
      </c>
      <c r="CO38" s="307" t="s">
        <v>679</v>
      </c>
      <c r="CP38" s="310">
        <v>0</v>
      </c>
      <c r="CQ38" s="310">
        <v>0</v>
      </c>
      <c r="CR38" s="310">
        <v>0</v>
      </c>
      <c r="CS38" s="310">
        <v>0</v>
      </c>
      <c r="CT38" s="310">
        <v>0</v>
      </c>
      <c r="CU38" s="310">
        <v>0</v>
      </c>
      <c r="CV38" s="310">
        <v>0</v>
      </c>
      <c r="CW38" s="310">
        <v>0</v>
      </c>
      <c r="CX38" s="310">
        <v>0</v>
      </c>
      <c r="CY38" s="310">
        <v>0</v>
      </c>
      <c r="CZ38" s="310">
        <v>0</v>
      </c>
      <c r="DA38" s="310">
        <v>0</v>
      </c>
      <c r="DB38" s="310">
        <v>0</v>
      </c>
      <c r="DC38" s="310">
        <v>0</v>
      </c>
      <c r="DD38" s="310">
        <v>0</v>
      </c>
      <c r="DE38" s="310">
        <v>0</v>
      </c>
      <c r="DF38" s="310">
        <v>0</v>
      </c>
      <c r="DG38" s="310">
        <v>0</v>
      </c>
      <c r="DH38" s="310">
        <v>0</v>
      </c>
      <c r="DI38" s="310">
        <v>0</v>
      </c>
      <c r="DJ38" s="310">
        <v>0</v>
      </c>
      <c r="DK38" s="310">
        <v>0</v>
      </c>
      <c r="DL38" s="310">
        <v>0</v>
      </c>
      <c r="DM38" s="310">
        <v>0</v>
      </c>
      <c r="DN38" s="310">
        <v>0</v>
      </c>
      <c r="DO38" s="310">
        <v>0</v>
      </c>
      <c r="DP38" s="310">
        <v>0</v>
      </c>
      <c r="DQ38" s="310">
        <v>0</v>
      </c>
      <c r="DR38" s="310">
        <v>0</v>
      </c>
    </row>
    <row r="39" spans="1:122" x14ac:dyDescent="0.2">
      <c r="A39" s="307" t="s">
        <v>703</v>
      </c>
      <c r="B39" s="310">
        <v>1</v>
      </c>
      <c r="BI39" s="307" t="s">
        <v>680</v>
      </c>
      <c r="BJ39" s="310">
        <v>0</v>
      </c>
      <c r="BK39" s="310">
        <v>0</v>
      </c>
      <c r="BL39" s="310">
        <v>0</v>
      </c>
      <c r="BM39" s="310">
        <v>0</v>
      </c>
      <c r="BN39" s="310">
        <v>0</v>
      </c>
      <c r="BO39" s="310">
        <v>0</v>
      </c>
      <c r="BP39" s="310">
        <v>0</v>
      </c>
      <c r="BQ39" s="310">
        <v>0</v>
      </c>
      <c r="BR39" s="310">
        <v>0</v>
      </c>
      <c r="BS39" s="310">
        <v>0</v>
      </c>
      <c r="BT39" s="310">
        <v>0</v>
      </c>
      <c r="BU39" s="310">
        <v>0</v>
      </c>
      <c r="BV39" s="310">
        <v>0</v>
      </c>
      <c r="BW39" s="310">
        <v>0</v>
      </c>
      <c r="BX39" s="310">
        <v>0</v>
      </c>
      <c r="BY39" s="310">
        <v>0</v>
      </c>
      <c r="BZ39" s="310">
        <v>0</v>
      </c>
      <c r="CA39" s="310">
        <v>0</v>
      </c>
      <c r="CB39" s="310">
        <v>0</v>
      </c>
      <c r="CC39" s="310">
        <v>0</v>
      </c>
      <c r="CD39" s="310">
        <v>0</v>
      </c>
      <c r="CE39" s="310">
        <v>0</v>
      </c>
      <c r="CF39" s="310">
        <v>0</v>
      </c>
      <c r="CG39" s="310">
        <v>0</v>
      </c>
      <c r="CH39" s="310">
        <v>0</v>
      </c>
      <c r="CI39" s="310">
        <v>0</v>
      </c>
      <c r="CJ39" s="310">
        <v>0</v>
      </c>
      <c r="CK39" s="310">
        <v>0</v>
      </c>
      <c r="CL39" s="310">
        <v>0</v>
      </c>
      <c r="CO39" s="307" t="s">
        <v>680</v>
      </c>
      <c r="CP39" s="310">
        <v>0</v>
      </c>
      <c r="CQ39" s="310">
        <v>0</v>
      </c>
      <c r="CR39" s="310">
        <v>0</v>
      </c>
      <c r="CS39" s="310">
        <v>0</v>
      </c>
      <c r="CT39" s="310">
        <v>0</v>
      </c>
      <c r="CU39" s="310">
        <v>0</v>
      </c>
      <c r="CV39" s="310">
        <v>0</v>
      </c>
      <c r="CW39" s="310">
        <v>0</v>
      </c>
      <c r="CX39" s="310">
        <v>0</v>
      </c>
      <c r="CY39" s="310">
        <v>0</v>
      </c>
      <c r="CZ39" s="310">
        <v>0</v>
      </c>
      <c r="DA39" s="310">
        <v>0</v>
      </c>
      <c r="DB39" s="310">
        <v>0</v>
      </c>
      <c r="DC39" s="310">
        <v>0</v>
      </c>
      <c r="DD39" s="310">
        <v>0</v>
      </c>
      <c r="DE39" s="310">
        <v>0</v>
      </c>
      <c r="DF39" s="310">
        <v>0</v>
      </c>
      <c r="DG39" s="310">
        <v>0</v>
      </c>
      <c r="DH39" s="310">
        <v>0</v>
      </c>
      <c r="DI39" s="310">
        <v>0</v>
      </c>
      <c r="DJ39" s="310">
        <v>0</v>
      </c>
      <c r="DK39" s="310">
        <v>0</v>
      </c>
      <c r="DL39" s="310">
        <v>0</v>
      </c>
      <c r="DM39" s="310">
        <v>0</v>
      </c>
      <c r="DN39" s="310">
        <v>0</v>
      </c>
      <c r="DO39" s="310">
        <v>0</v>
      </c>
      <c r="DP39" s="310">
        <v>0</v>
      </c>
      <c r="DQ39" s="310">
        <v>0</v>
      </c>
      <c r="DR39" s="310">
        <v>0</v>
      </c>
    </row>
    <row r="40" spans="1:122" x14ac:dyDescent="0.2">
      <c r="A40" s="307" t="s">
        <v>426</v>
      </c>
      <c r="B40" s="310">
        <v>1</v>
      </c>
      <c r="BI40" s="307" t="s">
        <v>681</v>
      </c>
      <c r="BJ40" s="310">
        <v>0</v>
      </c>
      <c r="BK40" s="310">
        <v>0</v>
      </c>
      <c r="BL40" s="310">
        <v>0</v>
      </c>
      <c r="BM40" s="310">
        <v>0</v>
      </c>
      <c r="BN40" s="310">
        <v>0</v>
      </c>
      <c r="BO40" s="310">
        <v>0</v>
      </c>
      <c r="BP40" s="310">
        <v>0</v>
      </c>
      <c r="BQ40" s="310">
        <v>0</v>
      </c>
      <c r="BR40" s="310">
        <v>0</v>
      </c>
      <c r="BS40" s="310">
        <v>0</v>
      </c>
      <c r="BT40" s="310">
        <v>0</v>
      </c>
      <c r="BU40" s="310">
        <v>0</v>
      </c>
      <c r="BV40" s="310">
        <v>0</v>
      </c>
      <c r="BW40" s="310">
        <v>0</v>
      </c>
      <c r="BX40" s="310">
        <v>0</v>
      </c>
      <c r="BY40" s="310">
        <v>0</v>
      </c>
      <c r="BZ40" s="310">
        <v>0</v>
      </c>
      <c r="CA40" s="310">
        <v>0</v>
      </c>
      <c r="CB40" s="310">
        <v>0</v>
      </c>
      <c r="CC40" s="310">
        <v>0</v>
      </c>
      <c r="CD40" s="310">
        <v>0</v>
      </c>
      <c r="CE40" s="310">
        <v>0</v>
      </c>
      <c r="CF40" s="310">
        <v>0</v>
      </c>
      <c r="CG40" s="310">
        <v>0</v>
      </c>
      <c r="CH40" s="310">
        <v>0</v>
      </c>
      <c r="CI40" s="310">
        <v>0</v>
      </c>
      <c r="CJ40" s="310">
        <v>0</v>
      </c>
      <c r="CK40" s="310">
        <v>0</v>
      </c>
      <c r="CL40" s="310">
        <v>0</v>
      </c>
      <c r="CO40" s="307" t="s">
        <v>681</v>
      </c>
      <c r="CP40" s="310">
        <v>0</v>
      </c>
      <c r="CQ40" s="310">
        <v>0</v>
      </c>
      <c r="CR40" s="310">
        <v>0</v>
      </c>
      <c r="CS40" s="310">
        <v>0</v>
      </c>
      <c r="CT40" s="310">
        <v>0</v>
      </c>
      <c r="CU40" s="310">
        <v>0</v>
      </c>
      <c r="CV40" s="310">
        <v>0</v>
      </c>
      <c r="CW40" s="310">
        <v>0</v>
      </c>
      <c r="CX40" s="310">
        <v>0</v>
      </c>
      <c r="CY40" s="310">
        <v>0</v>
      </c>
      <c r="CZ40" s="310">
        <v>0</v>
      </c>
      <c r="DA40" s="310">
        <v>0</v>
      </c>
      <c r="DB40" s="310">
        <v>0</v>
      </c>
      <c r="DC40" s="310">
        <v>0</v>
      </c>
      <c r="DD40" s="310">
        <v>0</v>
      </c>
      <c r="DE40" s="310">
        <v>0</v>
      </c>
      <c r="DF40" s="310">
        <v>0</v>
      </c>
      <c r="DG40" s="310">
        <v>0</v>
      </c>
      <c r="DH40" s="310">
        <v>0</v>
      </c>
      <c r="DI40" s="310">
        <v>0</v>
      </c>
      <c r="DJ40" s="310">
        <v>0</v>
      </c>
      <c r="DK40" s="310">
        <v>0</v>
      </c>
      <c r="DL40" s="310">
        <v>0</v>
      </c>
      <c r="DM40" s="310">
        <v>0</v>
      </c>
      <c r="DN40" s="310">
        <v>0</v>
      </c>
      <c r="DO40" s="310">
        <v>0</v>
      </c>
      <c r="DP40" s="310">
        <v>0</v>
      </c>
      <c r="DQ40" s="310">
        <v>0</v>
      </c>
      <c r="DR40" s="310">
        <v>0</v>
      </c>
    </row>
    <row r="41" spans="1:122" x14ac:dyDescent="0.2">
      <c r="A41" s="307" t="s">
        <v>424</v>
      </c>
      <c r="B41" s="310">
        <v>1</v>
      </c>
      <c r="BI41" s="307" t="s">
        <v>682</v>
      </c>
      <c r="BJ41" s="310">
        <v>0</v>
      </c>
      <c r="BK41" s="310">
        <v>0</v>
      </c>
      <c r="BL41" s="310">
        <v>0</v>
      </c>
      <c r="BM41" s="310">
        <v>0</v>
      </c>
      <c r="BN41" s="310">
        <v>0</v>
      </c>
      <c r="BO41" s="310">
        <v>0</v>
      </c>
      <c r="BP41" s="310">
        <v>0</v>
      </c>
      <c r="BQ41" s="310">
        <v>0</v>
      </c>
      <c r="BR41" s="310">
        <v>0</v>
      </c>
      <c r="BS41" s="310">
        <v>0</v>
      </c>
      <c r="BT41" s="310">
        <v>0</v>
      </c>
      <c r="BU41" s="310">
        <v>0</v>
      </c>
      <c r="BV41" s="310">
        <v>0</v>
      </c>
      <c r="BW41" s="310">
        <v>0</v>
      </c>
      <c r="BX41" s="310">
        <v>0</v>
      </c>
      <c r="BY41" s="310">
        <v>0</v>
      </c>
      <c r="BZ41" s="310">
        <v>0</v>
      </c>
      <c r="CA41" s="310">
        <v>0</v>
      </c>
      <c r="CB41" s="310">
        <v>0</v>
      </c>
      <c r="CC41" s="310">
        <v>0</v>
      </c>
      <c r="CD41" s="310">
        <v>0</v>
      </c>
      <c r="CE41" s="310">
        <v>0</v>
      </c>
      <c r="CF41" s="310">
        <v>0</v>
      </c>
      <c r="CG41" s="310">
        <v>0</v>
      </c>
      <c r="CH41" s="310">
        <v>0</v>
      </c>
      <c r="CI41" s="310">
        <v>0</v>
      </c>
      <c r="CJ41" s="310">
        <v>0</v>
      </c>
      <c r="CK41" s="310">
        <v>0</v>
      </c>
      <c r="CL41" s="310">
        <v>0</v>
      </c>
      <c r="CO41" s="307" t="s">
        <v>682</v>
      </c>
      <c r="CP41" s="310">
        <v>0</v>
      </c>
      <c r="CQ41" s="310">
        <v>0</v>
      </c>
      <c r="CR41" s="310">
        <v>0</v>
      </c>
      <c r="CS41" s="310">
        <v>0</v>
      </c>
      <c r="CT41" s="310">
        <v>0</v>
      </c>
      <c r="CU41" s="310">
        <v>0</v>
      </c>
      <c r="CV41" s="310">
        <v>0</v>
      </c>
      <c r="CW41" s="310">
        <v>0</v>
      </c>
      <c r="CX41" s="310">
        <v>0</v>
      </c>
      <c r="CY41" s="310">
        <v>0</v>
      </c>
      <c r="CZ41" s="310">
        <v>0</v>
      </c>
      <c r="DA41" s="310">
        <v>0</v>
      </c>
      <c r="DB41" s="310">
        <v>0</v>
      </c>
      <c r="DC41" s="310">
        <v>0</v>
      </c>
      <c r="DD41" s="310">
        <v>0</v>
      </c>
      <c r="DE41" s="310">
        <v>0</v>
      </c>
      <c r="DF41" s="310">
        <v>0</v>
      </c>
      <c r="DG41" s="310">
        <v>0</v>
      </c>
      <c r="DH41" s="310">
        <v>0</v>
      </c>
      <c r="DI41" s="310">
        <v>0</v>
      </c>
      <c r="DJ41" s="310">
        <v>0</v>
      </c>
      <c r="DK41" s="310">
        <v>0</v>
      </c>
      <c r="DL41" s="310">
        <v>0</v>
      </c>
      <c r="DM41" s="310">
        <v>0</v>
      </c>
      <c r="DN41" s="310">
        <v>0</v>
      </c>
      <c r="DO41" s="310">
        <v>0</v>
      </c>
      <c r="DP41" s="310">
        <v>0</v>
      </c>
      <c r="DQ41" s="310">
        <v>0</v>
      </c>
      <c r="DR41" s="310">
        <v>0</v>
      </c>
    </row>
    <row r="42" spans="1:122" x14ac:dyDescent="0.2">
      <c r="A42" s="307" t="s">
        <v>412</v>
      </c>
      <c r="B42" s="310">
        <v>1</v>
      </c>
      <c r="BI42" s="307" t="s">
        <v>683</v>
      </c>
      <c r="BJ42" s="310">
        <v>0</v>
      </c>
      <c r="BK42" s="310">
        <v>0</v>
      </c>
      <c r="BL42" s="310">
        <v>0</v>
      </c>
      <c r="BM42" s="310">
        <v>0</v>
      </c>
      <c r="BN42" s="310">
        <v>0</v>
      </c>
      <c r="BO42" s="310">
        <v>0</v>
      </c>
      <c r="BP42" s="310">
        <v>0</v>
      </c>
      <c r="BQ42" s="310">
        <v>0</v>
      </c>
      <c r="BR42" s="310">
        <v>0</v>
      </c>
      <c r="BS42" s="310">
        <v>0</v>
      </c>
      <c r="BT42" s="310">
        <v>0</v>
      </c>
      <c r="BU42" s="310">
        <v>0</v>
      </c>
      <c r="BV42" s="310">
        <v>0</v>
      </c>
      <c r="BW42" s="310">
        <v>0</v>
      </c>
      <c r="BX42" s="310">
        <v>0</v>
      </c>
      <c r="BY42" s="310">
        <v>0</v>
      </c>
      <c r="BZ42" s="310">
        <v>0</v>
      </c>
      <c r="CA42" s="310">
        <v>0</v>
      </c>
      <c r="CB42" s="310">
        <v>0</v>
      </c>
      <c r="CC42" s="310">
        <v>0</v>
      </c>
      <c r="CD42" s="310">
        <v>0</v>
      </c>
      <c r="CE42" s="310">
        <v>0</v>
      </c>
      <c r="CF42" s="310">
        <v>0</v>
      </c>
      <c r="CG42" s="310">
        <v>0</v>
      </c>
      <c r="CH42" s="310">
        <v>0</v>
      </c>
      <c r="CI42" s="310">
        <v>0</v>
      </c>
      <c r="CJ42" s="310">
        <v>0</v>
      </c>
      <c r="CK42" s="310">
        <v>0</v>
      </c>
      <c r="CL42" s="310">
        <v>0</v>
      </c>
      <c r="CO42" s="307" t="s">
        <v>683</v>
      </c>
      <c r="CP42" s="310">
        <v>0</v>
      </c>
      <c r="CQ42" s="310">
        <v>0</v>
      </c>
      <c r="CR42" s="310">
        <v>0</v>
      </c>
      <c r="CS42" s="310">
        <v>0</v>
      </c>
      <c r="CT42" s="310">
        <v>0</v>
      </c>
      <c r="CU42" s="310">
        <v>0</v>
      </c>
      <c r="CV42" s="310">
        <v>0</v>
      </c>
      <c r="CW42" s="310">
        <v>0</v>
      </c>
      <c r="CX42" s="310">
        <v>0</v>
      </c>
      <c r="CY42" s="310">
        <v>0</v>
      </c>
      <c r="CZ42" s="310">
        <v>0</v>
      </c>
      <c r="DA42" s="310">
        <v>0</v>
      </c>
      <c r="DB42" s="310">
        <v>0</v>
      </c>
      <c r="DC42" s="310">
        <v>0</v>
      </c>
      <c r="DD42" s="310">
        <v>0</v>
      </c>
      <c r="DE42" s="310">
        <v>0</v>
      </c>
      <c r="DF42" s="310">
        <v>0</v>
      </c>
      <c r="DG42" s="310">
        <v>0</v>
      </c>
      <c r="DH42" s="310">
        <v>0</v>
      </c>
      <c r="DI42" s="310">
        <v>0</v>
      </c>
      <c r="DJ42" s="310">
        <v>0</v>
      </c>
      <c r="DK42" s="310">
        <v>0</v>
      </c>
      <c r="DL42" s="310">
        <v>0</v>
      </c>
      <c r="DM42" s="310">
        <v>0</v>
      </c>
      <c r="DN42" s="310">
        <v>0</v>
      </c>
      <c r="DO42" s="310">
        <v>0</v>
      </c>
      <c r="DP42" s="310">
        <v>0</v>
      </c>
      <c r="DQ42" s="310">
        <v>0</v>
      </c>
      <c r="DR42" s="310">
        <v>0</v>
      </c>
    </row>
    <row r="43" spans="1:122" x14ac:dyDescent="0.2">
      <c r="A43" s="307" t="s">
        <v>436</v>
      </c>
      <c r="B43" s="310">
        <v>1</v>
      </c>
      <c r="BI43" s="307" t="s">
        <v>684</v>
      </c>
      <c r="BJ43" s="310">
        <v>0</v>
      </c>
      <c r="BK43" s="310">
        <v>0</v>
      </c>
      <c r="BL43" s="310">
        <v>0</v>
      </c>
      <c r="BM43" s="310">
        <v>0</v>
      </c>
      <c r="BN43" s="310">
        <v>58054.575227689304</v>
      </c>
      <c r="BO43" s="310">
        <v>0</v>
      </c>
      <c r="BP43" s="310">
        <v>0</v>
      </c>
      <c r="BQ43" s="310">
        <v>0</v>
      </c>
      <c r="BR43" s="310">
        <v>0</v>
      </c>
      <c r="BS43" s="310">
        <v>0</v>
      </c>
      <c r="BT43" s="310">
        <v>0</v>
      </c>
      <c r="BU43" s="310">
        <v>0</v>
      </c>
      <c r="BV43" s="310">
        <v>0</v>
      </c>
      <c r="BW43" s="310">
        <v>0</v>
      </c>
      <c r="BX43" s="310">
        <v>0</v>
      </c>
      <c r="BY43" s="310">
        <v>0</v>
      </c>
      <c r="BZ43" s="310">
        <v>0</v>
      </c>
      <c r="CA43" s="310">
        <v>0</v>
      </c>
      <c r="CB43" s="310">
        <v>0</v>
      </c>
      <c r="CC43" s="310">
        <v>0</v>
      </c>
      <c r="CD43" s="310">
        <v>0</v>
      </c>
      <c r="CE43" s="310">
        <v>0</v>
      </c>
      <c r="CF43" s="310">
        <v>0</v>
      </c>
      <c r="CG43" s="310">
        <v>0</v>
      </c>
      <c r="CH43" s="310">
        <v>0</v>
      </c>
      <c r="CI43" s="310">
        <v>0</v>
      </c>
      <c r="CJ43" s="310">
        <v>0</v>
      </c>
      <c r="CK43" s="310">
        <v>0</v>
      </c>
      <c r="CL43" s="310">
        <v>0</v>
      </c>
      <c r="CO43" s="307" t="s">
        <v>684</v>
      </c>
      <c r="CP43" s="310">
        <v>0</v>
      </c>
      <c r="CQ43" s="310">
        <v>0</v>
      </c>
      <c r="CR43" s="310">
        <v>0</v>
      </c>
      <c r="CS43" s="310">
        <v>0</v>
      </c>
      <c r="CT43" s="310">
        <v>0.72465121788954501</v>
      </c>
      <c r="CU43" s="310">
        <v>0</v>
      </c>
      <c r="CV43" s="310">
        <v>0</v>
      </c>
      <c r="CW43" s="310">
        <v>0</v>
      </c>
      <c r="CX43" s="310">
        <v>0</v>
      </c>
      <c r="CY43" s="310">
        <v>0</v>
      </c>
      <c r="CZ43" s="310">
        <v>0</v>
      </c>
      <c r="DA43" s="310">
        <v>0</v>
      </c>
      <c r="DB43" s="310">
        <v>0</v>
      </c>
      <c r="DC43" s="310">
        <v>0</v>
      </c>
      <c r="DD43" s="310">
        <v>0</v>
      </c>
      <c r="DE43" s="310">
        <v>0</v>
      </c>
      <c r="DF43" s="310">
        <v>0</v>
      </c>
      <c r="DG43" s="310">
        <v>0</v>
      </c>
      <c r="DH43" s="310">
        <v>0</v>
      </c>
      <c r="DI43" s="310">
        <v>0</v>
      </c>
      <c r="DJ43" s="310">
        <v>0</v>
      </c>
      <c r="DK43" s="310">
        <v>0</v>
      </c>
      <c r="DL43" s="310">
        <v>0</v>
      </c>
      <c r="DM43" s="310">
        <v>0</v>
      </c>
      <c r="DN43" s="310">
        <v>0</v>
      </c>
      <c r="DO43" s="310">
        <v>0</v>
      </c>
      <c r="DP43" s="310">
        <v>0</v>
      </c>
      <c r="DQ43" s="310">
        <v>0</v>
      </c>
      <c r="DR43" s="310">
        <v>0</v>
      </c>
    </row>
    <row r="44" spans="1:122" x14ac:dyDescent="0.2">
      <c r="A44" s="307" t="s">
        <v>335</v>
      </c>
      <c r="B44" s="310">
        <v>1</v>
      </c>
      <c r="BI44" s="307" t="s">
        <v>685</v>
      </c>
      <c r="BJ44" s="310">
        <v>0</v>
      </c>
      <c r="BK44" s="310">
        <v>0</v>
      </c>
      <c r="BL44" s="310">
        <v>0</v>
      </c>
      <c r="BM44" s="310">
        <v>0</v>
      </c>
      <c r="BN44" s="310">
        <v>0</v>
      </c>
      <c r="BO44" s="310">
        <v>0</v>
      </c>
      <c r="BP44" s="310">
        <v>0</v>
      </c>
      <c r="BQ44" s="310">
        <v>0</v>
      </c>
      <c r="BR44" s="310">
        <v>0</v>
      </c>
      <c r="BS44" s="310">
        <v>0</v>
      </c>
      <c r="BT44" s="310">
        <v>0</v>
      </c>
      <c r="BU44" s="310">
        <v>0</v>
      </c>
      <c r="BV44" s="310">
        <v>0</v>
      </c>
      <c r="BW44" s="310">
        <v>0</v>
      </c>
      <c r="BX44" s="310">
        <v>0</v>
      </c>
      <c r="BY44" s="310">
        <v>0</v>
      </c>
      <c r="BZ44" s="310">
        <v>0</v>
      </c>
      <c r="CA44" s="310">
        <v>0</v>
      </c>
      <c r="CB44" s="310">
        <v>0</v>
      </c>
      <c r="CC44" s="310">
        <v>0</v>
      </c>
      <c r="CD44" s="310">
        <v>0</v>
      </c>
      <c r="CE44" s="310">
        <v>0</v>
      </c>
      <c r="CF44" s="310">
        <v>0</v>
      </c>
      <c r="CG44" s="310">
        <v>0</v>
      </c>
      <c r="CH44" s="310">
        <v>0</v>
      </c>
      <c r="CI44" s="310">
        <v>0</v>
      </c>
      <c r="CJ44" s="310">
        <v>0</v>
      </c>
      <c r="CK44" s="310">
        <v>0</v>
      </c>
      <c r="CL44" s="310">
        <v>0</v>
      </c>
      <c r="CO44" s="307" t="s">
        <v>685</v>
      </c>
      <c r="CP44" s="310">
        <v>0</v>
      </c>
      <c r="CQ44" s="310">
        <v>0</v>
      </c>
      <c r="CR44" s="310">
        <v>0</v>
      </c>
      <c r="CS44" s="310">
        <v>0</v>
      </c>
      <c r="CT44" s="310">
        <v>0</v>
      </c>
      <c r="CU44" s="310">
        <v>0</v>
      </c>
      <c r="CV44" s="310">
        <v>0</v>
      </c>
      <c r="CW44" s="310">
        <v>0</v>
      </c>
      <c r="CX44" s="310">
        <v>0</v>
      </c>
      <c r="CY44" s="310">
        <v>0</v>
      </c>
      <c r="CZ44" s="310">
        <v>0</v>
      </c>
      <c r="DA44" s="310">
        <v>0</v>
      </c>
      <c r="DB44" s="310">
        <v>0</v>
      </c>
      <c r="DC44" s="310">
        <v>0</v>
      </c>
      <c r="DD44" s="310">
        <v>0</v>
      </c>
      <c r="DE44" s="310">
        <v>0</v>
      </c>
      <c r="DF44" s="310">
        <v>0</v>
      </c>
      <c r="DG44" s="310">
        <v>0</v>
      </c>
      <c r="DH44" s="310">
        <v>0</v>
      </c>
      <c r="DI44" s="310">
        <v>0</v>
      </c>
      <c r="DJ44" s="310">
        <v>0</v>
      </c>
      <c r="DK44" s="310">
        <v>0</v>
      </c>
      <c r="DL44" s="310">
        <v>0</v>
      </c>
      <c r="DM44" s="310">
        <v>0</v>
      </c>
      <c r="DN44" s="310">
        <v>0</v>
      </c>
      <c r="DO44" s="310">
        <v>0</v>
      </c>
      <c r="DP44" s="310">
        <v>0</v>
      </c>
      <c r="DQ44" s="310">
        <v>0</v>
      </c>
      <c r="DR44" s="310">
        <v>0</v>
      </c>
    </row>
    <row r="45" spans="1:122" x14ac:dyDescent="0.2">
      <c r="A45" s="307" t="s">
        <v>704</v>
      </c>
      <c r="B45" s="310">
        <v>1</v>
      </c>
      <c r="BI45" s="307" t="s">
        <v>686</v>
      </c>
      <c r="BJ45" s="310">
        <v>0</v>
      </c>
      <c r="BK45" s="310">
        <v>0</v>
      </c>
      <c r="BL45" s="310">
        <v>0</v>
      </c>
      <c r="BM45" s="310">
        <v>0</v>
      </c>
      <c r="BN45" s="310">
        <v>0</v>
      </c>
      <c r="BO45" s="310">
        <v>0</v>
      </c>
      <c r="BP45" s="310">
        <v>0</v>
      </c>
      <c r="BQ45" s="310">
        <v>0</v>
      </c>
      <c r="BR45" s="310">
        <v>0</v>
      </c>
      <c r="BS45" s="310">
        <v>0</v>
      </c>
      <c r="BT45" s="310">
        <v>0</v>
      </c>
      <c r="BU45" s="310">
        <v>0</v>
      </c>
      <c r="BV45" s="310">
        <v>0</v>
      </c>
      <c r="BW45" s="310">
        <v>0</v>
      </c>
      <c r="BX45" s="310">
        <v>0</v>
      </c>
      <c r="BY45" s="310">
        <v>0</v>
      </c>
      <c r="BZ45" s="310">
        <v>0</v>
      </c>
      <c r="CA45" s="310">
        <v>0</v>
      </c>
      <c r="CB45" s="310">
        <v>0</v>
      </c>
      <c r="CC45" s="310">
        <v>0</v>
      </c>
      <c r="CD45" s="310">
        <v>0</v>
      </c>
      <c r="CE45" s="310">
        <v>0</v>
      </c>
      <c r="CF45" s="310">
        <v>0</v>
      </c>
      <c r="CG45" s="310">
        <v>0</v>
      </c>
      <c r="CH45" s="310">
        <v>0</v>
      </c>
      <c r="CI45" s="310">
        <v>0</v>
      </c>
      <c r="CJ45" s="310">
        <v>0</v>
      </c>
      <c r="CK45" s="310">
        <v>0</v>
      </c>
      <c r="CL45" s="310">
        <v>0</v>
      </c>
      <c r="CO45" s="307" t="s">
        <v>686</v>
      </c>
      <c r="CP45" s="310">
        <v>0</v>
      </c>
      <c r="CQ45" s="310">
        <v>0</v>
      </c>
      <c r="CR45" s="310">
        <v>0</v>
      </c>
      <c r="CS45" s="310">
        <v>0</v>
      </c>
      <c r="CT45" s="310">
        <v>0</v>
      </c>
      <c r="CU45" s="310">
        <v>0</v>
      </c>
      <c r="CV45" s="310">
        <v>0</v>
      </c>
      <c r="CW45" s="310">
        <v>0</v>
      </c>
      <c r="CX45" s="310">
        <v>0</v>
      </c>
      <c r="CY45" s="310">
        <v>0</v>
      </c>
      <c r="CZ45" s="310">
        <v>0</v>
      </c>
      <c r="DA45" s="310">
        <v>0</v>
      </c>
      <c r="DB45" s="310">
        <v>0</v>
      </c>
      <c r="DC45" s="310">
        <v>0</v>
      </c>
      <c r="DD45" s="310">
        <v>0</v>
      </c>
      <c r="DE45" s="310">
        <v>0</v>
      </c>
      <c r="DF45" s="310">
        <v>0</v>
      </c>
      <c r="DG45" s="310">
        <v>0</v>
      </c>
      <c r="DH45" s="310">
        <v>0</v>
      </c>
      <c r="DI45" s="310">
        <v>0</v>
      </c>
      <c r="DJ45" s="310">
        <v>0</v>
      </c>
      <c r="DK45" s="310">
        <v>0</v>
      </c>
      <c r="DL45" s="310">
        <v>0</v>
      </c>
      <c r="DM45" s="310">
        <v>0</v>
      </c>
      <c r="DN45" s="310">
        <v>0</v>
      </c>
      <c r="DO45" s="310">
        <v>0</v>
      </c>
      <c r="DP45" s="310">
        <v>0</v>
      </c>
      <c r="DQ45" s="310">
        <v>0</v>
      </c>
      <c r="DR45" s="310">
        <v>0</v>
      </c>
    </row>
    <row r="46" spans="1:122" x14ac:dyDescent="0.2">
      <c r="A46" s="307" t="s">
        <v>705</v>
      </c>
      <c r="B46" s="310">
        <v>1</v>
      </c>
      <c r="BI46" s="307" t="s">
        <v>446</v>
      </c>
      <c r="BJ46" s="310">
        <v>0</v>
      </c>
      <c r="BK46" s="310">
        <v>0</v>
      </c>
      <c r="BL46" s="310">
        <v>0</v>
      </c>
      <c r="BM46" s="310">
        <v>0</v>
      </c>
      <c r="BN46" s="310">
        <v>0</v>
      </c>
      <c r="BO46" s="310">
        <v>0</v>
      </c>
      <c r="BP46" s="310">
        <v>0</v>
      </c>
      <c r="BQ46" s="310">
        <v>0</v>
      </c>
      <c r="BR46" s="310">
        <v>0</v>
      </c>
      <c r="BS46" s="310">
        <v>0</v>
      </c>
      <c r="BT46" s="310">
        <v>0</v>
      </c>
      <c r="BU46" s="310">
        <v>0</v>
      </c>
      <c r="BV46" s="310">
        <v>0</v>
      </c>
      <c r="BW46" s="310">
        <v>0</v>
      </c>
      <c r="BX46" s="310">
        <v>0</v>
      </c>
      <c r="BY46" s="310">
        <v>0</v>
      </c>
      <c r="BZ46" s="310">
        <v>0</v>
      </c>
      <c r="CA46" s="310">
        <v>0</v>
      </c>
      <c r="CB46" s="310">
        <v>0</v>
      </c>
      <c r="CC46" s="310">
        <v>0</v>
      </c>
      <c r="CD46" s="310">
        <v>0</v>
      </c>
      <c r="CE46" s="310">
        <v>0</v>
      </c>
      <c r="CF46" s="310">
        <v>0</v>
      </c>
      <c r="CG46" s="310">
        <v>0</v>
      </c>
      <c r="CH46" s="310">
        <v>0</v>
      </c>
      <c r="CI46" s="310">
        <v>0</v>
      </c>
      <c r="CJ46" s="310">
        <v>0</v>
      </c>
      <c r="CK46" s="310">
        <v>0</v>
      </c>
      <c r="CL46" s="310">
        <v>0</v>
      </c>
      <c r="CO46" s="307" t="s">
        <v>446</v>
      </c>
      <c r="CP46" s="310">
        <v>0</v>
      </c>
      <c r="CQ46" s="310">
        <v>0</v>
      </c>
      <c r="CR46" s="310">
        <v>0</v>
      </c>
      <c r="CS46" s="310">
        <v>0</v>
      </c>
      <c r="CT46" s="310">
        <v>0</v>
      </c>
      <c r="CU46" s="310">
        <v>0</v>
      </c>
      <c r="CV46" s="310">
        <v>0</v>
      </c>
      <c r="CW46" s="310">
        <v>0</v>
      </c>
      <c r="CX46" s="310">
        <v>0</v>
      </c>
      <c r="CY46" s="310">
        <v>0</v>
      </c>
      <c r="CZ46" s="310">
        <v>0</v>
      </c>
      <c r="DA46" s="310">
        <v>0</v>
      </c>
      <c r="DB46" s="310">
        <v>0</v>
      </c>
      <c r="DC46" s="310">
        <v>0</v>
      </c>
      <c r="DD46" s="310">
        <v>0</v>
      </c>
      <c r="DE46" s="310">
        <v>0</v>
      </c>
      <c r="DF46" s="310">
        <v>0</v>
      </c>
      <c r="DG46" s="310">
        <v>0</v>
      </c>
      <c r="DH46" s="310">
        <v>0</v>
      </c>
      <c r="DI46" s="310">
        <v>0</v>
      </c>
      <c r="DJ46" s="310">
        <v>0</v>
      </c>
      <c r="DK46" s="310">
        <v>0</v>
      </c>
      <c r="DL46" s="310">
        <v>0</v>
      </c>
      <c r="DM46" s="310">
        <v>0</v>
      </c>
      <c r="DN46" s="310">
        <v>0</v>
      </c>
      <c r="DO46" s="310">
        <v>0</v>
      </c>
      <c r="DP46" s="310">
        <v>0</v>
      </c>
      <c r="DQ46" s="310">
        <v>0</v>
      </c>
      <c r="DR46" s="310">
        <v>0</v>
      </c>
    </row>
    <row r="47" spans="1:122" x14ac:dyDescent="0.2">
      <c r="A47" s="307" t="s">
        <v>427</v>
      </c>
      <c r="B47" s="310">
        <v>1</v>
      </c>
      <c r="BI47" s="307" t="s">
        <v>457</v>
      </c>
      <c r="BJ47" s="310">
        <v>0</v>
      </c>
      <c r="BK47" s="310">
        <v>0</v>
      </c>
      <c r="BL47" s="310">
        <v>0</v>
      </c>
      <c r="BM47" s="310">
        <v>0</v>
      </c>
      <c r="BN47" s="310">
        <v>0</v>
      </c>
      <c r="BO47" s="310">
        <v>0</v>
      </c>
      <c r="BP47" s="310">
        <v>0</v>
      </c>
      <c r="BQ47" s="310">
        <v>0</v>
      </c>
      <c r="BR47" s="310">
        <v>0</v>
      </c>
      <c r="BS47" s="310">
        <v>0</v>
      </c>
      <c r="BT47" s="310">
        <v>0</v>
      </c>
      <c r="BU47" s="310">
        <v>0</v>
      </c>
      <c r="BV47" s="310">
        <v>0</v>
      </c>
      <c r="BW47" s="310">
        <v>0</v>
      </c>
      <c r="BX47" s="310">
        <v>0</v>
      </c>
      <c r="BY47" s="310">
        <v>0</v>
      </c>
      <c r="BZ47" s="310">
        <v>0</v>
      </c>
      <c r="CA47" s="310">
        <v>0</v>
      </c>
      <c r="CB47" s="310">
        <v>0</v>
      </c>
      <c r="CC47" s="310">
        <v>0</v>
      </c>
      <c r="CD47" s="310">
        <v>0</v>
      </c>
      <c r="CE47" s="310">
        <v>0</v>
      </c>
      <c r="CF47" s="310">
        <v>0</v>
      </c>
      <c r="CG47" s="310">
        <v>0</v>
      </c>
      <c r="CH47" s="310">
        <v>0</v>
      </c>
      <c r="CI47" s="310">
        <v>0</v>
      </c>
      <c r="CJ47" s="310">
        <v>0</v>
      </c>
      <c r="CK47" s="310">
        <v>0</v>
      </c>
      <c r="CL47" s="310">
        <v>0</v>
      </c>
      <c r="CO47" s="307" t="s">
        <v>457</v>
      </c>
      <c r="CP47" s="310">
        <v>0</v>
      </c>
      <c r="CQ47" s="310">
        <v>0</v>
      </c>
      <c r="CR47" s="310">
        <v>0</v>
      </c>
      <c r="CS47" s="310">
        <v>0</v>
      </c>
      <c r="CT47" s="310">
        <v>0</v>
      </c>
      <c r="CU47" s="310">
        <v>0</v>
      </c>
      <c r="CV47" s="310">
        <v>0</v>
      </c>
      <c r="CW47" s="310">
        <v>0</v>
      </c>
      <c r="CX47" s="310">
        <v>0</v>
      </c>
      <c r="CY47" s="310">
        <v>0</v>
      </c>
      <c r="CZ47" s="310">
        <v>0</v>
      </c>
      <c r="DA47" s="310">
        <v>0</v>
      </c>
      <c r="DB47" s="310">
        <v>0</v>
      </c>
      <c r="DC47" s="310">
        <v>0</v>
      </c>
      <c r="DD47" s="310">
        <v>0</v>
      </c>
      <c r="DE47" s="310">
        <v>0</v>
      </c>
      <c r="DF47" s="310">
        <v>0</v>
      </c>
      <c r="DG47" s="310">
        <v>0</v>
      </c>
      <c r="DH47" s="310">
        <v>0</v>
      </c>
      <c r="DI47" s="310">
        <v>0</v>
      </c>
      <c r="DJ47" s="310">
        <v>0</v>
      </c>
      <c r="DK47" s="310">
        <v>0</v>
      </c>
      <c r="DL47" s="310">
        <v>0</v>
      </c>
      <c r="DM47" s="310">
        <v>0</v>
      </c>
      <c r="DN47" s="310">
        <v>0</v>
      </c>
      <c r="DO47" s="310">
        <v>0</v>
      </c>
      <c r="DP47" s="310">
        <v>0</v>
      </c>
      <c r="DQ47" s="310">
        <v>0</v>
      </c>
      <c r="DR47" s="310">
        <v>0</v>
      </c>
    </row>
    <row r="48" spans="1:122" x14ac:dyDescent="0.2">
      <c r="A48" s="307" t="s">
        <v>463</v>
      </c>
      <c r="B48" s="310">
        <v>2</v>
      </c>
      <c r="BI48" s="307" t="s">
        <v>687</v>
      </c>
      <c r="BJ48" s="310">
        <v>0</v>
      </c>
      <c r="BK48" s="310">
        <v>0</v>
      </c>
      <c r="BL48" s="310">
        <v>0</v>
      </c>
      <c r="BM48" s="310">
        <v>0</v>
      </c>
      <c r="BN48" s="310">
        <v>0</v>
      </c>
      <c r="BO48" s="310">
        <v>0</v>
      </c>
      <c r="BP48" s="310">
        <v>0</v>
      </c>
      <c r="BQ48" s="310">
        <v>0</v>
      </c>
      <c r="BR48" s="310">
        <v>0</v>
      </c>
      <c r="BS48" s="310">
        <v>0</v>
      </c>
      <c r="BT48" s="310">
        <v>0</v>
      </c>
      <c r="BU48" s="310">
        <v>0</v>
      </c>
      <c r="BV48" s="310">
        <v>0</v>
      </c>
      <c r="BW48" s="310">
        <v>0</v>
      </c>
      <c r="BX48" s="310">
        <v>0</v>
      </c>
      <c r="BY48" s="310">
        <v>0</v>
      </c>
      <c r="BZ48" s="310">
        <v>0</v>
      </c>
      <c r="CA48" s="310">
        <v>0</v>
      </c>
      <c r="CB48" s="310">
        <v>0</v>
      </c>
      <c r="CC48" s="310">
        <v>0</v>
      </c>
      <c r="CD48" s="310">
        <v>0</v>
      </c>
      <c r="CE48" s="310">
        <v>0</v>
      </c>
      <c r="CF48" s="310">
        <v>0</v>
      </c>
      <c r="CG48" s="310">
        <v>0</v>
      </c>
      <c r="CH48" s="310">
        <v>0</v>
      </c>
      <c r="CI48" s="310">
        <v>0</v>
      </c>
      <c r="CJ48" s="310">
        <v>0</v>
      </c>
      <c r="CK48" s="310">
        <v>0</v>
      </c>
      <c r="CL48" s="310">
        <v>0</v>
      </c>
      <c r="CO48" s="307" t="s">
        <v>687</v>
      </c>
      <c r="CP48" s="310">
        <v>0</v>
      </c>
      <c r="CQ48" s="310">
        <v>0</v>
      </c>
      <c r="CR48" s="310">
        <v>0</v>
      </c>
      <c r="CS48" s="310">
        <v>0</v>
      </c>
      <c r="CT48" s="310">
        <v>0</v>
      </c>
      <c r="CU48" s="310">
        <v>0</v>
      </c>
      <c r="CV48" s="310">
        <v>0</v>
      </c>
      <c r="CW48" s="310">
        <v>0</v>
      </c>
      <c r="CX48" s="310">
        <v>0</v>
      </c>
      <c r="CY48" s="310">
        <v>0</v>
      </c>
      <c r="CZ48" s="310">
        <v>0</v>
      </c>
      <c r="DA48" s="310">
        <v>0</v>
      </c>
      <c r="DB48" s="310">
        <v>0</v>
      </c>
      <c r="DC48" s="310">
        <v>0</v>
      </c>
      <c r="DD48" s="310">
        <v>0</v>
      </c>
      <c r="DE48" s="310">
        <v>0</v>
      </c>
      <c r="DF48" s="310">
        <v>0</v>
      </c>
      <c r="DG48" s="310">
        <v>0</v>
      </c>
      <c r="DH48" s="310">
        <v>0</v>
      </c>
      <c r="DI48" s="310">
        <v>0</v>
      </c>
      <c r="DJ48" s="310">
        <v>0</v>
      </c>
      <c r="DK48" s="310">
        <v>0</v>
      </c>
      <c r="DL48" s="310">
        <v>0</v>
      </c>
      <c r="DM48" s="310">
        <v>0</v>
      </c>
      <c r="DN48" s="310">
        <v>0</v>
      </c>
      <c r="DO48" s="310">
        <v>0</v>
      </c>
      <c r="DP48" s="310">
        <v>0</v>
      </c>
      <c r="DQ48" s="310">
        <v>0</v>
      </c>
      <c r="DR48" s="310">
        <v>0</v>
      </c>
    </row>
    <row r="49" spans="1:122" x14ac:dyDescent="0.2">
      <c r="A49" s="307" t="s">
        <v>343</v>
      </c>
      <c r="B49" s="310">
        <v>2</v>
      </c>
      <c r="BI49" s="307" t="s">
        <v>688</v>
      </c>
      <c r="BJ49" s="310">
        <v>0</v>
      </c>
      <c r="BK49" s="310">
        <v>0</v>
      </c>
      <c r="BL49" s="310">
        <v>0</v>
      </c>
      <c r="BM49" s="310">
        <v>0</v>
      </c>
      <c r="BN49" s="310">
        <v>0</v>
      </c>
      <c r="BO49" s="310">
        <v>0</v>
      </c>
      <c r="BP49" s="310">
        <v>0</v>
      </c>
      <c r="BQ49" s="310">
        <v>0</v>
      </c>
      <c r="BR49" s="310">
        <v>0</v>
      </c>
      <c r="BS49" s="310">
        <v>0</v>
      </c>
      <c r="BT49" s="310">
        <v>0</v>
      </c>
      <c r="BU49" s="310">
        <v>0</v>
      </c>
      <c r="BV49" s="310">
        <v>0</v>
      </c>
      <c r="BW49" s="310">
        <v>0</v>
      </c>
      <c r="BX49" s="310">
        <v>0</v>
      </c>
      <c r="BY49" s="310">
        <v>0</v>
      </c>
      <c r="BZ49" s="310">
        <v>0</v>
      </c>
      <c r="CA49" s="310">
        <v>0</v>
      </c>
      <c r="CB49" s="310">
        <v>0</v>
      </c>
      <c r="CC49" s="310">
        <v>0</v>
      </c>
      <c r="CD49" s="310">
        <v>0</v>
      </c>
      <c r="CE49" s="310">
        <v>0</v>
      </c>
      <c r="CF49" s="310">
        <v>0</v>
      </c>
      <c r="CG49" s="310">
        <v>0</v>
      </c>
      <c r="CH49" s="310">
        <v>0</v>
      </c>
      <c r="CI49" s="310">
        <v>0</v>
      </c>
      <c r="CJ49" s="310">
        <v>0</v>
      </c>
      <c r="CK49" s="310">
        <v>0</v>
      </c>
      <c r="CL49" s="310">
        <v>0</v>
      </c>
      <c r="CO49" s="307" t="s">
        <v>688</v>
      </c>
      <c r="CP49" s="310">
        <v>0</v>
      </c>
      <c r="CQ49" s="310">
        <v>0</v>
      </c>
      <c r="CR49" s="310">
        <v>0</v>
      </c>
      <c r="CS49" s="310">
        <v>0</v>
      </c>
      <c r="CT49" s="310">
        <v>0</v>
      </c>
      <c r="CU49" s="310">
        <v>0</v>
      </c>
      <c r="CV49" s="310">
        <v>0</v>
      </c>
      <c r="CW49" s="310">
        <v>0</v>
      </c>
      <c r="CX49" s="310">
        <v>0</v>
      </c>
      <c r="CY49" s="310">
        <v>0</v>
      </c>
      <c r="CZ49" s="310">
        <v>0</v>
      </c>
      <c r="DA49" s="310">
        <v>0</v>
      </c>
      <c r="DB49" s="310">
        <v>0</v>
      </c>
      <c r="DC49" s="310">
        <v>0</v>
      </c>
      <c r="DD49" s="310">
        <v>0</v>
      </c>
      <c r="DE49" s="310">
        <v>0</v>
      </c>
      <c r="DF49" s="310">
        <v>0</v>
      </c>
      <c r="DG49" s="310">
        <v>0</v>
      </c>
      <c r="DH49" s="310">
        <v>0</v>
      </c>
      <c r="DI49" s="310">
        <v>0</v>
      </c>
      <c r="DJ49" s="310">
        <v>0</v>
      </c>
      <c r="DK49" s="310">
        <v>0</v>
      </c>
      <c r="DL49" s="310">
        <v>0</v>
      </c>
      <c r="DM49" s="310">
        <v>0</v>
      </c>
      <c r="DN49" s="310">
        <v>0</v>
      </c>
      <c r="DO49" s="310">
        <v>0</v>
      </c>
      <c r="DP49" s="310">
        <v>0</v>
      </c>
      <c r="DQ49" s="310">
        <v>0</v>
      </c>
      <c r="DR49" s="310">
        <v>0</v>
      </c>
    </row>
    <row r="50" spans="1:122" x14ac:dyDescent="0.2">
      <c r="A50" s="307" t="s">
        <v>679</v>
      </c>
      <c r="B50" s="310">
        <v>1</v>
      </c>
      <c r="BI50" s="307" t="s">
        <v>425</v>
      </c>
      <c r="BJ50" s="310">
        <v>0</v>
      </c>
      <c r="BK50" s="310">
        <v>0</v>
      </c>
      <c r="BL50" s="310">
        <v>0</v>
      </c>
      <c r="BM50" s="310">
        <v>0</v>
      </c>
      <c r="BN50" s="310">
        <v>0</v>
      </c>
      <c r="BO50" s="310">
        <v>0</v>
      </c>
      <c r="BP50" s="310">
        <v>0</v>
      </c>
      <c r="BQ50" s="310">
        <v>0</v>
      </c>
      <c r="BR50" s="310">
        <v>0</v>
      </c>
      <c r="BS50" s="310">
        <v>0</v>
      </c>
      <c r="BT50" s="310">
        <v>0</v>
      </c>
      <c r="BU50" s="310">
        <v>0</v>
      </c>
      <c r="BV50" s="310">
        <v>0</v>
      </c>
      <c r="BW50" s="310">
        <v>0</v>
      </c>
      <c r="BX50" s="310">
        <v>0</v>
      </c>
      <c r="BY50" s="310">
        <v>0</v>
      </c>
      <c r="BZ50" s="310">
        <v>0</v>
      </c>
      <c r="CA50" s="310">
        <v>0</v>
      </c>
      <c r="CB50" s="310">
        <v>0</v>
      </c>
      <c r="CC50" s="310">
        <v>0</v>
      </c>
      <c r="CD50" s="310">
        <v>0</v>
      </c>
      <c r="CE50" s="310">
        <v>0</v>
      </c>
      <c r="CF50" s="310">
        <v>0</v>
      </c>
      <c r="CG50" s="310">
        <v>0</v>
      </c>
      <c r="CH50" s="310">
        <v>0</v>
      </c>
      <c r="CI50" s="310">
        <v>0</v>
      </c>
      <c r="CJ50" s="310">
        <v>0</v>
      </c>
      <c r="CK50" s="310">
        <v>0</v>
      </c>
      <c r="CL50" s="310">
        <v>0</v>
      </c>
      <c r="CO50" s="307" t="s">
        <v>425</v>
      </c>
      <c r="CP50" s="310">
        <v>0</v>
      </c>
      <c r="CQ50" s="310">
        <v>0</v>
      </c>
      <c r="CR50" s="310">
        <v>0</v>
      </c>
      <c r="CS50" s="310">
        <v>0</v>
      </c>
      <c r="CT50" s="310">
        <v>0</v>
      </c>
      <c r="CU50" s="310">
        <v>0</v>
      </c>
      <c r="CV50" s="310">
        <v>0</v>
      </c>
      <c r="CW50" s="310">
        <v>0</v>
      </c>
      <c r="CX50" s="310">
        <v>0</v>
      </c>
      <c r="CY50" s="310">
        <v>0</v>
      </c>
      <c r="CZ50" s="310">
        <v>0</v>
      </c>
      <c r="DA50" s="310">
        <v>0</v>
      </c>
      <c r="DB50" s="310">
        <v>0</v>
      </c>
      <c r="DC50" s="310">
        <v>0</v>
      </c>
      <c r="DD50" s="310">
        <v>0</v>
      </c>
      <c r="DE50" s="310">
        <v>0</v>
      </c>
      <c r="DF50" s="310">
        <v>0</v>
      </c>
      <c r="DG50" s="310">
        <v>0</v>
      </c>
      <c r="DH50" s="310">
        <v>0</v>
      </c>
      <c r="DI50" s="310">
        <v>0</v>
      </c>
      <c r="DJ50" s="310">
        <v>0</v>
      </c>
      <c r="DK50" s="310">
        <v>0</v>
      </c>
      <c r="DL50" s="310">
        <v>0</v>
      </c>
      <c r="DM50" s="310">
        <v>0</v>
      </c>
      <c r="DN50" s="310">
        <v>0</v>
      </c>
      <c r="DO50" s="310">
        <v>0</v>
      </c>
      <c r="DP50" s="310">
        <v>0</v>
      </c>
      <c r="DQ50" s="310">
        <v>0</v>
      </c>
      <c r="DR50" s="310">
        <v>0</v>
      </c>
    </row>
    <row r="51" spans="1:122" x14ac:dyDescent="0.2">
      <c r="A51" s="307" t="s">
        <v>680</v>
      </c>
      <c r="B51" s="310">
        <v>1</v>
      </c>
      <c r="BI51" s="307" t="s">
        <v>689</v>
      </c>
      <c r="BJ51" s="310">
        <v>0</v>
      </c>
      <c r="BK51" s="310">
        <v>0</v>
      </c>
      <c r="BL51" s="310">
        <v>0</v>
      </c>
      <c r="BM51" s="310">
        <v>0</v>
      </c>
      <c r="BN51" s="310">
        <v>0</v>
      </c>
      <c r="BO51" s="310">
        <v>0</v>
      </c>
      <c r="BP51" s="310">
        <v>0</v>
      </c>
      <c r="BQ51" s="310">
        <v>0</v>
      </c>
      <c r="BR51" s="310">
        <v>0</v>
      </c>
      <c r="BS51" s="310">
        <v>0</v>
      </c>
      <c r="BT51" s="310">
        <v>0</v>
      </c>
      <c r="BU51" s="310">
        <v>0</v>
      </c>
      <c r="BV51" s="310">
        <v>0</v>
      </c>
      <c r="BW51" s="310">
        <v>0</v>
      </c>
      <c r="BX51" s="310">
        <v>0</v>
      </c>
      <c r="BY51" s="310">
        <v>0</v>
      </c>
      <c r="BZ51" s="310">
        <v>0</v>
      </c>
      <c r="CA51" s="310">
        <v>0</v>
      </c>
      <c r="CB51" s="310">
        <v>0</v>
      </c>
      <c r="CC51" s="310">
        <v>0</v>
      </c>
      <c r="CD51" s="310">
        <v>0</v>
      </c>
      <c r="CE51" s="310">
        <v>0</v>
      </c>
      <c r="CF51" s="310">
        <v>0</v>
      </c>
      <c r="CG51" s="310">
        <v>0</v>
      </c>
      <c r="CH51" s="310">
        <v>0</v>
      </c>
      <c r="CI51" s="310">
        <v>0</v>
      </c>
      <c r="CJ51" s="310">
        <v>4306.0802326205903</v>
      </c>
      <c r="CK51" s="310">
        <v>0</v>
      </c>
      <c r="CL51" s="310">
        <v>0</v>
      </c>
      <c r="CO51" s="307" t="s">
        <v>689</v>
      </c>
      <c r="CP51" s="310">
        <v>0</v>
      </c>
      <c r="CQ51" s="310">
        <v>0</v>
      </c>
      <c r="CR51" s="310">
        <v>0</v>
      </c>
      <c r="CS51" s="310">
        <v>0</v>
      </c>
      <c r="CT51" s="310">
        <v>0</v>
      </c>
      <c r="CU51" s="310">
        <v>0</v>
      </c>
      <c r="CV51" s="310">
        <v>0</v>
      </c>
      <c r="CW51" s="310">
        <v>0</v>
      </c>
      <c r="CX51" s="310">
        <v>0</v>
      </c>
      <c r="CY51" s="310">
        <v>0</v>
      </c>
      <c r="CZ51" s="310">
        <v>0</v>
      </c>
      <c r="DA51" s="310">
        <v>0</v>
      </c>
      <c r="DB51" s="310">
        <v>0</v>
      </c>
      <c r="DC51" s="310">
        <v>0</v>
      </c>
      <c r="DD51" s="310">
        <v>0</v>
      </c>
      <c r="DE51" s="310">
        <v>0</v>
      </c>
      <c r="DF51" s="310">
        <v>0</v>
      </c>
      <c r="DG51" s="310">
        <v>0</v>
      </c>
      <c r="DH51" s="310">
        <v>0</v>
      </c>
      <c r="DI51" s="310">
        <v>0</v>
      </c>
      <c r="DJ51" s="310">
        <v>0</v>
      </c>
      <c r="DK51" s="310">
        <v>0</v>
      </c>
      <c r="DL51" s="310">
        <v>0</v>
      </c>
      <c r="DM51" s="310">
        <v>0</v>
      </c>
      <c r="DN51" s="310">
        <v>0</v>
      </c>
      <c r="DO51" s="310">
        <v>0</v>
      </c>
      <c r="DP51" s="310">
        <v>1</v>
      </c>
      <c r="DQ51" s="310">
        <v>0</v>
      </c>
      <c r="DR51" s="310">
        <v>0</v>
      </c>
    </row>
    <row r="52" spans="1:122" x14ac:dyDescent="0.2">
      <c r="A52" s="307" t="s">
        <v>681</v>
      </c>
      <c r="B52" s="310">
        <v>1</v>
      </c>
      <c r="BI52" s="307" t="s">
        <v>690</v>
      </c>
      <c r="BJ52" s="310">
        <v>0</v>
      </c>
      <c r="BK52" s="310">
        <v>0</v>
      </c>
      <c r="BL52" s="310">
        <v>0</v>
      </c>
      <c r="BM52" s="310">
        <v>0</v>
      </c>
      <c r="BN52" s="310">
        <v>0</v>
      </c>
      <c r="BO52" s="310">
        <v>0</v>
      </c>
      <c r="BP52" s="310">
        <v>0</v>
      </c>
      <c r="BQ52" s="310">
        <v>0</v>
      </c>
      <c r="BR52" s="310">
        <v>0</v>
      </c>
      <c r="BS52" s="310">
        <v>0</v>
      </c>
      <c r="BT52" s="310">
        <v>0</v>
      </c>
      <c r="BU52" s="310">
        <v>0</v>
      </c>
      <c r="BV52" s="310">
        <v>0</v>
      </c>
      <c r="BW52" s="310">
        <v>0</v>
      </c>
      <c r="BX52" s="310">
        <v>0</v>
      </c>
      <c r="BY52" s="310">
        <v>0</v>
      </c>
      <c r="BZ52" s="310">
        <v>0</v>
      </c>
      <c r="CA52" s="310">
        <v>0</v>
      </c>
      <c r="CB52" s="310">
        <v>0</v>
      </c>
      <c r="CC52" s="310">
        <v>0</v>
      </c>
      <c r="CD52" s="310">
        <v>0</v>
      </c>
      <c r="CE52" s="310">
        <v>0</v>
      </c>
      <c r="CF52" s="310">
        <v>0</v>
      </c>
      <c r="CG52" s="310">
        <v>0</v>
      </c>
      <c r="CH52" s="310">
        <v>0</v>
      </c>
      <c r="CI52" s="310">
        <v>0</v>
      </c>
      <c r="CJ52" s="310">
        <v>0</v>
      </c>
      <c r="CK52" s="310">
        <v>0</v>
      </c>
      <c r="CL52" s="310">
        <v>0</v>
      </c>
      <c r="CO52" s="307" t="s">
        <v>690</v>
      </c>
      <c r="CP52" s="310">
        <v>0</v>
      </c>
      <c r="CQ52" s="310">
        <v>0</v>
      </c>
      <c r="CR52" s="310">
        <v>0</v>
      </c>
      <c r="CS52" s="310">
        <v>0</v>
      </c>
      <c r="CT52" s="310">
        <v>0</v>
      </c>
      <c r="CU52" s="310">
        <v>0</v>
      </c>
      <c r="CV52" s="310">
        <v>0</v>
      </c>
      <c r="CW52" s="310">
        <v>0</v>
      </c>
      <c r="CX52" s="310">
        <v>0</v>
      </c>
      <c r="CY52" s="310">
        <v>0</v>
      </c>
      <c r="CZ52" s="310">
        <v>0</v>
      </c>
      <c r="DA52" s="310">
        <v>0</v>
      </c>
      <c r="DB52" s="310">
        <v>0</v>
      </c>
      <c r="DC52" s="310">
        <v>0</v>
      </c>
      <c r="DD52" s="310">
        <v>0</v>
      </c>
      <c r="DE52" s="310">
        <v>0</v>
      </c>
      <c r="DF52" s="310">
        <v>0</v>
      </c>
      <c r="DG52" s="310">
        <v>0</v>
      </c>
      <c r="DH52" s="310">
        <v>0</v>
      </c>
      <c r="DI52" s="310">
        <v>0</v>
      </c>
      <c r="DJ52" s="310">
        <v>0</v>
      </c>
      <c r="DK52" s="310">
        <v>0</v>
      </c>
      <c r="DL52" s="310">
        <v>0</v>
      </c>
      <c r="DM52" s="310">
        <v>0</v>
      </c>
      <c r="DN52" s="310">
        <v>0</v>
      </c>
      <c r="DO52" s="310">
        <v>0</v>
      </c>
      <c r="DP52" s="310">
        <v>0</v>
      </c>
      <c r="DQ52" s="310">
        <v>0</v>
      </c>
      <c r="DR52" s="310">
        <v>0</v>
      </c>
    </row>
    <row r="53" spans="1:122" x14ac:dyDescent="0.2">
      <c r="A53" s="307" t="s">
        <v>682</v>
      </c>
      <c r="B53" s="310">
        <v>1</v>
      </c>
      <c r="BI53" s="307" t="s">
        <v>691</v>
      </c>
      <c r="BJ53" s="310">
        <v>0</v>
      </c>
      <c r="BK53" s="310">
        <v>0</v>
      </c>
      <c r="BL53" s="310">
        <v>0</v>
      </c>
      <c r="BM53" s="310">
        <v>0</v>
      </c>
      <c r="BN53" s="310">
        <v>0</v>
      </c>
      <c r="BO53" s="310">
        <v>0</v>
      </c>
      <c r="BP53" s="310">
        <v>0</v>
      </c>
      <c r="BQ53" s="310">
        <v>0</v>
      </c>
      <c r="BR53" s="310">
        <v>0</v>
      </c>
      <c r="BS53" s="310">
        <v>0</v>
      </c>
      <c r="BT53" s="310">
        <v>0</v>
      </c>
      <c r="BU53" s="310">
        <v>0</v>
      </c>
      <c r="BV53" s="310">
        <v>0</v>
      </c>
      <c r="BW53" s="310">
        <v>0</v>
      </c>
      <c r="BX53" s="310">
        <v>0</v>
      </c>
      <c r="BY53" s="310">
        <v>0</v>
      </c>
      <c r="BZ53" s="310">
        <v>0</v>
      </c>
      <c r="CA53" s="310">
        <v>0</v>
      </c>
      <c r="CB53" s="310">
        <v>0</v>
      </c>
      <c r="CC53" s="310">
        <v>0</v>
      </c>
      <c r="CD53" s="310">
        <v>0</v>
      </c>
      <c r="CE53" s="310">
        <v>0</v>
      </c>
      <c r="CF53" s="310">
        <v>0</v>
      </c>
      <c r="CG53" s="310">
        <v>0</v>
      </c>
      <c r="CH53" s="310">
        <v>0</v>
      </c>
      <c r="CI53" s="310">
        <v>0</v>
      </c>
      <c r="CJ53" s="310">
        <v>0</v>
      </c>
      <c r="CK53" s="310">
        <v>0</v>
      </c>
      <c r="CL53" s="310">
        <v>0</v>
      </c>
      <c r="CO53" s="307" t="s">
        <v>691</v>
      </c>
      <c r="CP53" s="310">
        <v>0</v>
      </c>
      <c r="CQ53" s="310">
        <v>0</v>
      </c>
      <c r="CR53" s="310">
        <v>0</v>
      </c>
      <c r="CS53" s="310">
        <v>0</v>
      </c>
      <c r="CT53" s="310">
        <v>0</v>
      </c>
      <c r="CU53" s="310">
        <v>0</v>
      </c>
      <c r="CV53" s="310">
        <v>0</v>
      </c>
      <c r="CW53" s="310">
        <v>0</v>
      </c>
      <c r="CX53" s="310">
        <v>0</v>
      </c>
      <c r="CY53" s="310">
        <v>0</v>
      </c>
      <c r="CZ53" s="310">
        <v>0</v>
      </c>
      <c r="DA53" s="310">
        <v>0</v>
      </c>
      <c r="DB53" s="310">
        <v>0</v>
      </c>
      <c r="DC53" s="310">
        <v>0</v>
      </c>
      <c r="DD53" s="310">
        <v>0</v>
      </c>
      <c r="DE53" s="310">
        <v>0</v>
      </c>
      <c r="DF53" s="310">
        <v>0</v>
      </c>
      <c r="DG53" s="310">
        <v>0</v>
      </c>
      <c r="DH53" s="310">
        <v>0</v>
      </c>
      <c r="DI53" s="310">
        <v>0</v>
      </c>
      <c r="DJ53" s="310">
        <v>0</v>
      </c>
      <c r="DK53" s="310">
        <v>0</v>
      </c>
      <c r="DL53" s="310">
        <v>0</v>
      </c>
      <c r="DM53" s="310">
        <v>0</v>
      </c>
      <c r="DN53" s="310">
        <v>0</v>
      </c>
      <c r="DO53" s="310">
        <v>0</v>
      </c>
      <c r="DP53" s="310">
        <v>0</v>
      </c>
      <c r="DQ53" s="310">
        <v>0</v>
      </c>
      <c r="DR53" s="310">
        <v>0</v>
      </c>
    </row>
    <row r="54" spans="1:122" x14ac:dyDescent="0.2">
      <c r="A54" s="307" t="s">
        <v>683</v>
      </c>
      <c r="B54" s="310">
        <v>1</v>
      </c>
      <c r="BI54" s="307" t="s">
        <v>552</v>
      </c>
      <c r="BJ54" s="310">
        <v>0</v>
      </c>
      <c r="BK54" s="310">
        <v>0</v>
      </c>
      <c r="BL54" s="310">
        <v>0</v>
      </c>
      <c r="BM54" s="310">
        <v>0</v>
      </c>
      <c r="BN54" s="310">
        <v>0</v>
      </c>
      <c r="BO54" s="310">
        <v>0</v>
      </c>
      <c r="BP54" s="310">
        <v>0</v>
      </c>
      <c r="BQ54" s="310">
        <v>0</v>
      </c>
      <c r="BR54" s="310">
        <v>0</v>
      </c>
      <c r="BS54" s="310">
        <v>0</v>
      </c>
      <c r="BT54" s="310">
        <v>0</v>
      </c>
      <c r="BU54" s="310">
        <v>0</v>
      </c>
      <c r="BV54" s="310">
        <v>0</v>
      </c>
      <c r="BW54" s="310">
        <v>0</v>
      </c>
      <c r="BX54" s="310">
        <v>0</v>
      </c>
      <c r="BY54" s="310">
        <v>0</v>
      </c>
      <c r="BZ54" s="310">
        <v>0</v>
      </c>
      <c r="CA54" s="310">
        <v>0</v>
      </c>
      <c r="CB54" s="310">
        <v>0</v>
      </c>
      <c r="CC54" s="310">
        <v>0</v>
      </c>
      <c r="CD54" s="310">
        <v>0</v>
      </c>
      <c r="CE54" s="310">
        <v>0</v>
      </c>
      <c r="CF54" s="310">
        <v>0</v>
      </c>
      <c r="CG54" s="310">
        <v>0</v>
      </c>
      <c r="CH54" s="310">
        <v>0</v>
      </c>
      <c r="CI54" s="310">
        <v>0</v>
      </c>
      <c r="CJ54" s="310">
        <v>0</v>
      </c>
      <c r="CK54" s="310">
        <v>0</v>
      </c>
      <c r="CL54" s="310">
        <v>0</v>
      </c>
      <c r="CO54" s="307" t="s">
        <v>552</v>
      </c>
      <c r="CP54" s="310">
        <v>0</v>
      </c>
      <c r="CQ54" s="310">
        <v>0</v>
      </c>
      <c r="CR54" s="310">
        <v>0</v>
      </c>
      <c r="CS54" s="310">
        <v>0</v>
      </c>
      <c r="CT54" s="310">
        <v>0</v>
      </c>
      <c r="CU54" s="310">
        <v>0</v>
      </c>
      <c r="CV54" s="310">
        <v>0</v>
      </c>
      <c r="CW54" s="310">
        <v>0</v>
      </c>
      <c r="CX54" s="310">
        <v>0</v>
      </c>
      <c r="CY54" s="310">
        <v>0</v>
      </c>
      <c r="CZ54" s="310">
        <v>0</v>
      </c>
      <c r="DA54" s="310">
        <v>0</v>
      </c>
      <c r="DB54" s="310">
        <v>0</v>
      </c>
      <c r="DC54" s="310">
        <v>0</v>
      </c>
      <c r="DD54" s="310">
        <v>0</v>
      </c>
      <c r="DE54" s="310">
        <v>0</v>
      </c>
      <c r="DF54" s="310">
        <v>0</v>
      </c>
      <c r="DG54" s="310">
        <v>0</v>
      </c>
      <c r="DH54" s="310">
        <v>0</v>
      </c>
      <c r="DI54" s="310">
        <v>0</v>
      </c>
      <c r="DJ54" s="310">
        <v>0</v>
      </c>
      <c r="DK54" s="310">
        <v>0</v>
      </c>
      <c r="DL54" s="310">
        <v>0</v>
      </c>
      <c r="DM54" s="310">
        <v>0</v>
      </c>
      <c r="DN54" s="310">
        <v>0</v>
      </c>
      <c r="DO54" s="310">
        <v>0</v>
      </c>
      <c r="DP54" s="310">
        <v>0</v>
      </c>
      <c r="DQ54" s="310">
        <v>0</v>
      </c>
      <c r="DR54" s="310">
        <v>0</v>
      </c>
    </row>
    <row r="55" spans="1:122" x14ac:dyDescent="0.2">
      <c r="A55" s="307" t="s">
        <v>684</v>
      </c>
      <c r="B55" s="310">
        <v>1</v>
      </c>
      <c r="BI55" s="307" t="s">
        <v>517</v>
      </c>
      <c r="BJ55" s="310">
        <v>0</v>
      </c>
      <c r="BK55" s="310">
        <v>0</v>
      </c>
      <c r="BL55" s="310">
        <v>0</v>
      </c>
      <c r="BM55" s="310">
        <v>0</v>
      </c>
      <c r="BN55" s="310">
        <v>0</v>
      </c>
      <c r="BO55" s="310">
        <v>0</v>
      </c>
      <c r="BP55" s="310">
        <v>0</v>
      </c>
      <c r="BQ55" s="310">
        <v>0</v>
      </c>
      <c r="BR55" s="310">
        <v>0</v>
      </c>
      <c r="BS55" s="310">
        <v>0</v>
      </c>
      <c r="BT55" s="310">
        <v>0</v>
      </c>
      <c r="BU55" s="310">
        <v>0</v>
      </c>
      <c r="BV55" s="310">
        <v>0</v>
      </c>
      <c r="BW55" s="310">
        <v>0</v>
      </c>
      <c r="BX55" s="310">
        <v>0</v>
      </c>
      <c r="BY55" s="310">
        <v>0</v>
      </c>
      <c r="BZ55" s="310">
        <v>0</v>
      </c>
      <c r="CA55" s="310">
        <v>0</v>
      </c>
      <c r="CB55" s="310">
        <v>0</v>
      </c>
      <c r="CC55" s="310">
        <v>0</v>
      </c>
      <c r="CD55" s="310">
        <v>0</v>
      </c>
      <c r="CE55" s="310">
        <v>0</v>
      </c>
      <c r="CF55" s="310">
        <v>0</v>
      </c>
      <c r="CG55" s="310">
        <v>0</v>
      </c>
      <c r="CH55" s="310">
        <v>0</v>
      </c>
      <c r="CI55" s="310">
        <v>0</v>
      </c>
      <c r="CJ55" s="310">
        <v>0</v>
      </c>
      <c r="CK55" s="310">
        <v>0</v>
      </c>
      <c r="CL55" s="310">
        <v>0</v>
      </c>
      <c r="CO55" s="307" t="s">
        <v>517</v>
      </c>
      <c r="CP55" s="310">
        <v>0</v>
      </c>
      <c r="CQ55" s="310">
        <v>0</v>
      </c>
      <c r="CR55" s="310">
        <v>0</v>
      </c>
      <c r="CS55" s="310">
        <v>0</v>
      </c>
      <c r="CT55" s="310">
        <v>0</v>
      </c>
      <c r="CU55" s="310">
        <v>0</v>
      </c>
      <c r="CV55" s="310">
        <v>0</v>
      </c>
      <c r="CW55" s="310">
        <v>0</v>
      </c>
      <c r="CX55" s="310">
        <v>0</v>
      </c>
      <c r="CY55" s="310">
        <v>0</v>
      </c>
      <c r="CZ55" s="310">
        <v>0</v>
      </c>
      <c r="DA55" s="310">
        <v>0</v>
      </c>
      <c r="DB55" s="310">
        <v>0</v>
      </c>
      <c r="DC55" s="310">
        <v>0</v>
      </c>
      <c r="DD55" s="310">
        <v>0</v>
      </c>
      <c r="DE55" s="310">
        <v>0</v>
      </c>
      <c r="DF55" s="310">
        <v>0</v>
      </c>
      <c r="DG55" s="310">
        <v>0</v>
      </c>
      <c r="DH55" s="310">
        <v>0</v>
      </c>
      <c r="DI55" s="310">
        <v>0</v>
      </c>
      <c r="DJ55" s="310">
        <v>0</v>
      </c>
      <c r="DK55" s="310">
        <v>0</v>
      </c>
      <c r="DL55" s="310">
        <v>0</v>
      </c>
      <c r="DM55" s="310">
        <v>0</v>
      </c>
      <c r="DN55" s="310">
        <v>0</v>
      </c>
      <c r="DO55" s="310">
        <v>0</v>
      </c>
      <c r="DP55" s="310">
        <v>0</v>
      </c>
      <c r="DQ55" s="310">
        <v>0</v>
      </c>
      <c r="DR55" s="310">
        <v>0</v>
      </c>
    </row>
    <row r="56" spans="1:122" x14ac:dyDescent="0.2">
      <c r="A56" s="307" t="s">
        <v>685</v>
      </c>
      <c r="B56" s="310">
        <v>1</v>
      </c>
      <c r="BI56" s="307" t="s">
        <v>515</v>
      </c>
      <c r="BJ56" s="310">
        <v>0</v>
      </c>
      <c r="BK56" s="310">
        <v>0</v>
      </c>
      <c r="BL56" s="310">
        <v>0</v>
      </c>
      <c r="BM56" s="310">
        <v>0</v>
      </c>
      <c r="BN56" s="310">
        <v>0</v>
      </c>
      <c r="BO56" s="310">
        <v>0</v>
      </c>
      <c r="BP56" s="310">
        <v>0</v>
      </c>
      <c r="BQ56" s="310">
        <v>0</v>
      </c>
      <c r="BR56" s="310">
        <v>0</v>
      </c>
      <c r="BS56" s="310">
        <v>0</v>
      </c>
      <c r="BT56" s="310">
        <v>0</v>
      </c>
      <c r="BU56" s="310">
        <v>0</v>
      </c>
      <c r="BV56" s="310">
        <v>0</v>
      </c>
      <c r="BW56" s="310">
        <v>0</v>
      </c>
      <c r="BX56" s="310">
        <v>0</v>
      </c>
      <c r="BY56" s="310">
        <v>0</v>
      </c>
      <c r="BZ56" s="310">
        <v>0</v>
      </c>
      <c r="CA56" s="310">
        <v>0</v>
      </c>
      <c r="CB56" s="310">
        <v>0</v>
      </c>
      <c r="CC56" s="310">
        <v>0</v>
      </c>
      <c r="CD56" s="310">
        <v>0</v>
      </c>
      <c r="CE56" s="310">
        <v>0</v>
      </c>
      <c r="CF56" s="310">
        <v>0</v>
      </c>
      <c r="CG56" s="310">
        <v>0</v>
      </c>
      <c r="CH56" s="310">
        <v>0</v>
      </c>
      <c r="CI56" s="310">
        <v>0</v>
      </c>
      <c r="CJ56" s="310">
        <v>0</v>
      </c>
      <c r="CK56" s="310">
        <v>0</v>
      </c>
      <c r="CL56" s="310">
        <v>0</v>
      </c>
      <c r="CO56" s="307" t="s">
        <v>515</v>
      </c>
      <c r="CP56" s="310">
        <v>0</v>
      </c>
      <c r="CQ56" s="310">
        <v>0</v>
      </c>
      <c r="CR56" s="310">
        <v>0</v>
      </c>
      <c r="CS56" s="310">
        <v>0</v>
      </c>
      <c r="CT56" s="310">
        <v>0</v>
      </c>
      <c r="CU56" s="310">
        <v>0</v>
      </c>
      <c r="CV56" s="310">
        <v>0</v>
      </c>
      <c r="CW56" s="310">
        <v>0</v>
      </c>
      <c r="CX56" s="310">
        <v>0</v>
      </c>
      <c r="CY56" s="310">
        <v>0</v>
      </c>
      <c r="CZ56" s="310">
        <v>0</v>
      </c>
      <c r="DA56" s="310">
        <v>0</v>
      </c>
      <c r="DB56" s="310">
        <v>0</v>
      </c>
      <c r="DC56" s="310">
        <v>0</v>
      </c>
      <c r="DD56" s="310">
        <v>0</v>
      </c>
      <c r="DE56" s="310">
        <v>0</v>
      </c>
      <c r="DF56" s="310">
        <v>0</v>
      </c>
      <c r="DG56" s="310">
        <v>0</v>
      </c>
      <c r="DH56" s="310">
        <v>0</v>
      </c>
      <c r="DI56" s="310">
        <v>0</v>
      </c>
      <c r="DJ56" s="310">
        <v>0</v>
      </c>
      <c r="DK56" s="310">
        <v>0</v>
      </c>
      <c r="DL56" s="310">
        <v>0</v>
      </c>
      <c r="DM56" s="310">
        <v>0</v>
      </c>
      <c r="DN56" s="310">
        <v>0</v>
      </c>
      <c r="DO56" s="310">
        <v>0</v>
      </c>
      <c r="DP56" s="310">
        <v>0</v>
      </c>
      <c r="DQ56" s="310">
        <v>0</v>
      </c>
      <c r="DR56" s="310">
        <v>0</v>
      </c>
    </row>
    <row r="57" spans="1:122" x14ac:dyDescent="0.2">
      <c r="A57" s="307" t="s">
        <v>686</v>
      </c>
      <c r="B57" s="310">
        <v>1</v>
      </c>
      <c r="BI57" s="307" t="s">
        <v>692</v>
      </c>
      <c r="BJ57" s="310">
        <v>0</v>
      </c>
      <c r="BK57" s="310">
        <v>0</v>
      </c>
      <c r="BL57" s="310">
        <v>0</v>
      </c>
      <c r="BM57" s="310">
        <v>0</v>
      </c>
      <c r="BN57" s="310">
        <v>0</v>
      </c>
      <c r="BO57" s="310">
        <v>0</v>
      </c>
      <c r="BP57" s="310">
        <v>0</v>
      </c>
      <c r="BQ57" s="310">
        <v>0</v>
      </c>
      <c r="BR57" s="310">
        <v>0</v>
      </c>
      <c r="BS57" s="310">
        <v>0</v>
      </c>
      <c r="BT57" s="310">
        <v>0</v>
      </c>
      <c r="BU57" s="310">
        <v>0</v>
      </c>
      <c r="BV57" s="310">
        <v>0</v>
      </c>
      <c r="BW57" s="310">
        <v>0</v>
      </c>
      <c r="BX57" s="310">
        <v>0</v>
      </c>
      <c r="BY57" s="310">
        <v>0</v>
      </c>
      <c r="BZ57" s="310">
        <v>0</v>
      </c>
      <c r="CA57" s="310">
        <v>0</v>
      </c>
      <c r="CB57" s="310">
        <v>0</v>
      </c>
      <c r="CC57" s="310">
        <v>0</v>
      </c>
      <c r="CD57" s="310">
        <v>0</v>
      </c>
      <c r="CE57" s="310">
        <v>0</v>
      </c>
      <c r="CF57" s="310">
        <v>0</v>
      </c>
      <c r="CG57" s="310">
        <v>0</v>
      </c>
      <c r="CH57" s="310">
        <v>0</v>
      </c>
      <c r="CI57" s="310">
        <v>0</v>
      </c>
      <c r="CJ57" s="310">
        <v>0</v>
      </c>
      <c r="CK57" s="310">
        <v>0</v>
      </c>
      <c r="CL57" s="310">
        <v>0</v>
      </c>
      <c r="CO57" s="307" t="s">
        <v>692</v>
      </c>
      <c r="CP57" s="310">
        <v>0</v>
      </c>
      <c r="CQ57" s="310">
        <v>0</v>
      </c>
      <c r="CR57" s="310">
        <v>0</v>
      </c>
      <c r="CS57" s="310">
        <v>0</v>
      </c>
      <c r="CT57" s="310">
        <v>0</v>
      </c>
      <c r="CU57" s="310">
        <v>0</v>
      </c>
      <c r="CV57" s="310">
        <v>0</v>
      </c>
      <c r="CW57" s="310">
        <v>0</v>
      </c>
      <c r="CX57" s="310">
        <v>0</v>
      </c>
      <c r="CY57" s="310">
        <v>0</v>
      </c>
      <c r="CZ57" s="310">
        <v>0</v>
      </c>
      <c r="DA57" s="310">
        <v>0</v>
      </c>
      <c r="DB57" s="310">
        <v>0</v>
      </c>
      <c r="DC57" s="310">
        <v>0</v>
      </c>
      <c r="DD57" s="310">
        <v>0</v>
      </c>
      <c r="DE57" s="310">
        <v>0</v>
      </c>
      <c r="DF57" s="310">
        <v>0</v>
      </c>
      <c r="DG57" s="310">
        <v>0</v>
      </c>
      <c r="DH57" s="310">
        <v>0</v>
      </c>
      <c r="DI57" s="310">
        <v>0</v>
      </c>
      <c r="DJ57" s="310">
        <v>0</v>
      </c>
      <c r="DK57" s="310">
        <v>0</v>
      </c>
      <c r="DL57" s="310">
        <v>0</v>
      </c>
      <c r="DM57" s="310">
        <v>0</v>
      </c>
      <c r="DN57" s="310">
        <v>0</v>
      </c>
      <c r="DO57" s="310">
        <v>0</v>
      </c>
      <c r="DP57" s="310">
        <v>0</v>
      </c>
      <c r="DQ57" s="310">
        <v>0</v>
      </c>
      <c r="DR57" s="310">
        <v>0</v>
      </c>
    </row>
    <row r="58" spans="1:122" x14ac:dyDescent="0.2">
      <c r="A58" s="307" t="s">
        <v>706</v>
      </c>
      <c r="B58" s="310">
        <v>1</v>
      </c>
      <c r="BI58" s="307" t="s">
        <v>693</v>
      </c>
      <c r="BJ58" s="310">
        <v>0</v>
      </c>
      <c r="BK58" s="310">
        <v>0</v>
      </c>
      <c r="BL58" s="310">
        <v>0</v>
      </c>
      <c r="BM58" s="310">
        <v>0</v>
      </c>
      <c r="BN58" s="310">
        <v>0</v>
      </c>
      <c r="BO58" s="310">
        <v>0</v>
      </c>
      <c r="BP58" s="310">
        <v>0</v>
      </c>
      <c r="BQ58" s="310">
        <v>0</v>
      </c>
      <c r="BR58" s="310">
        <v>0</v>
      </c>
      <c r="BS58" s="310">
        <v>0</v>
      </c>
      <c r="BT58" s="310">
        <v>0</v>
      </c>
      <c r="BU58" s="310">
        <v>0</v>
      </c>
      <c r="BV58" s="310">
        <v>0</v>
      </c>
      <c r="BW58" s="310">
        <v>0</v>
      </c>
      <c r="BX58" s="310">
        <v>0</v>
      </c>
      <c r="BY58" s="310">
        <v>0</v>
      </c>
      <c r="BZ58" s="310">
        <v>0</v>
      </c>
      <c r="CA58" s="310">
        <v>0</v>
      </c>
      <c r="CB58" s="310">
        <v>0</v>
      </c>
      <c r="CC58" s="310">
        <v>0</v>
      </c>
      <c r="CD58" s="310">
        <v>0</v>
      </c>
      <c r="CE58" s="310">
        <v>0</v>
      </c>
      <c r="CF58" s="310">
        <v>0</v>
      </c>
      <c r="CG58" s="310">
        <v>0</v>
      </c>
      <c r="CH58" s="310">
        <v>0</v>
      </c>
      <c r="CI58" s="310">
        <v>0</v>
      </c>
      <c r="CJ58" s="310">
        <v>0</v>
      </c>
      <c r="CK58" s="310">
        <v>0</v>
      </c>
      <c r="CL58" s="310">
        <v>0</v>
      </c>
      <c r="CO58" s="307" t="s">
        <v>693</v>
      </c>
      <c r="CP58" s="310">
        <v>0</v>
      </c>
      <c r="CQ58" s="310">
        <v>0</v>
      </c>
      <c r="CR58" s="310">
        <v>0</v>
      </c>
      <c r="CS58" s="310">
        <v>0</v>
      </c>
      <c r="CT58" s="310">
        <v>0</v>
      </c>
      <c r="CU58" s="310">
        <v>0</v>
      </c>
      <c r="CV58" s="310">
        <v>0</v>
      </c>
      <c r="CW58" s="310">
        <v>0</v>
      </c>
      <c r="CX58" s="310">
        <v>0</v>
      </c>
      <c r="CY58" s="310">
        <v>0</v>
      </c>
      <c r="CZ58" s="310">
        <v>0</v>
      </c>
      <c r="DA58" s="310">
        <v>0</v>
      </c>
      <c r="DB58" s="310">
        <v>0</v>
      </c>
      <c r="DC58" s="310">
        <v>0</v>
      </c>
      <c r="DD58" s="310">
        <v>0</v>
      </c>
      <c r="DE58" s="310">
        <v>0</v>
      </c>
      <c r="DF58" s="310">
        <v>0</v>
      </c>
      <c r="DG58" s="310">
        <v>0</v>
      </c>
      <c r="DH58" s="310">
        <v>0</v>
      </c>
      <c r="DI58" s="310">
        <v>0</v>
      </c>
      <c r="DJ58" s="310">
        <v>0</v>
      </c>
      <c r="DK58" s="310">
        <v>0</v>
      </c>
      <c r="DL58" s="310">
        <v>0</v>
      </c>
      <c r="DM58" s="310">
        <v>0</v>
      </c>
      <c r="DN58" s="310">
        <v>0</v>
      </c>
      <c r="DO58" s="310">
        <v>0</v>
      </c>
      <c r="DP58" s="310">
        <v>0</v>
      </c>
      <c r="DQ58" s="310">
        <v>0</v>
      </c>
      <c r="DR58" s="310">
        <v>0</v>
      </c>
    </row>
    <row r="59" spans="1:122" x14ac:dyDescent="0.2">
      <c r="A59" s="307" t="s">
        <v>707</v>
      </c>
      <c r="B59" s="310">
        <v>1</v>
      </c>
      <c r="BJ59" s="432" t="s">
        <v>671</v>
      </c>
      <c r="BK59" s="433"/>
      <c r="BL59" s="433"/>
      <c r="BM59" s="433"/>
      <c r="BN59" s="433"/>
      <c r="BO59" s="433"/>
      <c r="BP59" s="433"/>
      <c r="BQ59" s="433"/>
      <c r="BR59" s="433"/>
      <c r="BS59" s="433"/>
      <c r="BT59" s="433"/>
      <c r="BU59" s="433"/>
      <c r="BV59" s="433"/>
      <c r="BW59" s="433"/>
      <c r="BX59" s="433"/>
      <c r="BY59" s="433"/>
      <c r="BZ59" s="433"/>
      <c r="CA59" s="433"/>
      <c r="CB59" s="433"/>
      <c r="CC59" s="433"/>
      <c r="CD59" s="433"/>
      <c r="CE59" s="433"/>
      <c r="CF59" s="433"/>
      <c r="CG59" s="433"/>
      <c r="CH59" s="433"/>
      <c r="CI59" s="433"/>
      <c r="CJ59" s="433"/>
      <c r="CK59" s="433"/>
      <c r="CL59" s="433"/>
      <c r="CP59" s="432" t="s">
        <v>672</v>
      </c>
      <c r="CQ59" s="433"/>
      <c r="CR59" s="433"/>
      <c r="CS59" s="433"/>
      <c r="CT59" s="433"/>
      <c r="CU59" s="433"/>
      <c r="CV59" s="433"/>
      <c r="CW59" s="433"/>
      <c r="CX59" s="433"/>
      <c r="CY59" s="433"/>
      <c r="CZ59" s="433"/>
      <c r="DA59" s="433"/>
      <c r="DB59" s="433"/>
      <c r="DC59" s="433"/>
      <c r="DD59" s="433"/>
      <c r="DE59" s="433"/>
      <c r="DF59" s="433"/>
      <c r="DG59" s="433"/>
      <c r="DH59" s="433"/>
      <c r="DI59" s="433"/>
      <c r="DJ59" s="433"/>
      <c r="DK59" s="433"/>
      <c r="DL59" s="433"/>
      <c r="DM59" s="433"/>
      <c r="DN59" s="433"/>
      <c r="DO59" s="433"/>
      <c r="DP59" s="433"/>
      <c r="DQ59" s="433"/>
      <c r="DR59" s="433"/>
    </row>
    <row r="60" spans="1:122" x14ac:dyDescent="0.2">
      <c r="A60" s="307" t="s">
        <v>708</v>
      </c>
      <c r="B60" s="310">
        <v>1</v>
      </c>
    </row>
    <row r="61" spans="1:122" x14ac:dyDescent="0.2">
      <c r="A61" s="307" t="s">
        <v>446</v>
      </c>
      <c r="B61" s="310">
        <v>1</v>
      </c>
    </row>
    <row r="62" spans="1:122" ht="179" x14ac:dyDescent="0.2">
      <c r="A62" s="307" t="s">
        <v>457</v>
      </c>
      <c r="B62" s="310">
        <v>1</v>
      </c>
      <c r="BJ62" s="308" t="s">
        <v>337</v>
      </c>
      <c r="BK62" s="308" t="s">
        <v>362</v>
      </c>
      <c r="BL62" s="308" t="s">
        <v>327</v>
      </c>
      <c r="BM62" s="308" t="s">
        <v>434</v>
      </c>
      <c r="BN62" s="308" t="s">
        <v>641</v>
      </c>
      <c r="BO62" s="308" t="s">
        <v>642</v>
      </c>
      <c r="BP62" s="308" t="s">
        <v>516</v>
      </c>
      <c r="BQ62" s="308" t="s">
        <v>514</v>
      </c>
      <c r="BR62" s="308" t="s">
        <v>344</v>
      </c>
      <c r="BS62" s="308" t="s">
        <v>643</v>
      </c>
      <c r="BT62" s="308" t="s">
        <v>351</v>
      </c>
      <c r="BU62" s="308" t="s">
        <v>325</v>
      </c>
      <c r="BV62" s="308" t="s">
        <v>455</v>
      </c>
      <c r="BW62" s="308" t="s">
        <v>348</v>
      </c>
      <c r="BX62" s="308" t="s">
        <v>326</v>
      </c>
      <c r="BY62" s="308" t="s">
        <v>435</v>
      </c>
      <c r="BZ62" s="308" t="s">
        <v>644</v>
      </c>
      <c r="CA62" s="308" t="s">
        <v>645</v>
      </c>
      <c r="CB62" s="308" t="s">
        <v>646</v>
      </c>
      <c r="CC62" s="308" t="s">
        <v>647</v>
      </c>
      <c r="CD62" s="308" t="s">
        <v>648</v>
      </c>
      <c r="CE62" s="308" t="s">
        <v>649</v>
      </c>
      <c r="CF62" s="308" t="s">
        <v>76</v>
      </c>
      <c r="CG62" s="308" t="s">
        <v>650</v>
      </c>
      <c r="CH62" s="308" t="s">
        <v>651</v>
      </c>
      <c r="CI62" s="308" t="s">
        <v>652</v>
      </c>
      <c r="CJ62" s="308" t="s">
        <v>653</v>
      </c>
      <c r="CK62" s="308" t="s">
        <v>349</v>
      </c>
      <c r="CL62" s="308" t="s">
        <v>654</v>
      </c>
    </row>
    <row r="63" spans="1:122" x14ac:dyDescent="0.2">
      <c r="A63" s="307" t="s">
        <v>687</v>
      </c>
      <c r="B63" s="310">
        <v>1</v>
      </c>
      <c r="BI63" s="307" t="s">
        <v>484</v>
      </c>
      <c r="BJ63" s="310">
        <v>0</v>
      </c>
      <c r="BK63" s="310">
        <v>0</v>
      </c>
      <c r="BL63" s="310">
        <v>0</v>
      </c>
      <c r="BM63" s="310">
        <v>0</v>
      </c>
      <c r="BN63" s="310">
        <v>0</v>
      </c>
      <c r="BO63" s="310">
        <v>0</v>
      </c>
      <c r="BP63" s="310">
        <v>0</v>
      </c>
      <c r="BQ63" s="310">
        <v>0</v>
      </c>
      <c r="BR63" s="310">
        <v>0</v>
      </c>
      <c r="BS63" s="310">
        <v>0</v>
      </c>
      <c r="BT63" s="310">
        <v>0</v>
      </c>
      <c r="BU63" s="310">
        <v>0</v>
      </c>
      <c r="BV63" s="310">
        <v>0</v>
      </c>
      <c r="BW63" s="310">
        <v>0</v>
      </c>
      <c r="BX63" s="310">
        <v>0</v>
      </c>
      <c r="BY63" s="310">
        <v>0</v>
      </c>
      <c r="BZ63" s="310">
        <v>0</v>
      </c>
      <c r="CA63" s="310">
        <v>0</v>
      </c>
      <c r="CB63" s="310">
        <v>0</v>
      </c>
      <c r="CC63" s="310">
        <v>0</v>
      </c>
      <c r="CD63" s="310">
        <v>0</v>
      </c>
      <c r="CE63" s="310">
        <v>0</v>
      </c>
      <c r="CF63" s="310">
        <v>6408288.6211381704</v>
      </c>
      <c r="CG63" s="310">
        <v>0</v>
      </c>
      <c r="CH63" s="310">
        <v>0</v>
      </c>
      <c r="CI63" s="310">
        <v>0</v>
      </c>
      <c r="CJ63" s="310">
        <v>0</v>
      </c>
      <c r="CK63" s="310">
        <v>0</v>
      </c>
      <c r="CL63" s="310">
        <v>0</v>
      </c>
    </row>
    <row r="64" spans="1:122" x14ac:dyDescent="0.2">
      <c r="A64" s="307" t="s">
        <v>688</v>
      </c>
      <c r="B64" s="310">
        <v>1</v>
      </c>
      <c r="BI64" s="307" t="s">
        <v>673</v>
      </c>
      <c r="BJ64" s="310">
        <v>0</v>
      </c>
      <c r="BK64" s="310">
        <v>0</v>
      </c>
      <c r="BL64" s="310">
        <v>0</v>
      </c>
      <c r="BM64" s="310">
        <v>0</v>
      </c>
      <c r="BN64" s="310">
        <v>0</v>
      </c>
      <c r="BO64" s="310">
        <v>45017.590801780199</v>
      </c>
      <c r="BP64" s="310">
        <v>0</v>
      </c>
      <c r="BQ64" s="310">
        <v>0</v>
      </c>
      <c r="BR64" s="310">
        <v>0</v>
      </c>
      <c r="BS64" s="310">
        <v>0</v>
      </c>
      <c r="BT64" s="310">
        <v>0</v>
      </c>
      <c r="BU64" s="310">
        <v>0</v>
      </c>
      <c r="BV64" s="310">
        <v>0</v>
      </c>
      <c r="BW64" s="310">
        <v>0</v>
      </c>
      <c r="BX64" s="310">
        <v>0</v>
      </c>
      <c r="BY64" s="310">
        <v>0</v>
      </c>
      <c r="BZ64" s="310">
        <v>0</v>
      </c>
      <c r="CA64" s="310">
        <v>0</v>
      </c>
      <c r="CB64" s="310">
        <v>0</v>
      </c>
      <c r="CC64" s="310">
        <v>0</v>
      </c>
      <c r="CD64" s="310">
        <v>0</v>
      </c>
      <c r="CE64" s="310">
        <v>0</v>
      </c>
      <c r="CF64" s="310">
        <v>0</v>
      </c>
      <c r="CG64" s="310">
        <v>0</v>
      </c>
      <c r="CH64" s="310">
        <v>0</v>
      </c>
      <c r="CI64" s="310">
        <v>0</v>
      </c>
      <c r="CJ64" s="310">
        <v>0</v>
      </c>
      <c r="CK64" s="310">
        <v>0</v>
      </c>
      <c r="CL64" s="310">
        <v>0</v>
      </c>
    </row>
    <row r="65" spans="1:90" x14ac:dyDescent="0.2">
      <c r="A65" s="307" t="s">
        <v>425</v>
      </c>
      <c r="B65" s="310">
        <v>1</v>
      </c>
      <c r="BI65" s="307" t="s">
        <v>421</v>
      </c>
      <c r="BJ65" s="310">
        <v>0</v>
      </c>
      <c r="BK65" s="310">
        <v>0</v>
      </c>
      <c r="BL65" s="310">
        <v>0</v>
      </c>
      <c r="BM65" s="310">
        <v>0</v>
      </c>
      <c r="BN65" s="310">
        <v>0</v>
      </c>
      <c r="BO65" s="310">
        <v>0</v>
      </c>
      <c r="BP65" s="310">
        <v>0</v>
      </c>
      <c r="BQ65" s="310">
        <v>0</v>
      </c>
      <c r="BR65" s="310">
        <v>0</v>
      </c>
      <c r="BS65" s="310">
        <v>0</v>
      </c>
      <c r="BT65" s="310">
        <v>0</v>
      </c>
      <c r="BU65" s="310">
        <v>0</v>
      </c>
      <c r="BV65" s="310">
        <v>0</v>
      </c>
      <c r="BW65" s="310">
        <v>0</v>
      </c>
      <c r="BX65" s="310">
        <v>0</v>
      </c>
      <c r="BY65" s="310">
        <v>0</v>
      </c>
      <c r="BZ65" s="310">
        <v>0</v>
      </c>
      <c r="CA65" s="310">
        <v>0</v>
      </c>
      <c r="CB65" s="310">
        <v>0</v>
      </c>
      <c r="CC65" s="310">
        <v>0</v>
      </c>
      <c r="CD65" s="310">
        <v>0</v>
      </c>
      <c r="CE65" s="310">
        <v>0</v>
      </c>
      <c r="CF65" s="310">
        <v>0</v>
      </c>
      <c r="CG65" s="310">
        <v>0</v>
      </c>
      <c r="CH65" s="310">
        <v>0</v>
      </c>
      <c r="CI65" s="310">
        <v>0</v>
      </c>
      <c r="CJ65" s="310">
        <v>0</v>
      </c>
      <c r="CK65" s="310">
        <v>0</v>
      </c>
      <c r="CL65" s="310">
        <v>0</v>
      </c>
    </row>
    <row r="66" spans="1:90" x14ac:dyDescent="0.2">
      <c r="A66" s="307" t="s">
        <v>689</v>
      </c>
      <c r="B66" s="310">
        <v>1</v>
      </c>
      <c r="BI66" s="307" t="s">
        <v>447</v>
      </c>
      <c r="BJ66" s="310">
        <v>0</v>
      </c>
      <c r="BK66" s="310">
        <v>0</v>
      </c>
      <c r="BL66" s="310">
        <v>0</v>
      </c>
      <c r="BM66" s="310">
        <v>0</v>
      </c>
      <c r="BN66" s="310">
        <v>0</v>
      </c>
      <c r="BO66" s="310">
        <v>0</v>
      </c>
      <c r="BP66" s="310">
        <v>0</v>
      </c>
      <c r="BQ66" s="310">
        <v>0</v>
      </c>
      <c r="BR66" s="310">
        <v>0</v>
      </c>
      <c r="BS66" s="310">
        <v>0</v>
      </c>
      <c r="BT66" s="310">
        <v>0</v>
      </c>
      <c r="BU66" s="310">
        <v>0</v>
      </c>
      <c r="BV66" s="310">
        <v>0</v>
      </c>
      <c r="BW66" s="310">
        <v>0</v>
      </c>
      <c r="BX66" s="310">
        <v>0</v>
      </c>
      <c r="BY66" s="310">
        <v>0</v>
      </c>
      <c r="BZ66" s="310">
        <v>0</v>
      </c>
      <c r="CA66" s="310">
        <v>0</v>
      </c>
      <c r="CB66" s="310">
        <v>0</v>
      </c>
      <c r="CC66" s="310">
        <v>0</v>
      </c>
      <c r="CD66" s="310">
        <v>0</v>
      </c>
      <c r="CE66" s="310">
        <v>0</v>
      </c>
      <c r="CF66" s="310">
        <v>0</v>
      </c>
      <c r="CG66" s="310">
        <v>0</v>
      </c>
      <c r="CH66" s="310">
        <v>0</v>
      </c>
      <c r="CI66" s="310">
        <v>0</v>
      </c>
      <c r="CJ66" s="310">
        <v>0</v>
      </c>
      <c r="CK66" s="310">
        <v>0</v>
      </c>
      <c r="CL66" s="310">
        <v>0</v>
      </c>
    </row>
    <row r="67" spans="1:90" x14ac:dyDescent="0.2">
      <c r="A67" s="307" t="s">
        <v>690</v>
      </c>
      <c r="B67" s="310">
        <v>1</v>
      </c>
      <c r="BI67" s="307" t="s">
        <v>445</v>
      </c>
      <c r="BJ67" s="310">
        <v>6684057.4589463603</v>
      </c>
      <c r="BK67" s="310">
        <v>0</v>
      </c>
      <c r="BL67" s="310">
        <v>0</v>
      </c>
      <c r="BM67" s="310">
        <v>0</v>
      </c>
      <c r="BN67" s="310">
        <v>0</v>
      </c>
      <c r="BO67" s="310">
        <v>0</v>
      </c>
      <c r="BP67" s="310">
        <v>0</v>
      </c>
      <c r="BQ67" s="310">
        <v>0</v>
      </c>
      <c r="BR67" s="310">
        <v>0</v>
      </c>
      <c r="BS67" s="310">
        <v>0</v>
      </c>
      <c r="BT67" s="310">
        <v>0</v>
      </c>
      <c r="BU67" s="310">
        <v>0</v>
      </c>
      <c r="BV67" s="310">
        <v>0</v>
      </c>
      <c r="BW67" s="310">
        <v>0</v>
      </c>
      <c r="BX67" s="310">
        <v>0</v>
      </c>
      <c r="BY67" s="310">
        <v>0</v>
      </c>
      <c r="BZ67" s="310">
        <v>0</v>
      </c>
      <c r="CA67" s="310">
        <v>0</v>
      </c>
      <c r="CB67" s="310">
        <v>0</v>
      </c>
      <c r="CC67" s="310">
        <v>0</v>
      </c>
      <c r="CD67" s="310">
        <v>0</v>
      </c>
      <c r="CE67" s="310">
        <v>0</v>
      </c>
      <c r="CF67" s="310">
        <v>0</v>
      </c>
      <c r="CG67" s="310">
        <v>0</v>
      </c>
      <c r="CH67" s="310">
        <v>0</v>
      </c>
      <c r="CI67" s="310">
        <v>0</v>
      </c>
      <c r="CJ67" s="310">
        <v>0</v>
      </c>
      <c r="CK67" s="310">
        <v>0</v>
      </c>
      <c r="CL67" s="310">
        <v>0</v>
      </c>
    </row>
    <row r="68" spans="1:90" x14ac:dyDescent="0.2">
      <c r="A68" s="307" t="s">
        <v>691</v>
      </c>
      <c r="B68" s="310">
        <v>1</v>
      </c>
      <c r="BI68" s="307" t="s">
        <v>456</v>
      </c>
      <c r="BJ68" s="310">
        <v>0</v>
      </c>
      <c r="BK68" s="310">
        <v>0</v>
      </c>
      <c r="BL68" s="310">
        <v>0</v>
      </c>
      <c r="BM68" s="310">
        <v>0</v>
      </c>
      <c r="BN68" s="310">
        <v>0</v>
      </c>
      <c r="BO68" s="310">
        <v>0</v>
      </c>
      <c r="BP68" s="310">
        <v>0</v>
      </c>
      <c r="BQ68" s="310">
        <v>0</v>
      </c>
      <c r="BR68" s="310">
        <v>8855804.3203369807</v>
      </c>
      <c r="BS68" s="310">
        <v>0</v>
      </c>
      <c r="BT68" s="310">
        <v>0</v>
      </c>
      <c r="BU68" s="310">
        <v>0</v>
      </c>
      <c r="BV68" s="310">
        <v>0</v>
      </c>
      <c r="BW68" s="310">
        <v>0</v>
      </c>
      <c r="BX68" s="310">
        <v>0</v>
      </c>
      <c r="BY68" s="310">
        <v>0</v>
      </c>
      <c r="BZ68" s="310">
        <v>0</v>
      </c>
      <c r="CA68" s="310">
        <v>0</v>
      </c>
      <c r="CB68" s="310">
        <v>0</v>
      </c>
      <c r="CC68" s="310">
        <v>0</v>
      </c>
      <c r="CD68" s="310">
        <v>0</v>
      </c>
      <c r="CE68" s="310">
        <v>0</v>
      </c>
      <c r="CF68" s="310">
        <v>0</v>
      </c>
      <c r="CG68" s="310">
        <v>0</v>
      </c>
      <c r="CH68" s="310">
        <v>0</v>
      </c>
      <c r="CI68" s="310">
        <v>0</v>
      </c>
      <c r="CJ68" s="310">
        <v>0</v>
      </c>
      <c r="CK68" s="310">
        <v>0</v>
      </c>
      <c r="CL68" s="310">
        <v>0</v>
      </c>
    </row>
    <row r="69" spans="1:90" x14ac:dyDescent="0.2">
      <c r="A69" s="307" t="s">
        <v>709</v>
      </c>
      <c r="B69" s="310">
        <v>1</v>
      </c>
      <c r="BI69" s="307" t="s">
        <v>430</v>
      </c>
      <c r="BJ69" s="310">
        <v>0</v>
      </c>
      <c r="BK69" s="310">
        <v>0</v>
      </c>
      <c r="BL69" s="310">
        <v>0</v>
      </c>
      <c r="BM69" s="310">
        <v>8855804.3203369807</v>
      </c>
      <c r="BN69" s="310">
        <v>0</v>
      </c>
      <c r="BO69" s="310">
        <v>0</v>
      </c>
      <c r="BP69" s="310">
        <v>0</v>
      </c>
      <c r="BQ69" s="310">
        <v>0</v>
      </c>
      <c r="BR69" s="310">
        <v>0</v>
      </c>
      <c r="BS69" s="310">
        <v>0</v>
      </c>
      <c r="BT69" s="310">
        <v>0</v>
      </c>
      <c r="BU69" s="310">
        <v>0</v>
      </c>
      <c r="BV69" s="310">
        <v>0</v>
      </c>
      <c r="BW69" s="310">
        <v>0</v>
      </c>
      <c r="BX69" s="310">
        <v>0</v>
      </c>
      <c r="BY69" s="310">
        <v>0</v>
      </c>
      <c r="BZ69" s="310">
        <v>0</v>
      </c>
      <c r="CA69" s="310">
        <v>0</v>
      </c>
      <c r="CB69" s="310">
        <v>0</v>
      </c>
      <c r="CC69" s="310">
        <v>0</v>
      </c>
      <c r="CD69" s="310">
        <v>0</v>
      </c>
      <c r="CE69" s="310">
        <v>0</v>
      </c>
      <c r="CF69" s="310">
        <v>0</v>
      </c>
      <c r="CG69" s="310">
        <v>0</v>
      </c>
      <c r="CH69" s="310">
        <v>0</v>
      </c>
      <c r="CI69" s="310">
        <v>0</v>
      </c>
      <c r="CJ69" s="310">
        <v>0</v>
      </c>
      <c r="CK69" s="310">
        <v>0</v>
      </c>
      <c r="CL69" s="310">
        <v>0</v>
      </c>
    </row>
    <row r="70" spans="1:90" x14ac:dyDescent="0.2">
      <c r="A70" s="307" t="s">
        <v>710</v>
      </c>
      <c r="B70" s="310">
        <v>1</v>
      </c>
      <c r="BI70" s="307" t="s">
        <v>433</v>
      </c>
      <c r="BJ70" s="310">
        <v>0</v>
      </c>
      <c r="BK70" s="310">
        <v>8855804.3203369807</v>
      </c>
      <c r="BL70" s="310">
        <v>0</v>
      </c>
      <c r="BM70" s="310">
        <v>0</v>
      </c>
      <c r="BN70" s="310">
        <v>0</v>
      </c>
      <c r="BO70" s="310">
        <v>0</v>
      </c>
      <c r="BP70" s="310">
        <v>0</v>
      </c>
      <c r="BQ70" s="310">
        <v>0</v>
      </c>
      <c r="BR70" s="310">
        <v>0</v>
      </c>
      <c r="BS70" s="310">
        <v>0</v>
      </c>
      <c r="BT70" s="310">
        <v>0</v>
      </c>
      <c r="BU70" s="310">
        <v>0</v>
      </c>
      <c r="BV70" s="310">
        <v>0</v>
      </c>
      <c r="BW70" s="310">
        <v>0</v>
      </c>
      <c r="BX70" s="310">
        <v>0</v>
      </c>
      <c r="BY70" s="310">
        <v>0</v>
      </c>
      <c r="BZ70" s="310">
        <v>0</v>
      </c>
      <c r="CA70" s="310">
        <v>0</v>
      </c>
      <c r="CB70" s="310">
        <v>0</v>
      </c>
      <c r="CC70" s="310">
        <v>0</v>
      </c>
      <c r="CD70" s="310">
        <v>0</v>
      </c>
      <c r="CE70" s="310">
        <v>0</v>
      </c>
      <c r="CF70" s="310">
        <v>0</v>
      </c>
      <c r="CG70" s="310">
        <v>0</v>
      </c>
      <c r="CH70" s="310">
        <v>0</v>
      </c>
      <c r="CI70" s="310">
        <v>0</v>
      </c>
      <c r="CJ70" s="310">
        <v>0</v>
      </c>
      <c r="CK70" s="310">
        <v>0</v>
      </c>
      <c r="CL70" s="310">
        <v>0</v>
      </c>
    </row>
    <row r="71" spans="1:90" x14ac:dyDescent="0.2">
      <c r="A71" s="307" t="s">
        <v>552</v>
      </c>
      <c r="B71" s="310">
        <v>1</v>
      </c>
      <c r="BI71" s="307" t="s">
        <v>336</v>
      </c>
      <c r="BJ71" s="310">
        <v>0</v>
      </c>
      <c r="BK71" s="310">
        <v>0</v>
      </c>
      <c r="BL71" s="310">
        <v>8850991.3601140399</v>
      </c>
      <c r="BM71" s="310">
        <v>0</v>
      </c>
      <c r="BN71" s="310">
        <v>0</v>
      </c>
      <c r="BO71" s="310">
        <v>0</v>
      </c>
      <c r="BP71" s="310">
        <v>0</v>
      </c>
      <c r="BQ71" s="310">
        <v>0</v>
      </c>
      <c r="BR71" s="310">
        <v>0</v>
      </c>
      <c r="BS71" s="310">
        <v>0</v>
      </c>
      <c r="BT71" s="310">
        <v>0</v>
      </c>
      <c r="BU71" s="310">
        <v>0</v>
      </c>
      <c r="BV71" s="310">
        <v>0</v>
      </c>
      <c r="BW71" s="310">
        <v>0</v>
      </c>
      <c r="BX71" s="310">
        <v>0</v>
      </c>
      <c r="BY71" s="310">
        <v>0</v>
      </c>
      <c r="BZ71" s="310">
        <v>0</v>
      </c>
      <c r="CA71" s="310">
        <v>0</v>
      </c>
      <c r="CB71" s="310">
        <v>0</v>
      </c>
      <c r="CC71" s="310">
        <v>0</v>
      </c>
      <c r="CD71" s="310">
        <v>0</v>
      </c>
      <c r="CE71" s="310">
        <v>0</v>
      </c>
      <c r="CF71" s="310">
        <v>0</v>
      </c>
      <c r="CG71" s="310">
        <v>0</v>
      </c>
      <c r="CH71" s="310">
        <v>0</v>
      </c>
      <c r="CI71" s="310">
        <v>0</v>
      </c>
      <c r="CJ71" s="310">
        <v>0</v>
      </c>
      <c r="CK71" s="310">
        <v>0</v>
      </c>
      <c r="CL71" s="310">
        <v>0</v>
      </c>
    </row>
    <row r="72" spans="1:90" x14ac:dyDescent="0.2">
      <c r="A72" s="307" t="s">
        <v>517</v>
      </c>
      <c r="B72" s="310">
        <v>1</v>
      </c>
      <c r="BI72" s="307" t="s">
        <v>422</v>
      </c>
      <c r="BJ72" s="310">
        <v>0</v>
      </c>
      <c r="BK72" s="310">
        <v>0</v>
      </c>
      <c r="BL72" s="310">
        <v>0</v>
      </c>
      <c r="BM72" s="310">
        <v>0</v>
      </c>
      <c r="BN72" s="310">
        <v>0</v>
      </c>
      <c r="BO72" s="310">
        <v>0</v>
      </c>
      <c r="BP72" s="310">
        <v>0</v>
      </c>
      <c r="BQ72" s="310">
        <v>4026178.1360752499</v>
      </c>
      <c r="BR72" s="310">
        <v>0</v>
      </c>
      <c r="BS72" s="310">
        <v>0</v>
      </c>
      <c r="BT72" s="310">
        <v>0</v>
      </c>
      <c r="BU72" s="310">
        <v>0</v>
      </c>
      <c r="BV72" s="310">
        <v>0</v>
      </c>
      <c r="BW72" s="310">
        <v>0</v>
      </c>
      <c r="BX72" s="310">
        <v>0</v>
      </c>
      <c r="BY72" s="310">
        <v>0</v>
      </c>
      <c r="BZ72" s="310">
        <v>0</v>
      </c>
      <c r="CA72" s="310">
        <v>0</v>
      </c>
      <c r="CB72" s="310">
        <v>0</v>
      </c>
      <c r="CC72" s="310">
        <v>0</v>
      </c>
      <c r="CD72" s="310">
        <v>0</v>
      </c>
      <c r="CE72" s="310">
        <v>0</v>
      </c>
      <c r="CF72" s="310">
        <v>0</v>
      </c>
      <c r="CG72" s="310">
        <v>0</v>
      </c>
      <c r="CH72" s="310">
        <v>0</v>
      </c>
      <c r="CI72" s="310">
        <v>0</v>
      </c>
      <c r="CJ72" s="310">
        <v>0</v>
      </c>
      <c r="CK72" s="310">
        <v>0</v>
      </c>
      <c r="CL72" s="310">
        <v>0</v>
      </c>
    </row>
    <row r="73" spans="1:90" x14ac:dyDescent="0.2">
      <c r="A73" s="307" t="s">
        <v>515</v>
      </c>
      <c r="B73" s="310">
        <v>1</v>
      </c>
      <c r="BI73" s="307" t="s">
        <v>674</v>
      </c>
      <c r="BJ73" s="310">
        <v>0</v>
      </c>
      <c r="BK73" s="310">
        <v>0</v>
      </c>
      <c r="BL73" s="310">
        <v>0</v>
      </c>
      <c r="BM73" s="310">
        <v>0</v>
      </c>
      <c r="BN73" s="310">
        <v>0</v>
      </c>
      <c r="BO73" s="310">
        <v>66251.174567632304</v>
      </c>
      <c r="BP73" s="310">
        <v>0</v>
      </c>
      <c r="BQ73" s="310">
        <v>0</v>
      </c>
      <c r="BR73" s="310">
        <v>0</v>
      </c>
      <c r="BS73" s="310">
        <v>0</v>
      </c>
      <c r="BT73" s="310">
        <v>0</v>
      </c>
      <c r="BU73" s="310">
        <v>0</v>
      </c>
      <c r="BV73" s="310">
        <v>0</v>
      </c>
      <c r="BW73" s="310">
        <v>0</v>
      </c>
      <c r="BX73" s="310">
        <v>0</v>
      </c>
      <c r="BY73" s="310">
        <v>0</v>
      </c>
      <c r="BZ73" s="310">
        <v>0</v>
      </c>
      <c r="CA73" s="310">
        <v>0</v>
      </c>
      <c r="CB73" s="310">
        <v>0</v>
      </c>
      <c r="CC73" s="310">
        <v>0</v>
      </c>
      <c r="CD73" s="310">
        <v>0</v>
      </c>
      <c r="CE73" s="310">
        <v>0</v>
      </c>
      <c r="CF73" s="310">
        <v>0</v>
      </c>
      <c r="CG73" s="310">
        <v>0</v>
      </c>
      <c r="CH73" s="310">
        <v>0</v>
      </c>
      <c r="CI73" s="310">
        <v>0</v>
      </c>
      <c r="CJ73" s="310">
        <v>0</v>
      </c>
      <c r="CK73" s="310">
        <v>0</v>
      </c>
      <c r="CL73" s="310">
        <v>0</v>
      </c>
    </row>
    <row r="74" spans="1:90" x14ac:dyDescent="0.2">
      <c r="A74" s="307" t="s">
        <v>711</v>
      </c>
      <c r="B74" s="310">
        <v>1</v>
      </c>
      <c r="BI74" s="307" t="s">
        <v>355</v>
      </c>
      <c r="BJ74" s="310">
        <v>11826.742854693801</v>
      </c>
      <c r="BK74" s="310">
        <v>0</v>
      </c>
      <c r="BL74" s="310">
        <v>30.954464502133501</v>
      </c>
      <c r="BM74" s="310">
        <v>0</v>
      </c>
      <c r="BN74" s="310">
        <v>0</v>
      </c>
      <c r="BO74" s="310">
        <v>0</v>
      </c>
      <c r="BP74" s="310">
        <v>0</v>
      </c>
      <c r="BQ74" s="310">
        <v>0</v>
      </c>
      <c r="BR74" s="310">
        <v>14491.848717543</v>
      </c>
      <c r="BS74" s="310">
        <v>0</v>
      </c>
      <c r="BT74" s="310">
        <v>0</v>
      </c>
      <c r="BU74" s="310">
        <v>125.026374728874</v>
      </c>
      <c r="BV74" s="310">
        <v>0</v>
      </c>
      <c r="BW74" s="310">
        <v>0</v>
      </c>
      <c r="BX74" s="310">
        <v>0.374842703513311</v>
      </c>
      <c r="BY74" s="310">
        <v>0</v>
      </c>
      <c r="BZ74" s="310">
        <v>0</v>
      </c>
      <c r="CA74" s="310">
        <v>0</v>
      </c>
      <c r="CB74" s="310">
        <v>0</v>
      </c>
      <c r="CC74" s="310">
        <v>0</v>
      </c>
      <c r="CD74" s="310">
        <v>0</v>
      </c>
      <c r="CE74" s="310">
        <v>0</v>
      </c>
      <c r="CF74" s="310">
        <v>0</v>
      </c>
      <c r="CG74" s="310">
        <v>0</v>
      </c>
      <c r="CH74" s="310">
        <v>0</v>
      </c>
      <c r="CI74" s="310">
        <v>0</v>
      </c>
      <c r="CJ74" s="310">
        <v>0</v>
      </c>
      <c r="CK74" s="310">
        <v>2671.5132120132398</v>
      </c>
      <c r="CL74" s="310">
        <v>0</v>
      </c>
    </row>
    <row r="75" spans="1:90" x14ac:dyDescent="0.2">
      <c r="A75" s="307" t="s">
        <v>692</v>
      </c>
      <c r="B75" s="310">
        <v>1</v>
      </c>
      <c r="BI75" s="307" t="s">
        <v>416</v>
      </c>
      <c r="BJ75" s="310">
        <v>0</v>
      </c>
      <c r="BK75" s="310">
        <v>0</v>
      </c>
      <c r="BL75" s="310">
        <v>0</v>
      </c>
      <c r="BM75" s="310">
        <v>0</v>
      </c>
      <c r="BN75" s="310">
        <v>0</v>
      </c>
      <c r="BO75" s="310">
        <v>0</v>
      </c>
      <c r="BP75" s="310">
        <v>0</v>
      </c>
      <c r="BQ75" s="310">
        <v>0</v>
      </c>
      <c r="BR75" s="310">
        <v>0</v>
      </c>
      <c r="BS75" s="310">
        <v>0</v>
      </c>
      <c r="BT75" s="310">
        <v>0</v>
      </c>
      <c r="BU75" s="310">
        <v>0</v>
      </c>
      <c r="BV75" s="310">
        <v>0</v>
      </c>
      <c r="BW75" s="310">
        <v>0</v>
      </c>
      <c r="BX75" s="310">
        <v>0</v>
      </c>
      <c r="BY75" s="310">
        <v>0</v>
      </c>
      <c r="BZ75" s="310">
        <v>0</v>
      </c>
      <c r="CA75" s="310">
        <v>0</v>
      </c>
      <c r="CB75" s="310">
        <v>0</v>
      </c>
      <c r="CC75" s="310">
        <v>0</v>
      </c>
      <c r="CD75" s="310">
        <v>0</v>
      </c>
      <c r="CE75" s="310">
        <v>0</v>
      </c>
      <c r="CF75" s="310">
        <v>0</v>
      </c>
      <c r="CG75" s="310">
        <v>0</v>
      </c>
      <c r="CH75" s="310">
        <v>0</v>
      </c>
      <c r="CI75" s="310">
        <v>0</v>
      </c>
      <c r="CJ75" s="310">
        <v>0</v>
      </c>
      <c r="CK75" s="310">
        <v>0</v>
      </c>
      <c r="CL75" s="310">
        <v>0</v>
      </c>
    </row>
    <row r="76" spans="1:90" x14ac:dyDescent="0.2">
      <c r="A76" s="307" t="s">
        <v>693</v>
      </c>
      <c r="B76" s="310">
        <v>1</v>
      </c>
      <c r="BI76" s="307" t="s">
        <v>423</v>
      </c>
      <c r="BJ76" s="310">
        <v>0</v>
      </c>
      <c r="BK76" s="310">
        <v>0</v>
      </c>
      <c r="BL76" s="310">
        <v>0</v>
      </c>
      <c r="BM76" s="310">
        <v>0</v>
      </c>
      <c r="BN76" s="310">
        <v>0</v>
      </c>
      <c r="BO76" s="310">
        <v>0</v>
      </c>
      <c r="BP76" s="310">
        <v>0</v>
      </c>
      <c r="BQ76" s="310">
        <v>0</v>
      </c>
      <c r="BR76" s="310">
        <v>0</v>
      </c>
      <c r="BS76" s="310">
        <v>0</v>
      </c>
      <c r="BT76" s="310">
        <v>0</v>
      </c>
      <c r="BU76" s="310">
        <v>0</v>
      </c>
      <c r="BV76" s="310">
        <v>0</v>
      </c>
      <c r="BW76" s="310">
        <v>0</v>
      </c>
      <c r="BX76" s="310">
        <v>0</v>
      </c>
      <c r="BY76" s="310">
        <v>0</v>
      </c>
      <c r="BZ76" s="310">
        <v>0</v>
      </c>
      <c r="CA76" s="310">
        <v>0</v>
      </c>
      <c r="CB76" s="310">
        <v>0</v>
      </c>
      <c r="CC76" s="310">
        <v>0</v>
      </c>
      <c r="CD76" s="310">
        <v>0</v>
      </c>
      <c r="CE76" s="310">
        <v>0</v>
      </c>
      <c r="CF76" s="310">
        <v>0</v>
      </c>
      <c r="CG76" s="310">
        <v>0</v>
      </c>
      <c r="CH76" s="310">
        <v>0</v>
      </c>
      <c r="CI76" s="310">
        <v>0</v>
      </c>
      <c r="CJ76" s="310">
        <v>0</v>
      </c>
      <c r="CK76" s="310">
        <v>0</v>
      </c>
      <c r="CL76" s="310">
        <v>0</v>
      </c>
    </row>
    <row r="77" spans="1:90" x14ac:dyDescent="0.2">
      <c r="B77" s="432" t="s">
        <v>473</v>
      </c>
      <c r="BI77" s="307" t="s">
        <v>409</v>
      </c>
      <c r="BJ77" s="310">
        <v>0</v>
      </c>
      <c r="BK77" s="310">
        <v>0</v>
      </c>
      <c r="BL77" s="310">
        <v>0</v>
      </c>
      <c r="BM77" s="310">
        <v>0</v>
      </c>
      <c r="BN77" s="310">
        <v>0</v>
      </c>
      <c r="BO77" s="310">
        <v>0</v>
      </c>
      <c r="BP77" s="310">
        <v>0</v>
      </c>
      <c r="BQ77" s="310">
        <v>0</v>
      </c>
      <c r="BR77" s="310">
        <v>0</v>
      </c>
      <c r="BS77" s="310">
        <v>0</v>
      </c>
      <c r="BT77" s="310">
        <v>0</v>
      </c>
      <c r="BU77" s="310">
        <v>0</v>
      </c>
      <c r="BV77" s="310">
        <v>0</v>
      </c>
      <c r="BW77" s="310">
        <v>0</v>
      </c>
      <c r="BX77" s="310">
        <v>0</v>
      </c>
      <c r="BY77" s="310">
        <v>0</v>
      </c>
      <c r="BZ77" s="310">
        <v>0</v>
      </c>
      <c r="CA77" s="310">
        <v>0</v>
      </c>
      <c r="CB77" s="310">
        <v>0</v>
      </c>
      <c r="CC77" s="310">
        <v>0</v>
      </c>
      <c r="CD77" s="310">
        <v>0</v>
      </c>
      <c r="CE77" s="310">
        <v>0</v>
      </c>
      <c r="CF77" s="310">
        <v>0</v>
      </c>
      <c r="CG77" s="310">
        <v>0</v>
      </c>
      <c r="CH77" s="310">
        <v>0</v>
      </c>
      <c r="CI77" s="310">
        <v>0</v>
      </c>
      <c r="CJ77" s="310">
        <v>0</v>
      </c>
      <c r="CK77" s="310">
        <v>0</v>
      </c>
      <c r="CL77" s="310">
        <v>0</v>
      </c>
    </row>
    <row r="78" spans="1:90" x14ac:dyDescent="0.2">
      <c r="BI78" s="307" t="s">
        <v>437</v>
      </c>
      <c r="BJ78" s="310">
        <v>0</v>
      </c>
      <c r="BK78" s="310">
        <v>0</v>
      </c>
      <c r="BL78" s="310">
        <v>0</v>
      </c>
      <c r="BM78" s="310">
        <v>0</v>
      </c>
      <c r="BN78" s="310">
        <v>0</v>
      </c>
      <c r="BO78" s="310">
        <v>0</v>
      </c>
      <c r="BP78" s="310">
        <v>0</v>
      </c>
      <c r="BQ78" s="310">
        <v>0</v>
      </c>
      <c r="BR78" s="310">
        <v>0</v>
      </c>
      <c r="BS78" s="310">
        <v>0</v>
      </c>
      <c r="BT78" s="310">
        <v>0</v>
      </c>
      <c r="BU78" s="310">
        <v>0</v>
      </c>
      <c r="BV78" s="310">
        <v>0</v>
      </c>
      <c r="BW78" s="310">
        <v>0</v>
      </c>
      <c r="BX78" s="310">
        <v>0</v>
      </c>
      <c r="BY78" s="310">
        <v>0</v>
      </c>
      <c r="BZ78" s="310">
        <v>0</v>
      </c>
      <c r="CA78" s="310">
        <v>0</v>
      </c>
      <c r="CB78" s="310">
        <v>0</v>
      </c>
      <c r="CC78" s="310">
        <v>0</v>
      </c>
      <c r="CD78" s="310">
        <v>0</v>
      </c>
      <c r="CE78" s="310">
        <v>0</v>
      </c>
      <c r="CF78" s="310">
        <v>0</v>
      </c>
      <c r="CG78" s="310">
        <v>0</v>
      </c>
      <c r="CH78" s="310">
        <v>0</v>
      </c>
      <c r="CI78" s="310">
        <v>0</v>
      </c>
      <c r="CJ78" s="310">
        <v>0</v>
      </c>
      <c r="CK78" s="310">
        <v>0</v>
      </c>
      <c r="CL78" s="310">
        <v>0</v>
      </c>
    </row>
    <row r="79" spans="1:90" x14ac:dyDescent="0.2">
      <c r="BI79" s="307" t="s">
        <v>675</v>
      </c>
      <c r="BJ79" s="310">
        <v>0</v>
      </c>
      <c r="BK79" s="310">
        <v>0</v>
      </c>
      <c r="BL79" s="310">
        <v>0</v>
      </c>
      <c r="BM79" s="310">
        <v>0</v>
      </c>
      <c r="BN79" s="310">
        <v>0</v>
      </c>
      <c r="BO79" s="310">
        <v>0</v>
      </c>
      <c r="BP79" s="310">
        <v>0</v>
      </c>
      <c r="BQ79" s="310">
        <v>0</v>
      </c>
      <c r="BR79" s="310">
        <v>0</v>
      </c>
      <c r="BS79" s="310">
        <v>0</v>
      </c>
      <c r="BT79" s="310">
        <v>0</v>
      </c>
      <c r="BU79" s="310">
        <v>0</v>
      </c>
      <c r="BV79" s="310">
        <v>0</v>
      </c>
      <c r="BW79" s="310">
        <v>0</v>
      </c>
      <c r="BX79" s="310">
        <v>0</v>
      </c>
      <c r="BY79" s="310">
        <v>0</v>
      </c>
      <c r="BZ79" s="310">
        <v>0</v>
      </c>
      <c r="CA79" s="310">
        <v>0</v>
      </c>
      <c r="CB79" s="310">
        <v>0</v>
      </c>
      <c r="CC79" s="310">
        <v>0</v>
      </c>
      <c r="CD79" s="310">
        <v>0</v>
      </c>
      <c r="CE79" s="310">
        <v>0</v>
      </c>
      <c r="CF79" s="310">
        <v>0</v>
      </c>
      <c r="CG79" s="310">
        <v>0</v>
      </c>
      <c r="CH79" s="310">
        <v>0</v>
      </c>
      <c r="CI79" s="310">
        <v>0</v>
      </c>
      <c r="CJ79" s="310">
        <v>91837.795018258301</v>
      </c>
      <c r="CK79" s="310">
        <v>0</v>
      </c>
      <c r="CL79" s="310">
        <v>0</v>
      </c>
    </row>
    <row r="80" spans="1:90" x14ac:dyDescent="0.2">
      <c r="BI80" s="307" t="s">
        <v>676</v>
      </c>
      <c r="BJ80" s="310">
        <v>0</v>
      </c>
      <c r="BK80" s="310">
        <v>0</v>
      </c>
      <c r="BL80" s="310">
        <v>0</v>
      </c>
      <c r="BM80" s="310">
        <v>0</v>
      </c>
      <c r="BN80" s="310">
        <v>0</v>
      </c>
      <c r="BO80" s="310">
        <v>0</v>
      </c>
      <c r="BP80" s="310">
        <v>0</v>
      </c>
      <c r="BQ80" s="310">
        <v>0</v>
      </c>
      <c r="BR80" s="310">
        <v>0</v>
      </c>
      <c r="BS80" s="310">
        <v>0</v>
      </c>
      <c r="BT80" s="310">
        <v>0</v>
      </c>
      <c r="BU80" s="310">
        <v>0</v>
      </c>
      <c r="BV80" s="310">
        <v>0</v>
      </c>
      <c r="BW80" s="310">
        <v>0</v>
      </c>
      <c r="BX80" s="310">
        <v>0</v>
      </c>
      <c r="BY80" s="310">
        <v>0</v>
      </c>
      <c r="BZ80" s="310">
        <v>0</v>
      </c>
      <c r="CA80" s="310">
        <v>0</v>
      </c>
      <c r="CB80" s="310">
        <v>0</v>
      </c>
      <c r="CC80" s="310">
        <v>0</v>
      </c>
      <c r="CD80" s="310">
        <v>0</v>
      </c>
      <c r="CE80" s="310">
        <v>0</v>
      </c>
      <c r="CF80" s="310">
        <v>0</v>
      </c>
      <c r="CG80" s="310">
        <v>0</v>
      </c>
      <c r="CH80" s="310">
        <v>0</v>
      </c>
      <c r="CI80" s="310">
        <v>290.15291867903898</v>
      </c>
      <c r="CJ80" s="310">
        <v>0</v>
      </c>
      <c r="CK80" s="310">
        <v>0</v>
      </c>
      <c r="CL80" s="310">
        <v>0</v>
      </c>
    </row>
    <row r="81" spans="61:90" x14ac:dyDescent="0.2">
      <c r="BI81" s="307" t="s">
        <v>342</v>
      </c>
      <c r="BJ81" s="310">
        <v>318930.104231745</v>
      </c>
      <c r="BK81" s="310">
        <v>50.358084153937803</v>
      </c>
      <c r="BL81" s="310">
        <v>80616.370239891301</v>
      </c>
      <c r="BM81" s="310">
        <v>282.12877103151499</v>
      </c>
      <c r="BN81" s="310">
        <v>0</v>
      </c>
      <c r="BO81" s="310">
        <v>0</v>
      </c>
      <c r="BP81" s="310">
        <v>0</v>
      </c>
      <c r="BQ81" s="310">
        <v>33191.859393697501</v>
      </c>
      <c r="BR81" s="310">
        <v>0</v>
      </c>
      <c r="BS81" s="310">
        <v>0</v>
      </c>
      <c r="BT81" s="310">
        <v>12626.098826338701</v>
      </c>
      <c r="BU81" s="310">
        <v>0</v>
      </c>
      <c r="BV81" s="310">
        <v>609792.25175934797</v>
      </c>
      <c r="BW81" s="310">
        <v>34.678095164115</v>
      </c>
      <c r="BX81" s="310">
        <v>0</v>
      </c>
      <c r="BY81" s="310">
        <v>2824.8856477449199</v>
      </c>
      <c r="BZ81" s="310">
        <v>0</v>
      </c>
      <c r="CA81" s="310">
        <v>0</v>
      </c>
      <c r="CB81" s="310">
        <v>0</v>
      </c>
      <c r="CC81" s="310">
        <v>0</v>
      </c>
      <c r="CD81" s="310">
        <v>0</v>
      </c>
      <c r="CE81" s="310">
        <v>0</v>
      </c>
      <c r="CF81" s="310">
        <v>0</v>
      </c>
      <c r="CG81" s="310">
        <v>0</v>
      </c>
      <c r="CH81" s="310">
        <v>0</v>
      </c>
      <c r="CI81" s="310">
        <v>0</v>
      </c>
      <c r="CJ81" s="310">
        <v>0</v>
      </c>
      <c r="CK81" s="310">
        <v>0</v>
      </c>
      <c r="CL81" s="310">
        <v>0</v>
      </c>
    </row>
    <row r="82" spans="61:90" x14ac:dyDescent="0.2">
      <c r="BI82" s="307" t="s">
        <v>448</v>
      </c>
      <c r="BJ82" s="310">
        <v>29112.263489807599</v>
      </c>
      <c r="BK82" s="310">
        <v>0</v>
      </c>
      <c r="BL82" s="310">
        <v>0</v>
      </c>
      <c r="BM82" s="310">
        <v>0</v>
      </c>
      <c r="BN82" s="310">
        <v>0</v>
      </c>
      <c r="BO82" s="310">
        <v>0</v>
      </c>
      <c r="BP82" s="310">
        <v>0</v>
      </c>
      <c r="BQ82" s="310">
        <v>0</v>
      </c>
      <c r="BR82" s="310">
        <v>0</v>
      </c>
      <c r="BS82" s="310">
        <v>0</v>
      </c>
      <c r="BT82" s="310">
        <v>0</v>
      </c>
      <c r="BU82" s="310">
        <v>0</v>
      </c>
      <c r="BV82" s="310">
        <v>0</v>
      </c>
      <c r="BW82" s="310">
        <v>0</v>
      </c>
      <c r="BX82" s="310">
        <v>0</v>
      </c>
      <c r="BY82" s="310">
        <v>0</v>
      </c>
      <c r="BZ82" s="310">
        <v>0</v>
      </c>
      <c r="CA82" s="310">
        <v>0</v>
      </c>
      <c r="CB82" s="310">
        <v>0</v>
      </c>
      <c r="CC82" s="310">
        <v>0</v>
      </c>
      <c r="CD82" s="310">
        <v>0</v>
      </c>
      <c r="CE82" s="310">
        <v>0</v>
      </c>
      <c r="CF82" s="310">
        <v>0</v>
      </c>
      <c r="CG82" s="310">
        <v>0</v>
      </c>
      <c r="CH82" s="310">
        <v>0</v>
      </c>
      <c r="CI82" s="310">
        <v>0</v>
      </c>
      <c r="CJ82" s="310">
        <v>0</v>
      </c>
      <c r="CK82" s="310">
        <v>0</v>
      </c>
      <c r="CL82" s="310">
        <v>0</v>
      </c>
    </row>
    <row r="83" spans="61:90" x14ac:dyDescent="0.2">
      <c r="BI83" s="307" t="s">
        <v>462</v>
      </c>
      <c r="BJ83" s="310">
        <v>0</v>
      </c>
      <c r="BK83" s="310">
        <v>0</v>
      </c>
      <c r="BL83" s="310">
        <v>23309.045257575199</v>
      </c>
      <c r="BM83" s="310">
        <v>0</v>
      </c>
      <c r="BN83" s="310">
        <v>0</v>
      </c>
      <c r="BO83" s="310">
        <v>0</v>
      </c>
      <c r="BP83" s="310">
        <v>0</v>
      </c>
      <c r="BQ83" s="310">
        <v>0</v>
      </c>
      <c r="BR83" s="310">
        <v>0</v>
      </c>
      <c r="BS83" s="310">
        <v>0</v>
      </c>
      <c r="BT83" s="310">
        <v>0</v>
      </c>
      <c r="BU83" s="310">
        <v>94146.207140653802</v>
      </c>
      <c r="BV83" s="310">
        <v>0</v>
      </c>
      <c r="BW83" s="310">
        <v>0</v>
      </c>
      <c r="BX83" s="310">
        <v>257.99399332425401</v>
      </c>
      <c r="BY83" s="310">
        <v>0</v>
      </c>
      <c r="BZ83" s="310">
        <v>2511.39821094118</v>
      </c>
      <c r="CA83" s="310">
        <v>0</v>
      </c>
      <c r="CB83" s="310">
        <v>0</v>
      </c>
      <c r="CC83" s="310">
        <v>0</v>
      </c>
      <c r="CD83" s="310">
        <v>0</v>
      </c>
      <c r="CE83" s="310">
        <v>0</v>
      </c>
      <c r="CF83" s="310">
        <v>0</v>
      </c>
      <c r="CG83" s="310">
        <v>0</v>
      </c>
      <c r="CH83" s="310">
        <v>0</v>
      </c>
      <c r="CI83" s="310">
        <v>0</v>
      </c>
      <c r="CJ83" s="310">
        <v>0</v>
      </c>
      <c r="CK83" s="310">
        <v>0</v>
      </c>
      <c r="CL83" s="310">
        <v>0</v>
      </c>
    </row>
    <row r="84" spans="61:90" x14ac:dyDescent="0.2">
      <c r="BI84" s="307" t="s">
        <v>677</v>
      </c>
      <c r="BJ84" s="310">
        <v>0</v>
      </c>
      <c r="BK84" s="310">
        <v>0</v>
      </c>
      <c r="BL84" s="310">
        <v>0</v>
      </c>
      <c r="BM84" s="310">
        <v>0</v>
      </c>
      <c r="BN84" s="310">
        <v>0</v>
      </c>
      <c r="BO84" s="310">
        <v>0</v>
      </c>
      <c r="BP84" s="310">
        <v>0</v>
      </c>
      <c r="BQ84" s="310">
        <v>0</v>
      </c>
      <c r="BR84" s="310">
        <v>0</v>
      </c>
      <c r="BS84" s="310">
        <v>0</v>
      </c>
      <c r="BT84" s="310">
        <v>0</v>
      </c>
      <c r="BU84" s="310">
        <v>0</v>
      </c>
      <c r="BV84" s="310">
        <v>0</v>
      </c>
      <c r="BW84" s="310">
        <v>0</v>
      </c>
      <c r="BX84" s="310">
        <v>0</v>
      </c>
      <c r="BY84" s="310">
        <v>0</v>
      </c>
      <c r="BZ84" s="310">
        <v>4830.4442158522497</v>
      </c>
      <c r="CA84" s="310">
        <v>0</v>
      </c>
      <c r="CB84" s="310">
        <v>0</v>
      </c>
      <c r="CC84" s="310">
        <v>0</v>
      </c>
      <c r="CD84" s="310">
        <v>0</v>
      </c>
      <c r="CE84" s="310">
        <v>0</v>
      </c>
      <c r="CF84" s="310">
        <v>0</v>
      </c>
      <c r="CG84" s="310">
        <v>0</v>
      </c>
      <c r="CH84" s="310">
        <v>0</v>
      </c>
      <c r="CI84" s="310">
        <v>0</v>
      </c>
      <c r="CJ84" s="310">
        <v>0</v>
      </c>
      <c r="CK84" s="310">
        <v>0</v>
      </c>
      <c r="CL84" s="310">
        <v>0</v>
      </c>
    </row>
    <row r="85" spans="61:90" x14ac:dyDescent="0.2">
      <c r="BI85" s="307" t="s">
        <v>678</v>
      </c>
      <c r="BJ85" s="310">
        <v>0</v>
      </c>
      <c r="BK85" s="310">
        <v>0</v>
      </c>
      <c r="BL85" s="310">
        <v>0</v>
      </c>
      <c r="BM85" s="310">
        <v>0</v>
      </c>
      <c r="BN85" s="310">
        <v>0</v>
      </c>
      <c r="BO85" s="310">
        <v>0</v>
      </c>
      <c r="BP85" s="310">
        <v>0</v>
      </c>
      <c r="BQ85" s="310">
        <v>0</v>
      </c>
      <c r="BR85" s="310">
        <v>0</v>
      </c>
      <c r="BS85" s="310">
        <v>0</v>
      </c>
      <c r="BT85" s="310">
        <v>0</v>
      </c>
      <c r="BU85" s="310">
        <v>0</v>
      </c>
      <c r="BV85" s="310">
        <v>0</v>
      </c>
      <c r="BW85" s="310">
        <v>0</v>
      </c>
      <c r="BX85" s="310">
        <v>0</v>
      </c>
      <c r="BY85" s="310">
        <v>0</v>
      </c>
      <c r="BZ85" s="310">
        <v>0</v>
      </c>
      <c r="CA85" s="310">
        <v>4830.4442158522497</v>
      </c>
      <c r="CB85" s="310">
        <v>0</v>
      </c>
      <c r="CC85" s="310">
        <v>0</v>
      </c>
      <c r="CD85" s="310">
        <v>0</v>
      </c>
      <c r="CE85" s="310">
        <v>0</v>
      </c>
      <c r="CF85" s="310">
        <v>0</v>
      </c>
      <c r="CG85" s="310">
        <v>0</v>
      </c>
      <c r="CH85" s="310">
        <v>0</v>
      </c>
      <c r="CI85" s="310">
        <v>0</v>
      </c>
      <c r="CJ85" s="310">
        <v>0</v>
      </c>
      <c r="CK85" s="310">
        <v>0</v>
      </c>
      <c r="CL85" s="310">
        <v>0</v>
      </c>
    </row>
    <row r="86" spans="61:90" x14ac:dyDescent="0.2">
      <c r="BI86" s="307" t="s">
        <v>439</v>
      </c>
      <c r="BJ86" s="310">
        <v>0</v>
      </c>
      <c r="BK86" s="310">
        <v>0</v>
      </c>
      <c r="BL86" s="310">
        <v>0</v>
      </c>
      <c r="BM86" s="310">
        <v>0</v>
      </c>
      <c r="BN86" s="310">
        <v>0</v>
      </c>
      <c r="BO86" s="310">
        <v>0</v>
      </c>
      <c r="BP86" s="310">
        <v>0</v>
      </c>
      <c r="BQ86" s="310">
        <v>0</v>
      </c>
      <c r="BR86" s="310">
        <v>0</v>
      </c>
      <c r="BS86" s="310">
        <v>0</v>
      </c>
      <c r="BT86" s="310">
        <v>0</v>
      </c>
      <c r="BU86" s="310">
        <v>0</v>
      </c>
      <c r="BV86" s="310">
        <v>0</v>
      </c>
      <c r="BW86" s="310">
        <v>0</v>
      </c>
      <c r="BX86" s="310">
        <v>0</v>
      </c>
      <c r="BY86" s="310">
        <v>0</v>
      </c>
      <c r="BZ86" s="310">
        <v>0</v>
      </c>
      <c r="CA86" s="310">
        <v>0</v>
      </c>
      <c r="CB86" s="310">
        <v>0</v>
      </c>
      <c r="CC86" s="310">
        <v>0</v>
      </c>
      <c r="CD86" s="310">
        <v>0</v>
      </c>
      <c r="CE86" s="310">
        <v>0</v>
      </c>
      <c r="CF86" s="310">
        <v>88071.706245154506</v>
      </c>
      <c r="CG86" s="310">
        <v>0</v>
      </c>
      <c r="CH86" s="310">
        <v>0</v>
      </c>
      <c r="CI86" s="310">
        <v>0</v>
      </c>
      <c r="CJ86" s="310">
        <v>0</v>
      </c>
      <c r="CK86" s="310">
        <v>0</v>
      </c>
      <c r="CL86" s="310">
        <v>0</v>
      </c>
    </row>
    <row r="87" spans="61:90" x14ac:dyDescent="0.2">
      <c r="BI87" s="307" t="s">
        <v>442</v>
      </c>
      <c r="BJ87" s="310">
        <v>0</v>
      </c>
      <c r="BK87" s="310">
        <v>0</v>
      </c>
      <c r="BL87" s="310">
        <v>0</v>
      </c>
      <c r="BM87" s="310">
        <v>0</v>
      </c>
      <c r="BN87" s="310">
        <v>0</v>
      </c>
      <c r="BO87" s="310">
        <v>0</v>
      </c>
      <c r="BP87" s="310">
        <v>0</v>
      </c>
      <c r="BQ87" s="310">
        <v>0</v>
      </c>
      <c r="BR87" s="310">
        <v>0</v>
      </c>
      <c r="BS87" s="310">
        <v>0</v>
      </c>
      <c r="BT87" s="310">
        <v>0</v>
      </c>
      <c r="BU87" s="310">
        <v>0</v>
      </c>
      <c r="BV87" s="310">
        <v>108184.85967288</v>
      </c>
      <c r="BW87" s="310">
        <v>0</v>
      </c>
      <c r="BX87" s="310">
        <v>0</v>
      </c>
      <c r="BY87" s="310">
        <v>0</v>
      </c>
      <c r="BZ87" s="310">
        <v>0</v>
      </c>
      <c r="CA87" s="310">
        <v>0</v>
      </c>
      <c r="CB87" s="310">
        <v>0</v>
      </c>
      <c r="CC87" s="310">
        <v>0</v>
      </c>
      <c r="CD87" s="310">
        <v>0</v>
      </c>
      <c r="CE87" s="310">
        <v>0</v>
      </c>
      <c r="CF87" s="310">
        <v>0</v>
      </c>
      <c r="CG87" s="310">
        <v>0</v>
      </c>
      <c r="CH87" s="310">
        <v>0</v>
      </c>
      <c r="CI87" s="310">
        <v>0</v>
      </c>
      <c r="CJ87" s="310">
        <v>0</v>
      </c>
      <c r="CK87" s="310">
        <v>0</v>
      </c>
      <c r="CL87" s="310">
        <v>0</v>
      </c>
    </row>
    <row r="88" spans="61:90" x14ac:dyDescent="0.2">
      <c r="BI88" s="307" t="s">
        <v>441</v>
      </c>
      <c r="BJ88" s="310">
        <v>0</v>
      </c>
      <c r="BK88" s="310">
        <v>0</v>
      </c>
      <c r="BL88" s="310">
        <v>0</v>
      </c>
      <c r="BM88" s="310">
        <v>0</v>
      </c>
      <c r="BN88" s="310">
        <v>0</v>
      </c>
      <c r="BO88" s="310">
        <v>0</v>
      </c>
      <c r="BP88" s="310">
        <v>0</v>
      </c>
      <c r="BQ88" s="310">
        <v>0</v>
      </c>
      <c r="BR88" s="310">
        <v>0</v>
      </c>
      <c r="BS88" s="310">
        <v>0</v>
      </c>
      <c r="BT88" s="310">
        <v>108184.85967288</v>
      </c>
      <c r="BU88" s="310">
        <v>0</v>
      </c>
      <c r="BV88" s="310">
        <v>0</v>
      </c>
      <c r="BW88" s="310">
        <v>0</v>
      </c>
      <c r="BX88" s="310">
        <v>0</v>
      </c>
      <c r="BY88" s="310">
        <v>0</v>
      </c>
      <c r="BZ88" s="310">
        <v>0</v>
      </c>
      <c r="CA88" s="310">
        <v>0</v>
      </c>
      <c r="CB88" s="310">
        <v>0</v>
      </c>
      <c r="CC88" s="310">
        <v>0</v>
      </c>
      <c r="CD88" s="310">
        <v>0</v>
      </c>
      <c r="CE88" s="310">
        <v>0</v>
      </c>
      <c r="CF88" s="310">
        <v>0</v>
      </c>
      <c r="CG88" s="310">
        <v>0</v>
      </c>
      <c r="CH88" s="310">
        <v>0</v>
      </c>
      <c r="CI88" s="310">
        <v>0</v>
      </c>
      <c r="CJ88" s="310">
        <v>0</v>
      </c>
      <c r="CK88" s="310">
        <v>0</v>
      </c>
      <c r="CL88" s="310">
        <v>0</v>
      </c>
    </row>
    <row r="89" spans="61:90" x14ac:dyDescent="0.2">
      <c r="BI89" s="307" t="s">
        <v>333</v>
      </c>
      <c r="BJ89" s="310">
        <v>0</v>
      </c>
      <c r="BK89" s="310">
        <v>0</v>
      </c>
      <c r="BL89" s="310">
        <v>0</v>
      </c>
      <c r="BM89" s="310">
        <v>0</v>
      </c>
      <c r="BN89" s="310">
        <v>0</v>
      </c>
      <c r="BO89" s="310">
        <v>0</v>
      </c>
      <c r="BP89" s="310">
        <v>0</v>
      </c>
      <c r="BQ89" s="310">
        <v>0</v>
      </c>
      <c r="BR89" s="310">
        <v>0</v>
      </c>
      <c r="BS89" s="310">
        <v>0</v>
      </c>
      <c r="BT89" s="310">
        <v>0</v>
      </c>
      <c r="BU89" s="310">
        <v>108184.85967288</v>
      </c>
      <c r="BV89" s="310">
        <v>0</v>
      </c>
      <c r="BW89" s="310">
        <v>0</v>
      </c>
      <c r="BX89" s="310">
        <v>0</v>
      </c>
      <c r="BY89" s="310">
        <v>0</v>
      </c>
      <c r="BZ89" s="310">
        <v>0</v>
      </c>
      <c r="CA89" s="310">
        <v>0</v>
      </c>
      <c r="CB89" s="310">
        <v>0</v>
      </c>
      <c r="CC89" s="310">
        <v>0</v>
      </c>
      <c r="CD89" s="310">
        <v>0</v>
      </c>
      <c r="CE89" s="310">
        <v>0</v>
      </c>
      <c r="CF89" s="310">
        <v>0</v>
      </c>
      <c r="CG89" s="310">
        <v>0</v>
      </c>
      <c r="CH89" s="310">
        <v>0</v>
      </c>
      <c r="CI89" s="310">
        <v>0</v>
      </c>
      <c r="CJ89" s="310">
        <v>0</v>
      </c>
      <c r="CK89" s="310">
        <v>0</v>
      </c>
      <c r="CL89" s="310">
        <v>0</v>
      </c>
    </row>
    <row r="90" spans="61:90" x14ac:dyDescent="0.2">
      <c r="BI90" s="307" t="s">
        <v>438</v>
      </c>
      <c r="BJ90" s="310">
        <v>0</v>
      </c>
      <c r="BK90" s="310">
        <v>0</v>
      </c>
      <c r="BL90" s="310">
        <v>0</v>
      </c>
      <c r="BM90" s="310">
        <v>0</v>
      </c>
      <c r="BN90" s="310">
        <v>0</v>
      </c>
      <c r="BO90" s="310">
        <v>0</v>
      </c>
      <c r="BP90" s="310">
        <v>0</v>
      </c>
      <c r="BQ90" s="310">
        <v>0</v>
      </c>
      <c r="BR90" s="310">
        <v>0</v>
      </c>
      <c r="BS90" s="310">
        <v>0</v>
      </c>
      <c r="BT90" s="310">
        <v>0</v>
      </c>
      <c r="BU90" s="310">
        <v>0</v>
      </c>
      <c r="BV90" s="310">
        <v>0</v>
      </c>
      <c r="BW90" s="310">
        <v>0</v>
      </c>
      <c r="BX90" s="310">
        <v>0</v>
      </c>
      <c r="BY90" s="310">
        <v>0</v>
      </c>
      <c r="BZ90" s="310">
        <v>0</v>
      </c>
      <c r="CA90" s="310">
        <v>0</v>
      </c>
      <c r="CB90" s="310">
        <v>0</v>
      </c>
      <c r="CC90" s="310">
        <v>0</v>
      </c>
      <c r="CD90" s="310">
        <v>0</v>
      </c>
      <c r="CE90" s="310">
        <v>0</v>
      </c>
      <c r="CF90" s="310">
        <v>0</v>
      </c>
      <c r="CG90" s="310">
        <v>0</v>
      </c>
      <c r="CH90" s="310">
        <v>0</v>
      </c>
      <c r="CI90" s="310">
        <v>0</v>
      </c>
      <c r="CJ90" s="310">
        <v>0</v>
      </c>
      <c r="CK90" s="310">
        <v>0</v>
      </c>
      <c r="CL90" s="310">
        <v>0</v>
      </c>
    </row>
    <row r="91" spans="61:90" x14ac:dyDescent="0.2">
      <c r="BI91" s="307" t="s">
        <v>426</v>
      </c>
      <c r="BJ91" s="310">
        <v>0</v>
      </c>
      <c r="BK91" s="310">
        <v>0</v>
      </c>
      <c r="BL91" s="310">
        <v>0</v>
      </c>
      <c r="BM91" s="310">
        <v>0</v>
      </c>
      <c r="BN91" s="310">
        <v>0</v>
      </c>
      <c r="BO91" s="310">
        <v>0</v>
      </c>
      <c r="BP91" s="310">
        <v>0</v>
      </c>
      <c r="BQ91" s="310">
        <v>0</v>
      </c>
      <c r="BR91" s="310">
        <v>0</v>
      </c>
      <c r="BS91" s="310">
        <v>0</v>
      </c>
      <c r="BT91" s="310">
        <v>0</v>
      </c>
      <c r="BU91" s="310">
        <v>0</v>
      </c>
      <c r="BV91" s="310">
        <v>0</v>
      </c>
      <c r="BW91" s="310">
        <v>0</v>
      </c>
      <c r="BX91" s="310">
        <v>0</v>
      </c>
      <c r="BY91" s="310">
        <v>0</v>
      </c>
      <c r="BZ91" s="310">
        <v>0</v>
      </c>
      <c r="CA91" s="310">
        <v>0</v>
      </c>
      <c r="CB91" s="310">
        <v>0</v>
      </c>
      <c r="CC91" s="310">
        <v>0</v>
      </c>
      <c r="CD91" s="310">
        <v>0</v>
      </c>
      <c r="CE91" s="310">
        <v>0</v>
      </c>
      <c r="CF91" s="310">
        <v>0</v>
      </c>
      <c r="CG91" s="310">
        <v>0</v>
      </c>
      <c r="CH91" s="310">
        <v>0</v>
      </c>
      <c r="CI91" s="310">
        <v>0</v>
      </c>
      <c r="CJ91" s="310">
        <v>0</v>
      </c>
      <c r="CK91" s="310">
        <v>0</v>
      </c>
      <c r="CL91" s="310">
        <v>0</v>
      </c>
    </row>
    <row r="92" spans="61:90" x14ac:dyDescent="0.2">
      <c r="BI92" s="307" t="s">
        <v>424</v>
      </c>
      <c r="BJ92" s="310">
        <v>0</v>
      </c>
      <c r="BK92" s="310">
        <v>0</v>
      </c>
      <c r="BL92" s="310">
        <v>0</v>
      </c>
      <c r="BM92" s="310">
        <v>0</v>
      </c>
      <c r="BN92" s="310">
        <v>0</v>
      </c>
      <c r="BO92" s="310">
        <v>0</v>
      </c>
      <c r="BP92" s="310">
        <v>0</v>
      </c>
      <c r="BQ92" s="310">
        <v>0</v>
      </c>
      <c r="BR92" s="310">
        <v>0</v>
      </c>
      <c r="BS92" s="310">
        <v>0</v>
      </c>
      <c r="BT92" s="310">
        <v>0</v>
      </c>
      <c r="BU92" s="310">
        <v>0</v>
      </c>
      <c r="BV92" s="310">
        <v>0</v>
      </c>
      <c r="BW92" s="310">
        <v>0</v>
      </c>
      <c r="BX92" s="310">
        <v>0</v>
      </c>
      <c r="BY92" s="310">
        <v>0</v>
      </c>
      <c r="BZ92" s="310">
        <v>0</v>
      </c>
      <c r="CA92" s="310">
        <v>0</v>
      </c>
      <c r="CB92" s="310">
        <v>0</v>
      </c>
      <c r="CC92" s="310">
        <v>0</v>
      </c>
      <c r="CD92" s="310">
        <v>0</v>
      </c>
      <c r="CE92" s="310">
        <v>0</v>
      </c>
      <c r="CF92" s="310">
        <v>0</v>
      </c>
      <c r="CG92" s="310">
        <v>0</v>
      </c>
      <c r="CH92" s="310">
        <v>0</v>
      </c>
      <c r="CI92" s="310">
        <v>0</v>
      </c>
      <c r="CJ92" s="310">
        <v>0</v>
      </c>
      <c r="CK92" s="310">
        <v>25297.051877142199</v>
      </c>
      <c r="CL92" s="310">
        <v>0</v>
      </c>
    </row>
    <row r="93" spans="61:90" x14ac:dyDescent="0.2">
      <c r="BI93" s="307" t="s">
        <v>412</v>
      </c>
      <c r="BJ93" s="310">
        <v>0</v>
      </c>
      <c r="BK93" s="310">
        <v>0</v>
      </c>
      <c r="BL93" s="310">
        <v>0</v>
      </c>
      <c r="BM93" s="310">
        <v>0</v>
      </c>
      <c r="BN93" s="310">
        <v>0</v>
      </c>
      <c r="BO93" s="310">
        <v>0</v>
      </c>
      <c r="BP93" s="310">
        <v>0</v>
      </c>
      <c r="BQ93" s="310">
        <v>0</v>
      </c>
      <c r="BR93" s="310">
        <v>0</v>
      </c>
      <c r="BS93" s="310">
        <v>0</v>
      </c>
      <c r="BT93" s="310">
        <v>0</v>
      </c>
      <c r="BU93" s="310">
        <v>0</v>
      </c>
      <c r="BV93" s="310">
        <v>0</v>
      </c>
      <c r="BW93" s="310">
        <v>0</v>
      </c>
      <c r="BX93" s="310">
        <v>0</v>
      </c>
      <c r="BY93" s="310">
        <v>25297.051877142199</v>
      </c>
      <c r="BZ93" s="310">
        <v>0</v>
      </c>
      <c r="CA93" s="310">
        <v>0</v>
      </c>
      <c r="CB93" s="310">
        <v>0</v>
      </c>
      <c r="CC93" s="310">
        <v>0</v>
      </c>
      <c r="CD93" s="310">
        <v>0</v>
      </c>
      <c r="CE93" s="310">
        <v>0</v>
      </c>
      <c r="CF93" s="310">
        <v>0</v>
      </c>
      <c r="CG93" s="310">
        <v>0</v>
      </c>
      <c r="CH93" s="310">
        <v>0</v>
      </c>
      <c r="CI93" s="310">
        <v>0</v>
      </c>
      <c r="CJ93" s="310">
        <v>0</v>
      </c>
      <c r="CK93" s="310">
        <v>0</v>
      </c>
      <c r="CL93" s="310">
        <v>0</v>
      </c>
    </row>
    <row r="94" spans="61:90" x14ac:dyDescent="0.2">
      <c r="BI94" s="307" t="s">
        <v>436</v>
      </c>
      <c r="BJ94" s="310">
        <v>0</v>
      </c>
      <c r="BK94" s="310">
        <v>0</v>
      </c>
      <c r="BL94" s="310">
        <v>0</v>
      </c>
      <c r="BM94" s="310">
        <v>0</v>
      </c>
      <c r="BN94" s="310">
        <v>0</v>
      </c>
      <c r="BO94" s="310">
        <v>0</v>
      </c>
      <c r="BP94" s="310">
        <v>0</v>
      </c>
      <c r="BQ94" s="310">
        <v>0</v>
      </c>
      <c r="BR94" s="310">
        <v>0</v>
      </c>
      <c r="BS94" s="310">
        <v>0</v>
      </c>
      <c r="BT94" s="310">
        <v>0</v>
      </c>
      <c r="BU94" s="310">
        <v>0</v>
      </c>
      <c r="BV94" s="310">
        <v>0</v>
      </c>
      <c r="BW94" s="310">
        <v>25297.051877142199</v>
      </c>
      <c r="BX94" s="310">
        <v>0</v>
      </c>
      <c r="BY94" s="310">
        <v>0</v>
      </c>
      <c r="BZ94" s="310">
        <v>0</v>
      </c>
      <c r="CA94" s="310">
        <v>0</v>
      </c>
      <c r="CB94" s="310">
        <v>0</v>
      </c>
      <c r="CC94" s="310">
        <v>0</v>
      </c>
      <c r="CD94" s="310">
        <v>0</v>
      </c>
      <c r="CE94" s="310">
        <v>0</v>
      </c>
      <c r="CF94" s="310">
        <v>0</v>
      </c>
      <c r="CG94" s="310">
        <v>0</v>
      </c>
      <c r="CH94" s="310">
        <v>0</v>
      </c>
      <c r="CI94" s="310">
        <v>0</v>
      </c>
      <c r="CJ94" s="310">
        <v>0</v>
      </c>
      <c r="CK94" s="310">
        <v>0</v>
      </c>
      <c r="CL94" s="310">
        <v>0</v>
      </c>
    </row>
    <row r="95" spans="61:90" x14ac:dyDescent="0.2">
      <c r="BI95" s="307" t="s">
        <v>335</v>
      </c>
      <c r="BJ95" s="310">
        <v>0</v>
      </c>
      <c r="BK95" s="310">
        <v>0</v>
      </c>
      <c r="BL95" s="310">
        <v>0</v>
      </c>
      <c r="BM95" s="310">
        <v>0</v>
      </c>
      <c r="BN95" s="310">
        <v>0</v>
      </c>
      <c r="BO95" s="310">
        <v>0</v>
      </c>
      <c r="BP95" s="310">
        <v>0</v>
      </c>
      <c r="BQ95" s="310">
        <v>0</v>
      </c>
      <c r="BR95" s="310">
        <v>0</v>
      </c>
      <c r="BS95" s="310">
        <v>0</v>
      </c>
      <c r="BT95" s="310">
        <v>0</v>
      </c>
      <c r="BU95" s="310">
        <v>0</v>
      </c>
      <c r="BV95" s="310">
        <v>0</v>
      </c>
      <c r="BW95" s="310">
        <v>0</v>
      </c>
      <c r="BX95" s="310">
        <v>25297.051877142199</v>
      </c>
      <c r="BY95" s="310">
        <v>0</v>
      </c>
      <c r="BZ95" s="310">
        <v>0</v>
      </c>
      <c r="CA95" s="310">
        <v>0</v>
      </c>
      <c r="CB95" s="310">
        <v>0</v>
      </c>
      <c r="CC95" s="310">
        <v>0</v>
      </c>
      <c r="CD95" s="310">
        <v>0</v>
      </c>
      <c r="CE95" s="310">
        <v>0</v>
      </c>
      <c r="CF95" s="310">
        <v>0</v>
      </c>
      <c r="CG95" s="310">
        <v>0</v>
      </c>
      <c r="CH95" s="310">
        <v>0</v>
      </c>
      <c r="CI95" s="310">
        <v>0</v>
      </c>
      <c r="CJ95" s="310">
        <v>0</v>
      </c>
      <c r="CK95" s="310">
        <v>0</v>
      </c>
      <c r="CL95" s="310">
        <v>0</v>
      </c>
    </row>
    <row r="96" spans="61:90" x14ac:dyDescent="0.2">
      <c r="BI96" s="307" t="s">
        <v>427</v>
      </c>
      <c r="BJ96" s="310">
        <v>0</v>
      </c>
      <c r="BK96" s="310">
        <v>0</v>
      </c>
      <c r="BL96" s="310">
        <v>0</v>
      </c>
      <c r="BM96" s="310">
        <v>0</v>
      </c>
      <c r="BN96" s="310">
        <v>0</v>
      </c>
      <c r="BO96" s="310">
        <v>0</v>
      </c>
      <c r="BP96" s="310">
        <v>0</v>
      </c>
      <c r="BQ96" s="310">
        <v>0</v>
      </c>
      <c r="BR96" s="310">
        <v>0</v>
      </c>
      <c r="BS96" s="310">
        <v>0</v>
      </c>
      <c r="BT96" s="310">
        <v>0</v>
      </c>
      <c r="BU96" s="310">
        <v>0</v>
      </c>
      <c r="BV96" s="310">
        <v>0</v>
      </c>
      <c r="BW96" s="310">
        <v>0</v>
      </c>
      <c r="BX96" s="310">
        <v>0</v>
      </c>
      <c r="BY96" s="310">
        <v>0</v>
      </c>
      <c r="BZ96" s="310">
        <v>0</v>
      </c>
      <c r="CA96" s="310">
        <v>0</v>
      </c>
      <c r="CB96" s="310">
        <v>0</v>
      </c>
      <c r="CC96" s="310">
        <v>0</v>
      </c>
      <c r="CD96" s="310">
        <v>0</v>
      </c>
      <c r="CE96" s="310">
        <v>0</v>
      </c>
      <c r="CF96" s="310">
        <v>0</v>
      </c>
      <c r="CG96" s="310">
        <v>0</v>
      </c>
      <c r="CH96" s="310">
        <v>0</v>
      </c>
      <c r="CI96" s="310">
        <v>0</v>
      </c>
      <c r="CJ96" s="310">
        <v>0</v>
      </c>
      <c r="CK96" s="310">
        <v>0</v>
      </c>
      <c r="CL96" s="310">
        <v>0</v>
      </c>
    </row>
    <row r="97" spans="61:90" x14ac:dyDescent="0.2">
      <c r="BI97" s="307" t="s">
        <v>463</v>
      </c>
      <c r="BJ97" s="310">
        <v>0</v>
      </c>
      <c r="BK97" s="310">
        <v>0</v>
      </c>
      <c r="BL97" s="310">
        <v>0</v>
      </c>
      <c r="BM97" s="310">
        <v>0</v>
      </c>
      <c r="BN97" s="310">
        <v>0</v>
      </c>
      <c r="BO97" s="310">
        <v>0</v>
      </c>
      <c r="BP97" s="310">
        <v>0</v>
      </c>
      <c r="BQ97" s="310">
        <v>0</v>
      </c>
      <c r="BR97" s="310">
        <v>0</v>
      </c>
      <c r="BS97" s="310">
        <v>0</v>
      </c>
      <c r="BT97" s="310">
        <v>0</v>
      </c>
      <c r="BU97" s="310">
        <v>0</v>
      </c>
      <c r="BV97" s="310">
        <v>0</v>
      </c>
      <c r="BW97" s="310">
        <v>0</v>
      </c>
      <c r="BX97" s="310">
        <v>24.076233417548501</v>
      </c>
      <c r="BY97" s="310">
        <v>0</v>
      </c>
      <c r="BZ97" s="310">
        <v>0</v>
      </c>
      <c r="CA97" s="310">
        <v>0</v>
      </c>
      <c r="CB97" s="310">
        <v>0</v>
      </c>
      <c r="CC97" s="310">
        <v>0</v>
      </c>
      <c r="CD97" s="310">
        <v>0</v>
      </c>
      <c r="CE97" s="310">
        <v>0</v>
      </c>
      <c r="CF97" s="310">
        <v>0</v>
      </c>
      <c r="CG97" s="310">
        <v>0</v>
      </c>
      <c r="CH97" s="310">
        <v>0</v>
      </c>
      <c r="CI97" s="310">
        <v>0</v>
      </c>
      <c r="CJ97" s="310">
        <v>0</v>
      </c>
      <c r="CK97" s="310">
        <v>0</v>
      </c>
      <c r="CL97" s="310">
        <v>0</v>
      </c>
    </row>
    <row r="98" spans="61:90" x14ac:dyDescent="0.2">
      <c r="BI98" s="307" t="s">
        <v>343</v>
      </c>
      <c r="BJ98" s="310">
        <v>2329445.30922601</v>
      </c>
      <c r="BK98" s="310">
        <v>0</v>
      </c>
      <c r="BL98" s="310">
        <v>0</v>
      </c>
      <c r="BM98" s="310">
        <v>0</v>
      </c>
      <c r="BN98" s="310">
        <v>0</v>
      </c>
      <c r="BO98" s="310">
        <v>0</v>
      </c>
      <c r="BP98" s="310">
        <v>0</v>
      </c>
      <c r="BQ98" s="310">
        <v>0</v>
      </c>
      <c r="BR98" s="310">
        <v>10583778.883576799</v>
      </c>
      <c r="BS98" s="310">
        <v>10407.5335702297</v>
      </c>
      <c r="BT98" s="310">
        <v>0</v>
      </c>
      <c r="BU98" s="310">
        <v>0</v>
      </c>
      <c r="BV98" s="310">
        <v>0</v>
      </c>
      <c r="BW98" s="310">
        <v>0</v>
      </c>
      <c r="BX98" s="310">
        <v>0</v>
      </c>
      <c r="BY98" s="310">
        <v>0</v>
      </c>
      <c r="BZ98" s="310">
        <v>0</v>
      </c>
      <c r="CA98" s="310">
        <v>0</v>
      </c>
      <c r="CB98" s="310">
        <v>0</v>
      </c>
      <c r="CC98" s="310">
        <v>0</v>
      </c>
      <c r="CD98" s="310">
        <v>0</v>
      </c>
      <c r="CE98" s="310">
        <v>0</v>
      </c>
      <c r="CF98" s="310">
        <v>0</v>
      </c>
      <c r="CG98" s="310">
        <v>0</v>
      </c>
      <c r="CH98" s="310">
        <v>0</v>
      </c>
      <c r="CI98" s="310">
        <v>0</v>
      </c>
      <c r="CJ98" s="310">
        <v>0</v>
      </c>
      <c r="CK98" s="310">
        <v>1951076.47558275</v>
      </c>
      <c r="CL98" s="310">
        <v>0</v>
      </c>
    </row>
    <row r="99" spans="61:90" x14ac:dyDescent="0.2">
      <c r="BI99" s="307" t="s">
        <v>679</v>
      </c>
      <c r="BJ99" s="310">
        <v>0</v>
      </c>
      <c r="BK99" s="310">
        <v>0</v>
      </c>
      <c r="BL99" s="310">
        <v>0</v>
      </c>
      <c r="BM99" s="310">
        <v>0</v>
      </c>
      <c r="BN99" s="310">
        <v>0</v>
      </c>
      <c r="BO99" s="310">
        <v>0</v>
      </c>
      <c r="BP99" s="310">
        <v>0</v>
      </c>
      <c r="BQ99" s="310">
        <v>0</v>
      </c>
      <c r="BR99" s="310">
        <v>0</v>
      </c>
      <c r="BS99" s="310">
        <v>0</v>
      </c>
      <c r="BT99" s="310">
        <v>0</v>
      </c>
      <c r="BU99" s="310">
        <v>0</v>
      </c>
      <c r="BV99" s="310">
        <v>0</v>
      </c>
      <c r="BW99" s="310">
        <v>0</v>
      </c>
      <c r="BX99" s="310">
        <v>0</v>
      </c>
      <c r="BY99" s="310">
        <v>0</v>
      </c>
      <c r="BZ99" s="310">
        <v>0</v>
      </c>
      <c r="CA99" s="310">
        <v>0</v>
      </c>
      <c r="CB99" s="310">
        <v>0</v>
      </c>
      <c r="CC99" s="310">
        <v>0</v>
      </c>
      <c r="CD99" s="310">
        <v>0</v>
      </c>
      <c r="CE99" s="310">
        <v>0</v>
      </c>
      <c r="CF99" s="310">
        <v>0</v>
      </c>
      <c r="CG99" s="310">
        <v>3749358.3680556798</v>
      </c>
      <c r="CH99" s="310">
        <v>0</v>
      </c>
      <c r="CI99" s="310">
        <v>0</v>
      </c>
      <c r="CJ99" s="310">
        <v>0</v>
      </c>
      <c r="CK99" s="310">
        <v>0</v>
      </c>
      <c r="CL99" s="310">
        <v>0</v>
      </c>
    </row>
    <row r="100" spans="61:90" x14ac:dyDescent="0.2">
      <c r="BI100" s="307" t="s">
        <v>680</v>
      </c>
      <c r="BJ100" s="310">
        <v>0</v>
      </c>
      <c r="BK100" s="310">
        <v>0</v>
      </c>
      <c r="BL100" s="310">
        <v>0</v>
      </c>
      <c r="BM100" s="310">
        <v>0</v>
      </c>
      <c r="BN100" s="310">
        <v>0</v>
      </c>
      <c r="BO100" s="310">
        <v>0</v>
      </c>
      <c r="BP100" s="310">
        <v>0</v>
      </c>
      <c r="BQ100" s="310">
        <v>0</v>
      </c>
      <c r="BR100" s="310">
        <v>0</v>
      </c>
      <c r="BS100" s="310">
        <v>0</v>
      </c>
      <c r="BT100" s="310">
        <v>0</v>
      </c>
      <c r="BU100" s="310">
        <v>0</v>
      </c>
      <c r="BV100" s="310">
        <v>0</v>
      </c>
      <c r="BW100" s="310">
        <v>0</v>
      </c>
      <c r="BX100" s="310">
        <v>0</v>
      </c>
      <c r="BY100" s="310">
        <v>0</v>
      </c>
      <c r="BZ100" s="310">
        <v>0</v>
      </c>
      <c r="CA100" s="310">
        <v>0</v>
      </c>
      <c r="CB100" s="310">
        <v>0</v>
      </c>
      <c r="CC100" s="310">
        <v>0</v>
      </c>
      <c r="CD100" s="310">
        <v>0</v>
      </c>
      <c r="CE100" s="310">
        <v>0</v>
      </c>
      <c r="CF100" s="310">
        <v>0</v>
      </c>
      <c r="CG100" s="310">
        <v>0</v>
      </c>
      <c r="CH100" s="310">
        <v>0</v>
      </c>
      <c r="CI100" s="310">
        <v>0</v>
      </c>
      <c r="CJ100" s="310">
        <v>668.84165319492104</v>
      </c>
      <c r="CK100" s="310">
        <v>0</v>
      </c>
      <c r="CL100" s="310">
        <v>0</v>
      </c>
    </row>
    <row r="101" spans="61:90" x14ac:dyDescent="0.2">
      <c r="BI101" s="307" t="s">
        <v>681</v>
      </c>
      <c r="BJ101" s="310">
        <v>0</v>
      </c>
      <c r="BK101" s="310">
        <v>0</v>
      </c>
      <c r="BL101" s="310">
        <v>0</v>
      </c>
      <c r="BM101" s="310">
        <v>0</v>
      </c>
      <c r="BN101" s="310">
        <v>0</v>
      </c>
      <c r="BO101" s="310">
        <v>0</v>
      </c>
      <c r="BP101" s="310">
        <v>0</v>
      </c>
      <c r="BQ101" s="310">
        <v>0</v>
      </c>
      <c r="BR101" s="310">
        <v>0</v>
      </c>
      <c r="BS101" s="310">
        <v>0</v>
      </c>
      <c r="BT101" s="310">
        <v>0</v>
      </c>
      <c r="BU101" s="310">
        <v>0</v>
      </c>
      <c r="BV101" s="310">
        <v>0</v>
      </c>
      <c r="BW101" s="310">
        <v>0</v>
      </c>
      <c r="BX101" s="310">
        <v>0</v>
      </c>
      <c r="BY101" s="310">
        <v>0</v>
      </c>
      <c r="BZ101" s="310">
        <v>0</v>
      </c>
      <c r="CA101" s="310">
        <v>0</v>
      </c>
      <c r="CB101" s="310">
        <v>0</v>
      </c>
      <c r="CC101" s="310">
        <v>0</v>
      </c>
      <c r="CD101" s="310">
        <v>0</v>
      </c>
      <c r="CE101" s="310">
        <v>0</v>
      </c>
      <c r="CF101" s="310">
        <v>0</v>
      </c>
      <c r="CG101" s="310">
        <v>0</v>
      </c>
      <c r="CH101" s="310">
        <v>0</v>
      </c>
      <c r="CI101" s="310">
        <v>668.84165319492104</v>
      </c>
      <c r="CJ101" s="310">
        <v>0</v>
      </c>
      <c r="CK101" s="310">
        <v>0</v>
      </c>
      <c r="CL101" s="310">
        <v>0</v>
      </c>
    </row>
    <row r="102" spans="61:90" x14ac:dyDescent="0.2">
      <c r="BI102" s="307" t="s">
        <v>682</v>
      </c>
      <c r="BJ102" s="310">
        <v>0</v>
      </c>
      <c r="BK102" s="310">
        <v>0</v>
      </c>
      <c r="BL102" s="310">
        <v>0</v>
      </c>
      <c r="BM102" s="310">
        <v>0</v>
      </c>
      <c r="BN102" s="310">
        <v>0</v>
      </c>
      <c r="BO102" s="310">
        <v>0</v>
      </c>
      <c r="BP102" s="310">
        <v>0</v>
      </c>
      <c r="BQ102" s="310">
        <v>0</v>
      </c>
      <c r="BR102" s="310">
        <v>0</v>
      </c>
      <c r="BS102" s="310">
        <v>0</v>
      </c>
      <c r="BT102" s="310">
        <v>0</v>
      </c>
      <c r="BU102" s="310">
        <v>0</v>
      </c>
      <c r="BV102" s="310">
        <v>0</v>
      </c>
      <c r="BW102" s="310">
        <v>0</v>
      </c>
      <c r="BX102" s="310">
        <v>0</v>
      </c>
      <c r="BY102" s="310">
        <v>0</v>
      </c>
      <c r="BZ102" s="310">
        <v>0</v>
      </c>
      <c r="CA102" s="310">
        <v>0</v>
      </c>
      <c r="CB102" s="310">
        <v>0</v>
      </c>
      <c r="CC102" s="310">
        <v>0</v>
      </c>
      <c r="CD102" s="310">
        <v>0</v>
      </c>
      <c r="CE102" s="310">
        <v>0</v>
      </c>
      <c r="CF102" s="310">
        <v>0</v>
      </c>
      <c r="CG102" s="310">
        <v>0</v>
      </c>
      <c r="CH102" s="310">
        <v>184686.52821315001</v>
      </c>
      <c r="CI102" s="310">
        <v>0</v>
      </c>
      <c r="CJ102" s="310">
        <v>0</v>
      </c>
      <c r="CK102" s="310">
        <v>0</v>
      </c>
      <c r="CL102" s="310">
        <v>0</v>
      </c>
    </row>
    <row r="103" spans="61:90" x14ac:dyDescent="0.2">
      <c r="BI103" s="307" t="s">
        <v>683</v>
      </c>
      <c r="BJ103" s="310">
        <v>0</v>
      </c>
      <c r="BK103" s="310">
        <v>0</v>
      </c>
      <c r="BL103" s="310">
        <v>0</v>
      </c>
      <c r="BM103" s="310">
        <v>0</v>
      </c>
      <c r="BN103" s="310">
        <v>0</v>
      </c>
      <c r="BO103" s="310">
        <v>0</v>
      </c>
      <c r="BP103" s="310">
        <v>0</v>
      </c>
      <c r="BQ103" s="310">
        <v>0</v>
      </c>
      <c r="BR103" s="310">
        <v>0</v>
      </c>
      <c r="BS103" s="310">
        <v>0</v>
      </c>
      <c r="BT103" s="310">
        <v>0</v>
      </c>
      <c r="BU103" s="310">
        <v>0</v>
      </c>
      <c r="BV103" s="310">
        <v>0</v>
      </c>
      <c r="BW103" s="310">
        <v>0</v>
      </c>
      <c r="BX103" s="310">
        <v>0</v>
      </c>
      <c r="BY103" s="310">
        <v>0</v>
      </c>
      <c r="BZ103" s="310">
        <v>0</v>
      </c>
      <c r="CA103" s="310">
        <v>0</v>
      </c>
      <c r="CB103" s="310">
        <v>184686.52821315001</v>
      </c>
      <c r="CC103" s="310">
        <v>0</v>
      </c>
      <c r="CD103" s="310">
        <v>0</v>
      </c>
      <c r="CE103" s="310">
        <v>0</v>
      </c>
      <c r="CF103" s="310">
        <v>0</v>
      </c>
      <c r="CG103" s="310">
        <v>0</v>
      </c>
      <c r="CH103" s="310">
        <v>0</v>
      </c>
      <c r="CI103" s="310">
        <v>0</v>
      </c>
      <c r="CJ103" s="310">
        <v>0</v>
      </c>
      <c r="CK103" s="310">
        <v>0</v>
      </c>
      <c r="CL103" s="310">
        <v>0</v>
      </c>
    </row>
    <row r="104" spans="61:90" x14ac:dyDescent="0.2">
      <c r="BI104" s="307" t="s">
        <v>684</v>
      </c>
      <c r="BJ104" s="310">
        <v>0</v>
      </c>
      <c r="BK104" s="310">
        <v>0</v>
      </c>
      <c r="BL104" s="310">
        <v>0</v>
      </c>
      <c r="BM104" s="310">
        <v>0</v>
      </c>
      <c r="BN104" s="310">
        <v>22059.242005331998</v>
      </c>
      <c r="BO104" s="310">
        <v>0</v>
      </c>
      <c r="BP104" s="310">
        <v>0</v>
      </c>
      <c r="BQ104" s="310">
        <v>0</v>
      </c>
      <c r="BR104" s="310">
        <v>0</v>
      </c>
      <c r="BS104" s="310">
        <v>0</v>
      </c>
      <c r="BT104" s="310">
        <v>0</v>
      </c>
      <c r="BU104" s="310">
        <v>0</v>
      </c>
      <c r="BV104" s="310">
        <v>0</v>
      </c>
      <c r="BW104" s="310">
        <v>0</v>
      </c>
      <c r="BX104" s="310">
        <v>0</v>
      </c>
      <c r="BY104" s="310">
        <v>0</v>
      </c>
      <c r="BZ104" s="310">
        <v>3204496.1178020099</v>
      </c>
      <c r="CA104" s="310">
        <v>0</v>
      </c>
      <c r="CB104" s="310">
        <v>0</v>
      </c>
      <c r="CC104" s="310">
        <v>0</v>
      </c>
      <c r="CD104" s="310">
        <v>0</v>
      </c>
      <c r="CE104" s="310">
        <v>0</v>
      </c>
      <c r="CF104" s="310">
        <v>0</v>
      </c>
      <c r="CG104" s="310">
        <v>0</v>
      </c>
      <c r="CH104" s="310">
        <v>0</v>
      </c>
      <c r="CI104" s="310">
        <v>0</v>
      </c>
      <c r="CJ104" s="310">
        <v>0</v>
      </c>
      <c r="CK104" s="310">
        <v>0</v>
      </c>
      <c r="CL104" s="310">
        <v>0</v>
      </c>
    </row>
    <row r="105" spans="61:90" x14ac:dyDescent="0.2">
      <c r="BI105" s="307" t="s">
        <v>685</v>
      </c>
      <c r="BJ105" s="310">
        <v>0</v>
      </c>
      <c r="BK105" s="310">
        <v>0</v>
      </c>
      <c r="BL105" s="310">
        <v>0</v>
      </c>
      <c r="BM105" s="310">
        <v>0</v>
      </c>
      <c r="BN105" s="310">
        <v>0</v>
      </c>
      <c r="BO105" s="310">
        <v>3090735.3644190198</v>
      </c>
      <c r="BP105" s="310">
        <v>0</v>
      </c>
      <c r="BQ105" s="310">
        <v>0</v>
      </c>
      <c r="BR105" s="310">
        <v>0</v>
      </c>
      <c r="BS105" s="310">
        <v>0</v>
      </c>
      <c r="BT105" s="310">
        <v>0</v>
      </c>
      <c r="BU105" s="310">
        <v>0</v>
      </c>
      <c r="BV105" s="310">
        <v>0</v>
      </c>
      <c r="BW105" s="310">
        <v>0</v>
      </c>
      <c r="BX105" s="310">
        <v>0</v>
      </c>
      <c r="BY105" s="310">
        <v>0</v>
      </c>
      <c r="BZ105" s="310">
        <v>0</v>
      </c>
      <c r="CA105" s="310">
        <v>0</v>
      </c>
      <c r="CB105" s="310">
        <v>0</v>
      </c>
      <c r="CC105" s="310">
        <v>0</v>
      </c>
      <c r="CD105" s="310">
        <v>0</v>
      </c>
      <c r="CE105" s="310">
        <v>0</v>
      </c>
      <c r="CF105" s="310">
        <v>0</v>
      </c>
      <c r="CG105" s="310">
        <v>0</v>
      </c>
      <c r="CH105" s="310">
        <v>0</v>
      </c>
      <c r="CI105" s="310">
        <v>0</v>
      </c>
      <c r="CJ105" s="310">
        <v>0</v>
      </c>
      <c r="CK105" s="310">
        <v>0</v>
      </c>
      <c r="CL105" s="310">
        <v>0</v>
      </c>
    </row>
    <row r="106" spans="61:90" x14ac:dyDescent="0.2">
      <c r="BI106" s="307" t="s">
        <v>686</v>
      </c>
      <c r="BJ106" s="310">
        <v>0</v>
      </c>
      <c r="BK106" s="310">
        <v>0</v>
      </c>
      <c r="BL106" s="310">
        <v>0</v>
      </c>
      <c r="BM106" s="310">
        <v>0</v>
      </c>
      <c r="BN106" s="310">
        <v>0</v>
      </c>
      <c r="BO106" s="310">
        <v>0</v>
      </c>
      <c r="BP106" s="310">
        <v>0</v>
      </c>
      <c r="BQ106" s="310">
        <v>0</v>
      </c>
      <c r="BR106" s="310">
        <v>0</v>
      </c>
      <c r="BS106" s="310">
        <v>0</v>
      </c>
      <c r="BT106" s="310">
        <v>0</v>
      </c>
      <c r="BU106" s="310">
        <v>0</v>
      </c>
      <c r="BV106" s="310">
        <v>0</v>
      </c>
      <c r="BW106" s="310">
        <v>0</v>
      </c>
      <c r="BX106" s="310">
        <v>0</v>
      </c>
      <c r="BY106" s="310">
        <v>0</v>
      </c>
      <c r="BZ106" s="310">
        <v>0</v>
      </c>
      <c r="CA106" s="310">
        <v>0</v>
      </c>
      <c r="CB106" s="310">
        <v>0</v>
      </c>
      <c r="CC106" s="310">
        <v>0</v>
      </c>
      <c r="CD106" s="310">
        <v>0</v>
      </c>
      <c r="CE106" s="310">
        <v>0</v>
      </c>
      <c r="CF106" s="310">
        <v>0</v>
      </c>
      <c r="CG106" s="310">
        <v>0</v>
      </c>
      <c r="CH106" s="310">
        <v>0</v>
      </c>
      <c r="CI106" s="310">
        <v>0</v>
      </c>
      <c r="CJ106" s="310">
        <v>0</v>
      </c>
      <c r="CK106" s="310">
        <v>0</v>
      </c>
      <c r="CL106" s="310">
        <v>21683.690906267198</v>
      </c>
    </row>
    <row r="107" spans="61:90" x14ac:dyDescent="0.2">
      <c r="BI107" s="307" t="s">
        <v>446</v>
      </c>
      <c r="BJ107" s="310">
        <v>0</v>
      </c>
      <c r="BK107" s="310">
        <v>0</v>
      </c>
      <c r="BL107" s="310">
        <v>0</v>
      </c>
      <c r="BM107" s="310">
        <v>0</v>
      </c>
      <c r="BN107" s="310">
        <v>0</v>
      </c>
      <c r="BO107" s="310">
        <v>0</v>
      </c>
      <c r="BP107" s="310">
        <v>0</v>
      </c>
      <c r="BQ107" s="310">
        <v>0</v>
      </c>
      <c r="BR107" s="310">
        <v>0</v>
      </c>
      <c r="BS107" s="310">
        <v>0</v>
      </c>
      <c r="BT107" s="310">
        <v>0</v>
      </c>
      <c r="BU107" s="310">
        <v>0</v>
      </c>
      <c r="BV107" s="310">
        <v>0</v>
      </c>
      <c r="BW107" s="310">
        <v>0</v>
      </c>
      <c r="BX107" s="310">
        <v>0</v>
      </c>
      <c r="BY107" s="310">
        <v>0</v>
      </c>
      <c r="BZ107" s="310">
        <v>0</v>
      </c>
      <c r="CA107" s="310">
        <v>0</v>
      </c>
      <c r="CB107" s="310">
        <v>0</v>
      </c>
      <c r="CC107" s="310">
        <v>0</v>
      </c>
      <c r="CD107" s="310">
        <v>0</v>
      </c>
      <c r="CE107" s="310">
        <v>0</v>
      </c>
      <c r="CF107" s="310">
        <v>0</v>
      </c>
      <c r="CG107" s="310">
        <v>0</v>
      </c>
      <c r="CH107" s="310">
        <v>0</v>
      </c>
      <c r="CI107" s="310">
        <v>0</v>
      </c>
      <c r="CJ107" s="310">
        <v>0</v>
      </c>
      <c r="CK107" s="310">
        <v>0</v>
      </c>
      <c r="CL107" s="310">
        <v>0</v>
      </c>
    </row>
    <row r="108" spans="61:90" x14ac:dyDescent="0.2">
      <c r="BI108" s="307" t="s">
        <v>457</v>
      </c>
      <c r="BJ108" s="310">
        <v>0</v>
      </c>
      <c r="BK108" s="310">
        <v>0</v>
      </c>
      <c r="BL108" s="310">
        <v>0</v>
      </c>
      <c r="BM108" s="310">
        <v>0</v>
      </c>
      <c r="BN108" s="310">
        <v>0</v>
      </c>
      <c r="BO108" s="310">
        <v>0</v>
      </c>
      <c r="BP108" s="310">
        <v>0</v>
      </c>
      <c r="BQ108" s="310">
        <v>0</v>
      </c>
      <c r="BR108" s="310">
        <v>0</v>
      </c>
      <c r="BS108" s="310">
        <v>0</v>
      </c>
      <c r="BT108" s="310">
        <v>0</v>
      </c>
      <c r="BU108" s="310">
        <v>0</v>
      </c>
      <c r="BV108" s="310">
        <v>0</v>
      </c>
      <c r="BW108" s="310">
        <v>0</v>
      </c>
      <c r="BX108" s="310">
        <v>0</v>
      </c>
      <c r="BY108" s="310">
        <v>0</v>
      </c>
      <c r="BZ108" s="310">
        <v>0</v>
      </c>
      <c r="CA108" s="310">
        <v>0</v>
      </c>
      <c r="CB108" s="310">
        <v>0</v>
      </c>
      <c r="CC108" s="310">
        <v>0</v>
      </c>
      <c r="CD108" s="310">
        <v>0</v>
      </c>
      <c r="CE108" s="310">
        <v>0</v>
      </c>
      <c r="CF108" s="310">
        <v>0</v>
      </c>
      <c r="CG108" s="310">
        <v>0</v>
      </c>
      <c r="CH108" s="310">
        <v>0</v>
      </c>
      <c r="CI108" s="310">
        <v>0</v>
      </c>
      <c r="CJ108" s="310">
        <v>0</v>
      </c>
      <c r="CK108" s="310">
        <v>0</v>
      </c>
      <c r="CL108" s="310">
        <v>0</v>
      </c>
    </row>
    <row r="109" spans="61:90" x14ac:dyDescent="0.2">
      <c r="BI109" s="307" t="s">
        <v>687</v>
      </c>
      <c r="BJ109" s="310">
        <v>0</v>
      </c>
      <c r="BK109" s="310">
        <v>0</v>
      </c>
      <c r="BL109" s="310">
        <v>0</v>
      </c>
      <c r="BM109" s="310">
        <v>0</v>
      </c>
      <c r="BN109" s="310">
        <v>0</v>
      </c>
      <c r="BO109" s="310">
        <v>0</v>
      </c>
      <c r="BP109" s="310">
        <v>0</v>
      </c>
      <c r="BQ109" s="310">
        <v>0</v>
      </c>
      <c r="BR109" s="310">
        <v>0</v>
      </c>
      <c r="BS109" s="310">
        <v>0</v>
      </c>
      <c r="BT109" s="310">
        <v>0</v>
      </c>
      <c r="BU109" s="310">
        <v>0</v>
      </c>
      <c r="BV109" s="310">
        <v>0</v>
      </c>
      <c r="BW109" s="310">
        <v>0</v>
      </c>
      <c r="BX109" s="310">
        <v>0</v>
      </c>
      <c r="BY109" s="310">
        <v>0</v>
      </c>
      <c r="BZ109" s="310">
        <v>5048.7551388456604</v>
      </c>
      <c r="CA109" s="310">
        <v>0</v>
      </c>
      <c r="CB109" s="310">
        <v>0</v>
      </c>
      <c r="CC109" s="310">
        <v>0</v>
      </c>
      <c r="CD109" s="310">
        <v>0</v>
      </c>
      <c r="CE109" s="310">
        <v>0</v>
      </c>
      <c r="CF109" s="310">
        <v>0</v>
      </c>
      <c r="CG109" s="310">
        <v>0</v>
      </c>
      <c r="CH109" s="310">
        <v>0</v>
      </c>
      <c r="CI109" s="310">
        <v>0</v>
      </c>
      <c r="CJ109" s="310">
        <v>0</v>
      </c>
      <c r="CK109" s="310">
        <v>0</v>
      </c>
      <c r="CL109" s="310">
        <v>0</v>
      </c>
    </row>
    <row r="110" spans="61:90" x14ac:dyDescent="0.2">
      <c r="BI110" s="307" t="s">
        <v>688</v>
      </c>
      <c r="BJ110" s="310">
        <v>0</v>
      </c>
      <c r="BK110" s="310">
        <v>0</v>
      </c>
      <c r="BL110" s="310">
        <v>0</v>
      </c>
      <c r="BM110" s="310">
        <v>0</v>
      </c>
      <c r="BN110" s="310">
        <v>0</v>
      </c>
      <c r="BO110" s="310">
        <v>0</v>
      </c>
      <c r="BP110" s="310">
        <v>0</v>
      </c>
      <c r="BQ110" s="310">
        <v>0</v>
      </c>
      <c r="BR110" s="310">
        <v>0</v>
      </c>
      <c r="BS110" s="310">
        <v>0</v>
      </c>
      <c r="BT110" s="310">
        <v>0</v>
      </c>
      <c r="BU110" s="310">
        <v>0</v>
      </c>
      <c r="BV110" s="310">
        <v>0</v>
      </c>
      <c r="BW110" s="310">
        <v>0</v>
      </c>
      <c r="BX110" s="310">
        <v>0</v>
      </c>
      <c r="BY110" s="310">
        <v>0</v>
      </c>
      <c r="BZ110" s="310">
        <v>0</v>
      </c>
      <c r="CA110" s="310">
        <v>0</v>
      </c>
      <c r="CB110" s="310">
        <v>0</v>
      </c>
      <c r="CC110" s="310">
        <v>5023.7890204089899</v>
      </c>
      <c r="CD110" s="310">
        <v>0</v>
      </c>
      <c r="CE110" s="310">
        <v>0</v>
      </c>
      <c r="CF110" s="310">
        <v>0</v>
      </c>
      <c r="CG110" s="310">
        <v>0</v>
      </c>
      <c r="CH110" s="310">
        <v>0</v>
      </c>
      <c r="CI110" s="310">
        <v>0</v>
      </c>
      <c r="CJ110" s="310">
        <v>0</v>
      </c>
      <c r="CK110" s="310">
        <v>0</v>
      </c>
      <c r="CL110" s="310">
        <v>0</v>
      </c>
    </row>
    <row r="111" spans="61:90" x14ac:dyDescent="0.2">
      <c r="BI111" s="307" t="s">
        <v>425</v>
      </c>
      <c r="BJ111" s="310">
        <v>0</v>
      </c>
      <c r="BK111" s="310">
        <v>0</v>
      </c>
      <c r="BL111" s="310">
        <v>0</v>
      </c>
      <c r="BM111" s="310">
        <v>0</v>
      </c>
      <c r="BN111" s="310">
        <v>0</v>
      </c>
      <c r="BO111" s="310">
        <v>0</v>
      </c>
      <c r="BP111" s="310">
        <v>0</v>
      </c>
      <c r="BQ111" s="310">
        <v>0</v>
      </c>
      <c r="BR111" s="310">
        <v>0</v>
      </c>
      <c r="BS111" s="310">
        <v>0</v>
      </c>
      <c r="BT111" s="310">
        <v>0</v>
      </c>
      <c r="BU111" s="310">
        <v>0</v>
      </c>
      <c r="BV111" s="310">
        <v>0</v>
      </c>
      <c r="BW111" s="310">
        <v>0</v>
      </c>
      <c r="BX111" s="310">
        <v>0</v>
      </c>
      <c r="BY111" s="310">
        <v>0</v>
      </c>
      <c r="BZ111" s="310">
        <v>0</v>
      </c>
      <c r="CA111" s="310">
        <v>0</v>
      </c>
      <c r="CB111" s="310">
        <v>0</v>
      </c>
      <c r="CC111" s="310">
        <v>0</v>
      </c>
      <c r="CD111" s="310">
        <v>0</v>
      </c>
      <c r="CE111" s="310">
        <v>0</v>
      </c>
      <c r="CF111" s="310">
        <v>242016.07607977401</v>
      </c>
      <c r="CG111" s="310">
        <v>0</v>
      </c>
      <c r="CH111" s="310">
        <v>0</v>
      </c>
      <c r="CI111" s="310">
        <v>0</v>
      </c>
      <c r="CJ111" s="310">
        <v>0</v>
      </c>
      <c r="CK111" s="310">
        <v>0</v>
      </c>
      <c r="CL111" s="310">
        <v>0</v>
      </c>
    </row>
    <row r="112" spans="61:90" x14ac:dyDescent="0.2">
      <c r="BI112" s="307" t="s">
        <v>689</v>
      </c>
      <c r="BJ112" s="310">
        <v>0</v>
      </c>
      <c r="BK112" s="310">
        <v>0</v>
      </c>
      <c r="BL112" s="310">
        <v>0</v>
      </c>
      <c r="BM112" s="310">
        <v>0</v>
      </c>
      <c r="BN112" s="310">
        <v>0</v>
      </c>
      <c r="BO112" s="310">
        <v>0</v>
      </c>
      <c r="BP112" s="310">
        <v>0</v>
      </c>
      <c r="BQ112" s="310">
        <v>0</v>
      </c>
      <c r="BR112" s="310">
        <v>0</v>
      </c>
      <c r="BS112" s="310">
        <v>0</v>
      </c>
      <c r="BT112" s="310">
        <v>0</v>
      </c>
      <c r="BU112" s="310">
        <v>0</v>
      </c>
      <c r="BV112" s="310">
        <v>0</v>
      </c>
      <c r="BW112" s="310">
        <v>0</v>
      </c>
      <c r="BX112" s="310">
        <v>0</v>
      </c>
      <c r="BY112" s="310">
        <v>0</v>
      </c>
      <c r="BZ112" s="310">
        <v>0</v>
      </c>
      <c r="CA112" s="310">
        <v>0</v>
      </c>
      <c r="CB112" s="310">
        <v>0</v>
      </c>
      <c r="CC112" s="310">
        <v>0</v>
      </c>
      <c r="CD112" s="310">
        <v>0</v>
      </c>
      <c r="CE112" s="310">
        <v>0</v>
      </c>
      <c r="CF112" s="310">
        <v>0</v>
      </c>
      <c r="CG112" s="310">
        <v>0</v>
      </c>
      <c r="CH112" s="310">
        <v>0</v>
      </c>
      <c r="CI112" s="310">
        <v>0</v>
      </c>
      <c r="CJ112" s="310">
        <v>0</v>
      </c>
      <c r="CK112" s="310">
        <v>0</v>
      </c>
      <c r="CL112" s="310">
        <v>0</v>
      </c>
    </row>
    <row r="113" spans="61:95" x14ac:dyDescent="0.2">
      <c r="BI113" s="307" t="s">
        <v>690</v>
      </c>
      <c r="BJ113" s="310">
        <v>0</v>
      </c>
      <c r="BK113" s="310">
        <v>0</v>
      </c>
      <c r="BL113" s="310">
        <v>0</v>
      </c>
      <c r="BM113" s="310">
        <v>0</v>
      </c>
      <c r="BN113" s="310">
        <v>0</v>
      </c>
      <c r="BO113" s="310">
        <v>0</v>
      </c>
      <c r="BP113" s="310">
        <v>0</v>
      </c>
      <c r="BQ113" s="310">
        <v>0</v>
      </c>
      <c r="BR113" s="310">
        <v>0</v>
      </c>
      <c r="BS113" s="310">
        <v>0</v>
      </c>
      <c r="BT113" s="310">
        <v>0</v>
      </c>
      <c r="BU113" s="310">
        <v>0</v>
      </c>
      <c r="BV113" s="310">
        <v>0</v>
      </c>
      <c r="BW113" s="310">
        <v>0</v>
      </c>
      <c r="BX113" s="310">
        <v>0</v>
      </c>
      <c r="BY113" s="310">
        <v>0</v>
      </c>
      <c r="BZ113" s="310">
        <v>82.091627997489695</v>
      </c>
      <c r="CA113" s="310">
        <v>0</v>
      </c>
      <c r="CB113" s="310">
        <v>0</v>
      </c>
      <c r="CC113" s="310">
        <v>0</v>
      </c>
      <c r="CD113" s="310">
        <v>0</v>
      </c>
      <c r="CE113" s="310">
        <v>0</v>
      </c>
      <c r="CF113" s="310">
        <v>0</v>
      </c>
      <c r="CG113" s="310">
        <v>0</v>
      </c>
      <c r="CH113" s="310">
        <v>0</v>
      </c>
      <c r="CI113" s="310">
        <v>0</v>
      </c>
      <c r="CJ113" s="310">
        <v>0</v>
      </c>
      <c r="CK113" s="310">
        <v>0</v>
      </c>
      <c r="CL113" s="310">
        <v>0</v>
      </c>
    </row>
    <row r="114" spans="61:95" x14ac:dyDescent="0.2">
      <c r="BI114" s="307" t="s">
        <v>691</v>
      </c>
      <c r="BJ114" s="310">
        <v>0</v>
      </c>
      <c r="BK114" s="310">
        <v>0</v>
      </c>
      <c r="BL114" s="310">
        <v>0</v>
      </c>
      <c r="BM114" s="310">
        <v>0</v>
      </c>
      <c r="BN114" s="310">
        <v>0</v>
      </c>
      <c r="BO114" s="310">
        <v>0</v>
      </c>
      <c r="BP114" s="310">
        <v>0</v>
      </c>
      <c r="BQ114" s="310">
        <v>0</v>
      </c>
      <c r="BR114" s="310">
        <v>0</v>
      </c>
      <c r="BS114" s="310">
        <v>0</v>
      </c>
      <c r="BT114" s="310">
        <v>0</v>
      </c>
      <c r="BU114" s="310">
        <v>0</v>
      </c>
      <c r="BV114" s="310">
        <v>0</v>
      </c>
      <c r="BW114" s="310">
        <v>0</v>
      </c>
      <c r="BX114" s="310">
        <v>0</v>
      </c>
      <c r="BY114" s="310">
        <v>0</v>
      </c>
      <c r="BZ114" s="310">
        <v>0</v>
      </c>
      <c r="CA114" s="310">
        <v>0</v>
      </c>
      <c r="CB114" s="310">
        <v>0</v>
      </c>
      <c r="CC114" s="310">
        <v>0</v>
      </c>
      <c r="CD114" s="310">
        <v>82.091627997489695</v>
      </c>
      <c r="CE114" s="310">
        <v>0</v>
      </c>
      <c r="CF114" s="310">
        <v>0</v>
      </c>
      <c r="CG114" s="310">
        <v>0</v>
      </c>
      <c r="CH114" s="310">
        <v>0</v>
      </c>
      <c r="CI114" s="310">
        <v>0</v>
      </c>
      <c r="CJ114" s="310">
        <v>0</v>
      </c>
      <c r="CK114" s="310">
        <v>0</v>
      </c>
      <c r="CL114" s="310">
        <v>0</v>
      </c>
    </row>
    <row r="115" spans="61:95" x14ac:dyDescent="0.2">
      <c r="BI115" s="307" t="s">
        <v>552</v>
      </c>
      <c r="BJ115" s="310">
        <v>0</v>
      </c>
      <c r="BK115" s="310">
        <v>0</v>
      </c>
      <c r="BL115" s="310">
        <v>0</v>
      </c>
      <c r="BM115" s="310">
        <v>0</v>
      </c>
      <c r="BN115" s="310">
        <v>0</v>
      </c>
      <c r="BO115" s="310">
        <v>0</v>
      </c>
      <c r="BP115" s="310">
        <v>0</v>
      </c>
      <c r="BQ115" s="310">
        <v>0</v>
      </c>
      <c r="BR115" s="310">
        <v>0</v>
      </c>
      <c r="BS115" s="310">
        <v>0</v>
      </c>
      <c r="BT115" s="310">
        <v>0</v>
      </c>
      <c r="BU115" s="310">
        <v>0</v>
      </c>
      <c r="BV115" s="310">
        <v>0</v>
      </c>
      <c r="BW115" s="310">
        <v>0</v>
      </c>
      <c r="BX115" s="310">
        <v>0</v>
      </c>
      <c r="BY115" s="310">
        <v>0</v>
      </c>
      <c r="BZ115" s="310">
        <v>0</v>
      </c>
      <c r="CA115" s="310">
        <v>0</v>
      </c>
      <c r="CB115" s="310">
        <v>0</v>
      </c>
      <c r="CC115" s="310">
        <v>0</v>
      </c>
      <c r="CD115" s="310">
        <v>0</v>
      </c>
      <c r="CE115" s="310">
        <v>0</v>
      </c>
      <c r="CF115" s="310">
        <v>0</v>
      </c>
      <c r="CG115" s="310">
        <v>0</v>
      </c>
      <c r="CH115" s="310">
        <v>0</v>
      </c>
      <c r="CI115" s="310">
        <v>0</v>
      </c>
      <c r="CJ115" s="310">
        <v>0</v>
      </c>
      <c r="CK115" s="310">
        <v>0</v>
      </c>
      <c r="CL115" s="310">
        <v>0</v>
      </c>
    </row>
    <row r="116" spans="61:95" x14ac:dyDescent="0.2">
      <c r="BI116" s="307" t="s">
        <v>517</v>
      </c>
      <c r="BJ116" s="310">
        <v>2830357.1263978099</v>
      </c>
      <c r="BK116" s="310">
        <v>0</v>
      </c>
      <c r="BL116" s="310">
        <v>0</v>
      </c>
      <c r="BM116" s="310">
        <v>0</v>
      </c>
      <c r="BN116" s="310">
        <v>0</v>
      </c>
      <c r="BO116" s="310">
        <v>0</v>
      </c>
      <c r="BP116" s="310">
        <v>0</v>
      </c>
      <c r="BQ116" s="310">
        <v>0</v>
      </c>
      <c r="BR116" s="310">
        <v>0</v>
      </c>
      <c r="BS116" s="310">
        <v>0</v>
      </c>
      <c r="BT116" s="310">
        <v>0</v>
      </c>
      <c r="BU116" s="310">
        <v>0</v>
      </c>
      <c r="BV116" s="310">
        <v>0</v>
      </c>
      <c r="BW116" s="310">
        <v>0</v>
      </c>
      <c r="BX116" s="310">
        <v>0</v>
      </c>
      <c r="BY116" s="310">
        <v>0</v>
      </c>
      <c r="BZ116" s="310">
        <v>0</v>
      </c>
      <c r="CA116" s="310">
        <v>0</v>
      </c>
      <c r="CB116" s="310">
        <v>0</v>
      </c>
      <c r="CC116" s="310">
        <v>0</v>
      </c>
      <c r="CD116" s="310">
        <v>0</v>
      </c>
      <c r="CE116" s="310">
        <v>0</v>
      </c>
      <c r="CF116" s="310">
        <v>0</v>
      </c>
      <c r="CG116" s="310">
        <v>0</v>
      </c>
      <c r="CH116" s="310">
        <v>0</v>
      </c>
      <c r="CI116" s="310">
        <v>0</v>
      </c>
      <c r="CJ116" s="310">
        <v>0</v>
      </c>
      <c r="CK116" s="310">
        <v>0</v>
      </c>
      <c r="CL116" s="310">
        <v>0</v>
      </c>
    </row>
    <row r="117" spans="61:95" x14ac:dyDescent="0.2">
      <c r="BI117" s="307" t="s">
        <v>515</v>
      </c>
      <c r="BJ117" s="310">
        <v>0</v>
      </c>
      <c r="BK117" s="310">
        <v>0</v>
      </c>
      <c r="BL117" s="310">
        <v>0</v>
      </c>
      <c r="BM117" s="310">
        <v>0</v>
      </c>
      <c r="BN117" s="310">
        <v>0</v>
      </c>
      <c r="BO117" s="310">
        <v>0</v>
      </c>
      <c r="BP117" s="310">
        <v>4043367.3234254499</v>
      </c>
      <c r="BQ117" s="310">
        <v>0</v>
      </c>
      <c r="BR117" s="310">
        <v>0</v>
      </c>
      <c r="BS117" s="310">
        <v>0</v>
      </c>
      <c r="BT117" s="310">
        <v>0</v>
      </c>
      <c r="BU117" s="310">
        <v>0</v>
      </c>
      <c r="BV117" s="310">
        <v>0</v>
      </c>
      <c r="BW117" s="310">
        <v>0</v>
      </c>
      <c r="BX117" s="310">
        <v>0</v>
      </c>
      <c r="BY117" s="310">
        <v>0</v>
      </c>
      <c r="BZ117" s="310">
        <v>0</v>
      </c>
      <c r="CA117" s="310">
        <v>0</v>
      </c>
      <c r="CB117" s="310">
        <v>0</v>
      </c>
      <c r="CC117" s="310">
        <v>0</v>
      </c>
      <c r="CD117" s="310">
        <v>0</v>
      </c>
      <c r="CE117" s="310">
        <v>0</v>
      </c>
      <c r="CF117" s="310">
        <v>0</v>
      </c>
      <c r="CG117" s="310">
        <v>0</v>
      </c>
      <c r="CH117" s="310">
        <v>0</v>
      </c>
      <c r="CI117" s="310">
        <v>0</v>
      </c>
      <c r="CJ117" s="310">
        <v>0</v>
      </c>
      <c r="CK117" s="310">
        <v>0</v>
      </c>
      <c r="CL117" s="310">
        <v>0</v>
      </c>
    </row>
    <row r="118" spans="61:95" x14ac:dyDescent="0.2">
      <c r="BI118" s="307" t="s">
        <v>692</v>
      </c>
      <c r="BJ118" s="310">
        <v>0</v>
      </c>
      <c r="BK118" s="310">
        <v>0</v>
      </c>
      <c r="BL118" s="310">
        <v>0</v>
      </c>
      <c r="BM118" s="310">
        <v>0</v>
      </c>
      <c r="BN118" s="310">
        <v>0</v>
      </c>
      <c r="BO118" s="310">
        <v>0</v>
      </c>
      <c r="BP118" s="310">
        <v>0</v>
      </c>
      <c r="BQ118" s="310">
        <v>0</v>
      </c>
      <c r="BR118" s="310">
        <v>0</v>
      </c>
      <c r="BS118" s="310">
        <v>0</v>
      </c>
      <c r="BT118" s="310">
        <v>0</v>
      </c>
      <c r="BU118" s="310">
        <v>0</v>
      </c>
      <c r="BV118" s="310">
        <v>0</v>
      </c>
      <c r="BW118" s="310">
        <v>0</v>
      </c>
      <c r="BX118" s="310">
        <v>0</v>
      </c>
      <c r="BY118" s="310">
        <v>0</v>
      </c>
      <c r="BZ118" s="310">
        <v>43.206119998678503</v>
      </c>
      <c r="CA118" s="310">
        <v>0</v>
      </c>
      <c r="CB118" s="310">
        <v>0</v>
      </c>
      <c r="CC118" s="310">
        <v>0</v>
      </c>
      <c r="CD118" s="310">
        <v>0</v>
      </c>
      <c r="CE118" s="310">
        <v>0</v>
      </c>
      <c r="CF118" s="310">
        <v>0</v>
      </c>
      <c r="CG118" s="310">
        <v>0</v>
      </c>
      <c r="CH118" s="310">
        <v>0</v>
      </c>
      <c r="CI118" s="310">
        <v>0</v>
      </c>
      <c r="CJ118" s="310">
        <v>0</v>
      </c>
      <c r="CK118" s="310">
        <v>0</v>
      </c>
      <c r="CL118" s="310">
        <v>0</v>
      </c>
    </row>
    <row r="119" spans="61:95" x14ac:dyDescent="0.2">
      <c r="BI119" s="307" t="s">
        <v>693</v>
      </c>
      <c r="BJ119" s="310">
        <v>0</v>
      </c>
      <c r="BK119" s="310">
        <v>0</v>
      </c>
      <c r="BL119" s="310">
        <v>0</v>
      </c>
      <c r="BM119" s="310">
        <v>0</v>
      </c>
      <c r="BN119" s="310">
        <v>0</v>
      </c>
      <c r="BO119" s="310">
        <v>0</v>
      </c>
      <c r="BP119" s="310">
        <v>0</v>
      </c>
      <c r="BQ119" s="310">
        <v>0</v>
      </c>
      <c r="BR119" s="310">
        <v>0</v>
      </c>
      <c r="BS119" s="310">
        <v>0</v>
      </c>
      <c r="BT119" s="310">
        <v>0</v>
      </c>
      <c r="BU119" s="310">
        <v>0</v>
      </c>
      <c r="BV119" s="310">
        <v>0</v>
      </c>
      <c r="BW119" s="310">
        <v>0</v>
      </c>
      <c r="BX119" s="310">
        <v>0</v>
      </c>
      <c r="BY119" s="310">
        <v>0</v>
      </c>
      <c r="BZ119" s="310">
        <v>0</v>
      </c>
      <c r="CA119" s="310">
        <v>0</v>
      </c>
      <c r="CB119" s="310">
        <v>0</v>
      </c>
      <c r="CC119" s="310">
        <v>0</v>
      </c>
      <c r="CD119" s="310">
        <v>0</v>
      </c>
      <c r="CE119" s="310">
        <v>43.206119998678503</v>
      </c>
      <c r="CF119" s="310">
        <v>0</v>
      </c>
      <c r="CG119" s="310">
        <v>0</v>
      </c>
      <c r="CH119" s="310">
        <v>0</v>
      </c>
      <c r="CI119" s="310">
        <v>0</v>
      </c>
      <c r="CJ119" s="310">
        <v>0</v>
      </c>
      <c r="CK119" s="310">
        <v>0</v>
      </c>
      <c r="CL119" s="310">
        <v>0</v>
      </c>
    </row>
    <row r="120" spans="61:95" x14ac:dyDescent="0.2">
      <c r="BJ120" s="432" t="s">
        <v>472</v>
      </c>
      <c r="BK120" s="433"/>
      <c r="BL120" s="433"/>
      <c r="BM120" s="433"/>
      <c r="BN120" s="433"/>
      <c r="BO120" s="433"/>
      <c r="BP120" s="433"/>
      <c r="BQ120" s="433"/>
      <c r="BR120" s="433"/>
      <c r="BS120" s="433"/>
      <c r="BT120" s="433"/>
      <c r="BU120" s="433"/>
      <c r="BV120" s="433"/>
      <c r="BW120" s="433"/>
      <c r="BX120" s="433"/>
      <c r="BY120" s="433"/>
      <c r="BZ120" s="433"/>
      <c r="CA120" s="433"/>
      <c r="CB120" s="433"/>
      <c r="CC120" s="433"/>
      <c r="CD120" s="433"/>
      <c r="CE120" s="433"/>
      <c r="CF120" s="433"/>
      <c r="CG120" s="433"/>
      <c r="CH120" s="433"/>
      <c r="CI120" s="433"/>
      <c r="CJ120" s="433"/>
      <c r="CK120" s="433"/>
      <c r="CL120" s="433"/>
    </row>
    <row r="123" spans="61:95" ht="179" x14ac:dyDescent="0.2">
      <c r="BJ123" s="308" t="s">
        <v>337</v>
      </c>
      <c r="BK123" s="308" t="s">
        <v>362</v>
      </c>
      <c r="BL123" s="308" t="s">
        <v>327</v>
      </c>
      <c r="BM123" s="308" t="s">
        <v>434</v>
      </c>
      <c r="BN123" s="308" t="s">
        <v>641</v>
      </c>
      <c r="BO123" s="308" t="s">
        <v>642</v>
      </c>
      <c r="BP123" s="308" t="s">
        <v>516</v>
      </c>
      <c r="BQ123" s="308" t="s">
        <v>514</v>
      </c>
      <c r="BR123" s="308" t="s">
        <v>344</v>
      </c>
      <c r="BS123" s="308" t="s">
        <v>643</v>
      </c>
      <c r="BT123" s="308" t="s">
        <v>351</v>
      </c>
      <c r="BU123" s="308" t="s">
        <v>325</v>
      </c>
      <c r="BV123" s="308" t="s">
        <v>455</v>
      </c>
      <c r="BW123" s="308" t="s">
        <v>348</v>
      </c>
      <c r="BX123" s="308" t="s">
        <v>326</v>
      </c>
      <c r="BY123" s="308" t="s">
        <v>435</v>
      </c>
      <c r="BZ123" s="308" t="s">
        <v>644</v>
      </c>
      <c r="CA123" s="308" t="s">
        <v>645</v>
      </c>
      <c r="CB123" s="308" t="s">
        <v>646</v>
      </c>
      <c r="CC123" s="308" t="s">
        <v>647</v>
      </c>
      <c r="CD123" s="308" t="s">
        <v>648</v>
      </c>
      <c r="CE123" s="308" t="s">
        <v>649</v>
      </c>
      <c r="CF123" s="308" t="s">
        <v>76</v>
      </c>
      <c r="CG123" s="308" t="s">
        <v>650</v>
      </c>
      <c r="CH123" s="308" t="s">
        <v>651</v>
      </c>
      <c r="CI123" s="308" t="s">
        <v>652</v>
      </c>
      <c r="CJ123" s="308" t="s">
        <v>653</v>
      </c>
      <c r="CK123" s="308" t="s">
        <v>349</v>
      </c>
      <c r="CL123" s="308" t="s">
        <v>654</v>
      </c>
      <c r="CP123" s="308" t="s">
        <v>331</v>
      </c>
      <c r="CQ123" s="308" t="s">
        <v>279</v>
      </c>
    </row>
    <row r="124" spans="61:95" x14ac:dyDescent="0.2">
      <c r="BI124" s="307" t="s">
        <v>484</v>
      </c>
      <c r="BJ124" s="309">
        <v>0</v>
      </c>
      <c r="BK124" s="309">
        <v>0</v>
      </c>
      <c r="BL124" s="309">
        <v>0</v>
      </c>
      <c r="BM124" s="309">
        <v>0</v>
      </c>
      <c r="BN124" s="309">
        <v>0</v>
      </c>
      <c r="BO124" s="309">
        <v>0</v>
      </c>
      <c r="BP124" s="309">
        <v>0</v>
      </c>
      <c r="BQ124" s="309">
        <v>0</v>
      </c>
      <c r="BR124" s="309">
        <v>0</v>
      </c>
      <c r="BS124" s="309">
        <v>0</v>
      </c>
      <c r="BT124" s="309">
        <v>0</v>
      </c>
      <c r="BU124" s="309">
        <v>0</v>
      </c>
      <c r="BV124" s="309">
        <v>0</v>
      </c>
      <c r="BW124" s="309">
        <v>0</v>
      </c>
      <c r="BX124" s="309">
        <v>0</v>
      </c>
      <c r="BY124" s="309">
        <v>0</v>
      </c>
      <c r="BZ124" s="309">
        <v>0</v>
      </c>
      <c r="CA124" s="309">
        <v>0</v>
      </c>
      <c r="CB124" s="309">
        <v>0</v>
      </c>
      <c r="CC124" s="309">
        <v>0</v>
      </c>
      <c r="CD124" s="309">
        <v>0</v>
      </c>
      <c r="CE124" s="309">
        <v>0</v>
      </c>
      <c r="CF124" s="309">
        <v>6408288.6211381704</v>
      </c>
      <c r="CG124" s="309">
        <v>0</v>
      </c>
      <c r="CH124" s="309">
        <v>0</v>
      </c>
      <c r="CI124" s="309">
        <v>0</v>
      </c>
      <c r="CJ124" s="309">
        <v>0</v>
      </c>
      <c r="CK124" s="309">
        <v>0</v>
      </c>
      <c r="CL124" s="309">
        <v>0</v>
      </c>
      <c r="CO124" s="307" t="s">
        <v>484</v>
      </c>
      <c r="CP124" s="306">
        <v>0</v>
      </c>
      <c r="CQ124" s="306">
        <v>0</v>
      </c>
    </row>
    <row r="125" spans="61:95" x14ac:dyDescent="0.2">
      <c r="BI125" s="307" t="s">
        <v>673</v>
      </c>
      <c r="BJ125" s="309">
        <v>0</v>
      </c>
      <c r="BK125" s="309">
        <v>0</v>
      </c>
      <c r="BL125" s="309">
        <v>0</v>
      </c>
      <c r="BM125" s="309">
        <v>0</v>
      </c>
      <c r="BN125" s="309">
        <v>0</v>
      </c>
      <c r="BO125" s="309">
        <v>45017.590801780199</v>
      </c>
      <c r="BP125" s="309">
        <v>0</v>
      </c>
      <c r="BQ125" s="309">
        <v>0</v>
      </c>
      <c r="BR125" s="309">
        <v>0</v>
      </c>
      <c r="BS125" s="309">
        <v>0</v>
      </c>
      <c r="BT125" s="309">
        <v>0</v>
      </c>
      <c r="BU125" s="309">
        <v>0</v>
      </c>
      <c r="BV125" s="309">
        <v>0</v>
      </c>
      <c r="BW125" s="309">
        <v>0</v>
      </c>
      <c r="BX125" s="309">
        <v>0</v>
      </c>
      <c r="BY125" s="309">
        <v>0</v>
      </c>
      <c r="BZ125" s="309">
        <v>0</v>
      </c>
      <c r="CA125" s="309">
        <v>0</v>
      </c>
      <c r="CB125" s="309">
        <v>0</v>
      </c>
      <c r="CC125" s="309">
        <v>0</v>
      </c>
      <c r="CD125" s="309">
        <v>0</v>
      </c>
      <c r="CE125" s="309">
        <v>0</v>
      </c>
      <c r="CF125" s="309">
        <v>0</v>
      </c>
      <c r="CG125" s="309">
        <v>0</v>
      </c>
      <c r="CH125" s="309">
        <v>0</v>
      </c>
      <c r="CI125" s="309">
        <v>0</v>
      </c>
      <c r="CJ125" s="309">
        <v>0</v>
      </c>
      <c r="CK125" s="309">
        <v>0</v>
      </c>
      <c r="CL125" s="309">
        <v>0</v>
      </c>
      <c r="CO125" s="307" t="s">
        <v>673</v>
      </c>
      <c r="CP125" s="306">
        <v>0</v>
      </c>
      <c r="CQ125" s="306">
        <v>0</v>
      </c>
    </row>
    <row r="126" spans="61:95" x14ac:dyDescent="0.2">
      <c r="BI126" s="307" t="s">
        <v>421</v>
      </c>
      <c r="BJ126" s="309">
        <v>0</v>
      </c>
      <c r="BK126" s="309">
        <v>0</v>
      </c>
      <c r="BL126" s="309">
        <v>0</v>
      </c>
      <c r="BM126" s="309">
        <v>0</v>
      </c>
      <c r="BN126" s="309">
        <v>0</v>
      </c>
      <c r="BO126" s="309">
        <v>0</v>
      </c>
      <c r="BP126" s="309">
        <v>0</v>
      </c>
      <c r="BQ126" s="309">
        <v>0</v>
      </c>
      <c r="BR126" s="309">
        <v>0</v>
      </c>
      <c r="BS126" s="309">
        <v>0</v>
      </c>
      <c r="BT126" s="309">
        <v>0</v>
      </c>
      <c r="BU126" s="309">
        <v>0</v>
      </c>
      <c r="BV126" s="309">
        <v>0</v>
      </c>
      <c r="BW126" s="309">
        <v>0</v>
      </c>
      <c r="BX126" s="309">
        <v>0</v>
      </c>
      <c r="BY126" s="309">
        <v>0</v>
      </c>
      <c r="BZ126" s="309">
        <v>0</v>
      </c>
      <c r="CA126" s="309">
        <v>0</v>
      </c>
      <c r="CB126" s="309">
        <v>0</v>
      </c>
      <c r="CC126" s="309">
        <v>0</v>
      </c>
      <c r="CD126" s="309">
        <v>0</v>
      </c>
      <c r="CE126" s="309">
        <v>0</v>
      </c>
      <c r="CF126" s="309">
        <v>0</v>
      </c>
      <c r="CG126" s="309">
        <v>0</v>
      </c>
      <c r="CH126" s="309">
        <v>0</v>
      </c>
      <c r="CI126" s="309">
        <v>0</v>
      </c>
      <c r="CJ126" s="309">
        <v>0</v>
      </c>
      <c r="CK126" s="309">
        <v>0</v>
      </c>
      <c r="CL126" s="309">
        <v>0</v>
      </c>
      <c r="CO126" s="307" t="s">
        <v>421</v>
      </c>
      <c r="CP126" s="306">
        <v>0</v>
      </c>
      <c r="CQ126" s="306">
        <v>8991.6203231094005</v>
      </c>
    </row>
    <row r="127" spans="61:95" x14ac:dyDescent="0.2">
      <c r="BI127" s="307" t="s">
        <v>447</v>
      </c>
      <c r="BJ127" s="309">
        <v>0</v>
      </c>
      <c r="BK127" s="309">
        <v>0</v>
      </c>
      <c r="BL127" s="309">
        <v>0</v>
      </c>
      <c r="BM127" s="309">
        <v>0</v>
      </c>
      <c r="BN127" s="309">
        <v>0</v>
      </c>
      <c r="BO127" s="309">
        <v>0</v>
      </c>
      <c r="BP127" s="309">
        <v>0</v>
      </c>
      <c r="BQ127" s="309">
        <v>0</v>
      </c>
      <c r="BR127" s="309">
        <v>0</v>
      </c>
      <c r="BS127" s="309">
        <v>0</v>
      </c>
      <c r="BT127" s="309">
        <v>0</v>
      </c>
      <c r="BU127" s="309">
        <v>0</v>
      </c>
      <c r="BV127" s="309">
        <v>0</v>
      </c>
      <c r="BW127" s="309">
        <v>0</v>
      </c>
      <c r="BX127" s="309">
        <v>0</v>
      </c>
      <c r="BY127" s="309">
        <v>0</v>
      </c>
      <c r="BZ127" s="309">
        <v>0</v>
      </c>
      <c r="CA127" s="309">
        <v>0</v>
      </c>
      <c r="CB127" s="309">
        <v>0</v>
      </c>
      <c r="CC127" s="309">
        <v>0</v>
      </c>
      <c r="CD127" s="309">
        <v>0</v>
      </c>
      <c r="CE127" s="309">
        <v>0</v>
      </c>
      <c r="CF127" s="309">
        <v>0</v>
      </c>
      <c r="CG127" s="309">
        <v>0</v>
      </c>
      <c r="CH127" s="309">
        <v>0</v>
      </c>
      <c r="CI127" s="309">
        <v>0</v>
      </c>
      <c r="CJ127" s="309">
        <v>0</v>
      </c>
      <c r="CK127" s="309">
        <v>0</v>
      </c>
      <c r="CL127" s="309">
        <v>0</v>
      </c>
      <c r="CO127" s="307" t="s">
        <v>447</v>
      </c>
      <c r="CP127" s="306">
        <v>0</v>
      </c>
      <c r="CQ127" s="306">
        <v>404209.15818875801</v>
      </c>
    </row>
    <row r="128" spans="61:95" x14ac:dyDescent="0.2">
      <c r="BI128" s="307" t="s">
        <v>445</v>
      </c>
      <c r="BJ128" s="309">
        <v>6684057.4589463603</v>
      </c>
      <c r="BK128" s="309">
        <v>0</v>
      </c>
      <c r="BL128" s="309">
        <v>0</v>
      </c>
      <c r="BM128" s="309">
        <v>0</v>
      </c>
      <c r="BN128" s="309">
        <v>0</v>
      </c>
      <c r="BO128" s="309">
        <v>0</v>
      </c>
      <c r="BP128" s="309">
        <v>0</v>
      </c>
      <c r="BQ128" s="309">
        <v>0</v>
      </c>
      <c r="BR128" s="309">
        <v>0</v>
      </c>
      <c r="BS128" s="309">
        <v>0</v>
      </c>
      <c r="BT128" s="309">
        <v>0</v>
      </c>
      <c r="BU128" s="309">
        <v>0</v>
      </c>
      <c r="BV128" s="309">
        <v>0</v>
      </c>
      <c r="BW128" s="309">
        <v>0</v>
      </c>
      <c r="BX128" s="309">
        <v>0</v>
      </c>
      <c r="BY128" s="309">
        <v>0</v>
      </c>
      <c r="BZ128" s="309">
        <v>0</v>
      </c>
      <c r="CA128" s="309">
        <v>0</v>
      </c>
      <c r="CB128" s="309">
        <v>0</v>
      </c>
      <c r="CC128" s="309">
        <v>0</v>
      </c>
      <c r="CD128" s="309">
        <v>0</v>
      </c>
      <c r="CE128" s="309">
        <v>0</v>
      </c>
      <c r="CF128" s="309">
        <v>0</v>
      </c>
      <c r="CG128" s="309">
        <v>0</v>
      </c>
      <c r="CH128" s="309">
        <v>0</v>
      </c>
      <c r="CI128" s="309">
        <v>0</v>
      </c>
      <c r="CJ128" s="309">
        <v>0</v>
      </c>
      <c r="CK128" s="309">
        <v>0</v>
      </c>
      <c r="CL128" s="309">
        <v>0</v>
      </c>
      <c r="CO128" s="307" t="s">
        <v>445</v>
      </c>
      <c r="CP128" s="306">
        <v>0</v>
      </c>
      <c r="CQ128" s="306">
        <v>0</v>
      </c>
    </row>
    <row r="129" spans="61:95" x14ac:dyDescent="0.2">
      <c r="BI129" s="307" t="s">
        <v>456</v>
      </c>
      <c r="BJ129" s="309">
        <v>0</v>
      </c>
      <c r="BK129" s="309">
        <v>0</v>
      </c>
      <c r="BL129" s="309">
        <v>0</v>
      </c>
      <c r="BM129" s="309">
        <v>0</v>
      </c>
      <c r="BN129" s="309">
        <v>0</v>
      </c>
      <c r="BO129" s="309">
        <v>0</v>
      </c>
      <c r="BP129" s="309">
        <v>0</v>
      </c>
      <c r="BQ129" s="309">
        <v>0</v>
      </c>
      <c r="BR129" s="309">
        <v>8855804.3203369807</v>
      </c>
      <c r="BS129" s="309">
        <v>0</v>
      </c>
      <c r="BT129" s="309">
        <v>0</v>
      </c>
      <c r="BU129" s="309">
        <v>0</v>
      </c>
      <c r="BV129" s="309">
        <v>0</v>
      </c>
      <c r="BW129" s="309">
        <v>0</v>
      </c>
      <c r="BX129" s="309">
        <v>0</v>
      </c>
      <c r="BY129" s="309">
        <v>0</v>
      </c>
      <c r="BZ129" s="309">
        <v>0</v>
      </c>
      <c r="CA129" s="309">
        <v>0</v>
      </c>
      <c r="CB129" s="309">
        <v>0</v>
      </c>
      <c r="CC129" s="309">
        <v>0</v>
      </c>
      <c r="CD129" s="309">
        <v>0</v>
      </c>
      <c r="CE129" s="309">
        <v>0</v>
      </c>
      <c r="CF129" s="309">
        <v>0</v>
      </c>
      <c r="CG129" s="309">
        <v>0</v>
      </c>
      <c r="CH129" s="309">
        <v>0</v>
      </c>
      <c r="CI129" s="309">
        <v>0</v>
      </c>
      <c r="CJ129" s="309">
        <v>0</v>
      </c>
      <c r="CK129" s="309">
        <v>0</v>
      </c>
      <c r="CL129" s="309">
        <v>0</v>
      </c>
      <c r="CO129" s="307" t="s">
        <v>456</v>
      </c>
      <c r="CP129" s="306">
        <v>0</v>
      </c>
      <c r="CQ129" s="306">
        <v>0</v>
      </c>
    </row>
    <row r="130" spans="61:95" x14ac:dyDescent="0.2">
      <c r="BI130" s="307" t="s">
        <v>430</v>
      </c>
      <c r="BJ130" s="309">
        <v>0</v>
      </c>
      <c r="BK130" s="309">
        <v>0</v>
      </c>
      <c r="BL130" s="309">
        <v>0</v>
      </c>
      <c r="BM130" s="309">
        <v>8855804.3203369807</v>
      </c>
      <c r="BN130" s="309">
        <v>0</v>
      </c>
      <c r="BO130" s="309">
        <v>0</v>
      </c>
      <c r="BP130" s="309">
        <v>0</v>
      </c>
      <c r="BQ130" s="309">
        <v>0</v>
      </c>
      <c r="BR130" s="309">
        <v>0</v>
      </c>
      <c r="BS130" s="309">
        <v>0</v>
      </c>
      <c r="BT130" s="309">
        <v>0</v>
      </c>
      <c r="BU130" s="309">
        <v>0</v>
      </c>
      <c r="BV130" s="309">
        <v>0</v>
      </c>
      <c r="BW130" s="309">
        <v>0</v>
      </c>
      <c r="BX130" s="309">
        <v>0</v>
      </c>
      <c r="BY130" s="309">
        <v>0</v>
      </c>
      <c r="BZ130" s="309">
        <v>0</v>
      </c>
      <c r="CA130" s="309">
        <v>0</v>
      </c>
      <c r="CB130" s="309">
        <v>0</v>
      </c>
      <c r="CC130" s="309">
        <v>0</v>
      </c>
      <c r="CD130" s="309">
        <v>0</v>
      </c>
      <c r="CE130" s="309">
        <v>0</v>
      </c>
      <c r="CF130" s="309">
        <v>0</v>
      </c>
      <c r="CG130" s="309">
        <v>0</v>
      </c>
      <c r="CH130" s="309">
        <v>0</v>
      </c>
      <c r="CI130" s="309">
        <v>0</v>
      </c>
      <c r="CJ130" s="309">
        <v>0</v>
      </c>
      <c r="CK130" s="309">
        <v>0</v>
      </c>
      <c r="CL130" s="309">
        <v>0</v>
      </c>
      <c r="CO130" s="307" t="s">
        <v>430</v>
      </c>
      <c r="CP130" s="306">
        <v>0</v>
      </c>
      <c r="CQ130" s="306">
        <v>0</v>
      </c>
    </row>
    <row r="131" spans="61:95" x14ac:dyDescent="0.2">
      <c r="BI131" s="307" t="s">
        <v>433</v>
      </c>
      <c r="BJ131" s="309">
        <v>0</v>
      </c>
      <c r="BK131" s="309">
        <v>8855804.3203369807</v>
      </c>
      <c r="BL131" s="309">
        <v>0</v>
      </c>
      <c r="BM131" s="309">
        <v>0</v>
      </c>
      <c r="BN131" s="309">
        <v>0</v>
      </c>
      <c r="BO131" s="309">
        <v>0</v>
      </c>
      <c r="BP131" s="309">
        <v>0</v>
      </c>
      <c r="BQ131" s="309">
        <v>0</v>
      </c>
      <c r="BR131" s="309">
        <v>0</v>
      </c>
      <c r="BS131" s="309">
        <v>0</v>
      </c>
      <c r="BT131" s="309">
        <v>0</v>
      </c>
      <c r="BU131" s="309">
        <v>0</v>
      </c>
      <c r="BV131" s="309">
        <v>0</v>
      </c>
      <c r="BW131" s="309">
        <v>0</v>
      </c>
      <c r="BX131" s="309">
        <v>0</v>
      </c>
      <c r="BY131" s="309">
        <v>0</v>
      </c>
      <c r="BZ131" s="309">
        <v>0</v>
      </c>
      <c r="CA131" s="309">
        <v>0</v>
      </c>
      <c r="CB131" s="309">
        <v>0</v>
      </c>
      <c r="CC131" s="309">
        <v>0</v>
      </c>
      <c r="CD131" s="309">
        <v>0</v>
      </c>
      <c r="CE131" s="309">
        <v>0</v>
      </c>
      <c r="CF131" s="309">
        <v>0</v>
      </c>
      <c r="CG131" s="309">
        <v>0</v>
      </c>
      <c r="CH131" s="309">
        <v>0</v>
      </c>
      <c r="CI131" s="309">
        <v>0</v>
      </c>
      <c r="CJ131" s="309">
        <v>0</v>
      </c>
      <c r="CK131" s="309">
        <v>0</v>
      </c>
      <c r="CL131" s="309">
        <v>0</v>
      </c>
      <c r="CO131" s="307" t="s">
        <v>433</v>
      </c>
      <c r="CP131" s="306">
        <v>0</v>
      </c>
      <c r="CQ131" s="306">
        <v>0</v>
      </c>
    </row>
    <row r="132" spans="61:95" x14ac:dyDescent="0.2">
      <c r="BI132" s="307" t="s">
        <v>336</v>
      </c>
      <c r="BJ132" s="309">
        <v>0</v>
      </c>
      <c r="BK132" s="309">
        <v>0</v>
      </c>
      <c r="BL132" s="309">
        <v>8850991.3601140399</v>
      </c>
      <c r="BM132" s="309">
        <v>0</v>
      </c>
      <c r="BN132" s="309">
        <v>0</v>
      </c>
      <c r="BO132" s="309">
        <v>0</v>
      </c>
      <c r="BP132" s="309">
        <v>0</v>
      </c>
      <c r="BQ132" s="309">
        <v>0</v>
      </c>
      <c r="BR132" s="309">
        <v>0</v>
      </c>
      <c r="BS132" s="309">
        <v>0</v>
      </c>
      <c r="BT132" s="309">
        <v>0</v>
      </c>
      <c r="BU132" s="309">
        <v>0</v>
      </c>
      <c r="BV132" s="309">
        <v>0</v>
      </c>
      <c r="BW132" s="309">
        <v>0</v>
      </c>
      <c r="BX132" s="309">
        <v>0</v>
      </c>
      <c r="BY132" s="309">
        <v>0</v>
      </c>
      <c r="BZ132" s="309">
        <v>0</v>
      </c>
      <c r="CA132" s="309">
        <v>0</v>
      </c>
      <c r="CB132" s="309">
        <v>0</v>
      </c>
      <c r="CC132" s="309">
        <v>0</v>
      </c>
      <c r="CD132" s="309">
        <v>0</v>
      </c>
      <c r="CE132" s="309">
        <v>0</v>
      </c>
      <c r="CF132" s="309">
        <v>0</v>
      </c>
      <c r="CG132" s="309">
        <v>0</v>
      </c>
      <c r="CH132" s="309">
        <v>0</v>
      </c>
      <c r="CI132" s="309">
        <v>0</v>
      </c>
      <c r="CJ132" s="309">
        <v>0</v>
      </c>
      <c r="CK132" s="309">
        <v>0</v>
      </c>
      <c r="CL132" s="309">
        <v>0</v>
      </c>
      <c r="CO132" s="307" t="s">
        <v>336</v>
      </c>
      <c r="CP132" s="306">
        <v>0</v>
      </c>
      <c r="CQ132" s="306">
        <v>0</v>
      </c>
    </row>
    <row r="133" spans="61:95" x14ac:dyDescent="0.2">
      <c r="BI133" s="307" t="s">
        <v>422</v>
      </c>
      <c r="BJ133" s="309">
        <v>0</v>
      </c>
      <c r="BK133" s="309">
        <v>0</v>
      </c>
      <c r="BL133" s="309">
        <v>0</v>
      </c>
      <c r="BM133" s="309">
        <v>0</v>
      </c>
      <c r="BN133" s="309">
        <v>0</v>
      </c>
      <c r="BO133" s="309">
        <v>0</v>
      </c>
      <c r="BP133" s="309">
        <v>0</v>
      </c>
      <c r="BQ133" s="309">
        <v>4026178.1360752499</v>
      </c>
      <c r="BR133" s="309">
        <v>0</v>
      </c>
      <c r="BS133" s="309">
        <v>0</v>
      </c>
      <c r="BT133" s="309">
        <v>0</v>
      </c>
      <c r="BU133" s="309">
        <v>0</v>
      </c>
      <c r="BV133" s="309">
        <v>0</v>
      </c>
      <c r="BW133" s="309">
        <v>0</v>
      </c>
      <c r="BX133" s="309">
        <v>0</v>
      </c>
      <c r="BY133" s="309">
        <v>0</v>
      </c>
      <c r="BZ133" s="309">
        <v>0</v>
      </c>
      <c r="CA133" s="309">
        <v>0</v>
      </c>
      <c r="CB133" s="309">
        <v>0</v>
      </c>
      <c r="CC133" s="309">
        <v>0</v>
      </c>
      <c r="CD133" s="309">
        <v>0</v>
      </c>
      <c r="CE133" s="309">
        <v>0</v>
      </c>
      <c r="CF133" s="309">
        <v>0</v>
      </c>
      <c r="CG133" s="309">
        <v>0</v>
      </c>
      <c r="CH133" s="309">
        <v>0</v>
      </c>
      <c r="CI133" s="309">
        <v>0</v>
      </c>
      <c r="CJ133" s="309">
        <v>0</v>
      </c>
      <c r="CK133" s="309">
        <v>0</v>
      </c>
      <c r="CL133" s="309">
        <v>0</v>
      </c>
      <c r="CO133" s="307" t="s">
        <v>422</v>
      </c>
      <c r="CP133" s="306">
        <v>0</v>
      </c>
      <c r="CQ133" s="306">
        <v>0</v>
      </c>
    </row>
    <row r="134" spans="61:95" x14ac:dyDescent="0.2">
      <c r="BI134" s="307" t="s">
        <v>674</v>
      </c>
      <c r="BJ134" s="309">
        <v>0</v>
      </c>
      <c r="BK134" s="309">
        <v>0</v>
      </c>
      <c r="BL134" s="309">
        <v>0</v>
      </c>
      <c r="BM134" s="309">
        <v>0</v>
      </c>
      <c r="BN134" s="309">
        <v>0</v>
      </c>
      <c r="BO134" s="309">
        <v>66251.174567632304</v>
      </c>
      <c r="BP134" s="309">
        <v>0</v>
      </c>
      <c r="BQ134" s="309">
        <v>0</v>
      </c>
      <c r="BR134" s="309">
        <v>0</v>
      </c>
      <c r="BS134" s="309">
        <v>0</v>
      </c>
      <c r="BT134" s="309">
        <v>0</v>
      </c>
      <c r="BU134" s="309">
        <v>0</v>
      </c>
      <c r="BV134" s="309">
        <v>0</v>
      </c>
      <c r="BW134" s="309">
        <v>0</v>
      </c>
      <c r="BX134" s="309">
        <v>0</v>
      </c>
      <c r="BY134" s="309">
        <v>0</v>
      </c>
      <c r="BZ134" s="309">
        <v>0</v>
      </c>
      <c r="CA134" s="309">
        <v>0</v>
      </c>
      <c r="CB134" s="309">
        <v>0</v>
      </c>
      <c r="CC134" s="309">
        <v>0</v>
      </c>
      <c r="CD134" s="309">
        <v>0</v>
      </c>
      <c r="CE134" s="309">
        <v>0</v>
      </c>
      <c r="CF134" s="309">
        <v>0</v>
      </c>
      <c r="CG134" s="309">
        <v>0</v>
      </c>
      <c r="CH134" s="309">
        <v>0</v>
      </c>
      <c r="CI134" s="309">
        <v>0</v>
      </c>
      <c r="CJ134" s="309">
        <v>0</v>
      </c>
      <c r="CK134" s="309">
        <v>0</v>
      </c>
      <c r="CL134" s="309">
        <v>0</v>
      </c>
      <c r="CO134" s="307" t="s">
        <v>674</v>
      </c>
      <c r="CP134" s="306">
        <v>0</v>
      </c>
      <c r="CQ134" s="306">
        <v>0</v>
      </c>
    </row>
    <row r="135" spans="61:95" x14ac:dyDescent="0.2">
      <c r="BI135" s="307" t="s">
        <v>355</v>
      </c>
      <c r="BJ135" s="309">
        <v>11826.742854693801</v>
      </c>
      <c r="BK135" s="309">
        <v>0</v>
      </c>
      <c r="BL135" s="309">
        <v>30.954464502133501</v>
      </c>
      <c r="BM135" s="309">
        <v>0</v>
      </c>
      <c r="BN135" s="309">
        <v>0</v>
      </c>
      <c r="BO135" s="309">
        <v>0</v>
      </c>
      <c r="BP135" s="309">
        <v>0</v>
      </c>
      <c r="BQ135" s="309">
        <v>0</v>
      </c>
      <c r="BR135" s="309">
        <v>14491.848717543</v>
      </c>
      <c r="BS135" s="309">
        <v>0</v>
      </c>
      <c r="BT135" s="309">
        <v>0</v>
      </c>
      <c r="BU135" s="309">
        <v>125.026374728874</v>
      </c>
      <c r="BV135" s="309">
        <v>0</v>
      </c>
      <c r="BW135" s="309">
        <v>0</v>
      </c>
      <c r="BX135" s="309">
        <v>0.374842703513311</v>
      </c>
      <c r="BY135" s="309">
        <v>0</v>
      </c>
      <c r="BZ135" s="309">
        <v>0</v>
      </c>
      <c r="CA135" s="309">
        <v>0</v>
      </c>
      <c r="CB135" s="309">
        <v>0</v>
      </c>
      <c r="CC135" s="309">
        <v>0</v>
      </c>
      <c r="CD135" s="309">
        <v>0</v>
      </c>
      <c r="CE135" s="309">
        <v>0</v>
      </c>
      <c r="CF135" s="309">
        <v>0</v>
      </c>
      <c r="CG135" s="309">
        <v>0</v>
      </c>
      <c r="CH135" s="309">
        <v>0</v>
      </c>
      <c r="CI135" s="309">
        <v>0</v>
      </c>
      <c r="CJ135" s="309">
        <v>0</v>
      </c>
      <c r="CK135" s="309">
        <v>2671.5132120132398</v>
      </c>
      <c r="CL135" s="309">
        <v>0</v>
      </c>
      <c r="CO135" s="307" t="s">
        <v>355</v>
      </c>
      <c r="CP135" s="306">
        <v>0</v>
      </c>
      <c r="CQ135" s="306">
        <v>0</v>
      </c>
    </row>
    <row r="136" spans="61:95" x14ac:dyDescent="0.2">
      <c r="BI136" s="307" t="s">
        <v>416</v>
      </c>
      <c r="BJ136" s="309">
        <v>0</v>
      </c>
      <c r="BK136" s="309">
        <v>0</v>
      </c>
      <c r="BL136" s="309">
        <v>0</v>
      </c>
      <c r="BM136" s="309">
        <v>0</v>
      </c>
      <c r="BN136" s="309">
        <v>0</v>
      </c>
      <c r="BO136" s="309">
        <v>0</v>
      </c>
      <c r="BP136" s="309">
        <v>0</v>
      </c>
      <c r="BQ136" s="309">
        <v>0</v>
      </c>
      <c r="BR136" s="309">
        <v>0</v>
      </c>
      <c r="BS136" s="309">
        <v>0</v>
      </c>
      <c r="BT136" s="309">
        <v>0</v>
      </c>
      <c r="BU136" s="309">
        <v>0</v>
      </c>
      <c r="BV136" s="309">
        <v>0</v>
      </c>
      <c r="BW136" s="309">
        <v>0</v>
      </c>
      <c r="BX136" s="309">
        <v>0</v>
      </c>
      <c r="BY136" s="309">
        <v>0</v>
      </c>
      <c r="BZ136" s="309">
        <v>0</v>
      </c>
      <c r="CA136" s="309">
        <v>0</v>
      </c>
      <c r="CB136" s="309">
        <v>0</v>
      </c>
      <c r="CC136" s="309">
        <v>0</v>
      </c>
      <c r="CD136" s="309">
        <v>0</v>
      </c>
      <c r="CE136" s="309">
        <v>0</v>
      </c>
      <c r="CF136" s="309">
        <v>0</v>
      </c>
      <c r="CG136" s="309">
        <v>0</v>
      </c>
      <c r="CH136" s="309">
        <v>0</v>
      </c>
      <c r="CI136" s="309">
        <v>0</v>
      </c>
      <c r="CJ136" s="309">
        <v>0</v>
      </c>
      <c r="CK136" s="309">
        <v>0</v>
      </c>
      <c r="CL136" s="309">
        <v>0</v>
      </c>
      <c r="CO136" s="307" t="s">
        <v>416</v>
      </c>
      <c r="CP136" s="306">
        <v>0</v>
      </c>
      <c r="CQ136" s="306">
        <v>555.77441893806395</v>
      </c>
    </row>
    <row r="137" spans="61:95" x14ac:dyDescent="0.2">
      <c r="BI137" s="307" t="s">
        <v>423</v>
      </c>
      <c r="BJ137" s="309">
        <v>0</v>
      </c>
      <c r="BK137" s="309">
        <v>0</v>
      </c>
      <c r="BL137" s="309">
        <v>0</v>
      </c>
      <c r="BM137" s="309">
        <v>0</v>
      </c>
      <c r="BN137" s="309">
        <v>0</v>
      </c>
      <c r="BO137" s="309">
        <v>0</v>
      </c>
      <c r="BP137" s="309">
        <v>0</v>
      </c>
      <c r="BQ137" s="309">
        <v>0</v>
      </c>
      <c r="BR137" s="309">
        <v>0</v>
      </c>
      <c r="BS137" s="309">
        <v>0</v>
      </c>
      <c r="BT137" s="309">
        <v>0</v>
      </c>
      <c r="BU137" s="309">
        <v>0</v>
      </c>
      <c r="BV137" s="309">
        <v>0</v>
      </c>
      <c r="BW137" s="309">
        <v>0</v>
      </c>
      <c r="BX137" s="309">
        <v>0</v>
      </c>
      <c r="BY137" s="309">
        <v>0</v>
      </c>
      <c r="BZ137" s="309">
        <v>0</v>
      </c>
      <c r="CA137" s="309">
        <v>0</v>
      </c>
      <c r="CB137" s="309">
        <v>0</v>
      </c>
      <c r="CC137" s="309">
        <v>0</v>
      </c>
      <c r="CD137" s="309">
        <v>0</v>
      </c>
      <c r="CE137" s="309">
        <v>0</v>
      </c>
      <c r="CF137" s="309">
        <v>0</v>
      </c>
      <c r="CG137" s="309">
        <v>0</v>
      </c>
      <c r="CH137" s="309">
        <v>0</v>
      </c>
      <c r="CI137" s="309">
        <v>0</v>
      </c>
      <c r="CJ137" s="309">
        <v>0</v>
      </c>
      <c r="CK137" s="309">
        <v>0</v>
      </c>
      <c r="CL137" s="309">
        <v>0</v>
      </c>
      <c r="CO137" s="307" t="s">
        <v>423</v>
      </c>
      <c r="CP137" s="306">
        <v>0</v>
      </c>
      <c r="CQ137" s="306">
        <v>303788.26554911397</v>
      </c>
    </row>
    <row r="138" spans="61:95" x14ac:dyDescent="0.2">
      <c r="BI138" s="307" t="s">
        <v>409</v>
      </c>
      <c r="BJ138" s="309">
        <v>0</v>
      </c>
      <c r="BK138" s="309">
        <v>0</v>
      </c>
      <c r="BL138" s="309">
        <v>0</v>
      </c>
      <c r="BM138" s="309">
        <v>0</v>
      </c>
      <c r="BN138" s="309">
        <v>0</v>
      </c>
      <c r="BO138" s="309">
        <v>0</v>
      </c>
      <c r="BP138" s="309">
        <v>0</v>
      </c>
      <c r="BQ138" s="309">
        <v>0</v>
      </c>
      <c r="BR138" s="309">
        <v>0</v>
      </c>
      <c r="BS138" s="309">
        <v>0</v>
      </c>
      <c r="BT138" s="309">
        <v>0</v>
      </c>
      <c r="BU138" s="309">
        <v>0</v>
      </c>
      <c r="BV138" s="309">
        <v>0</v>
      </c>
      <c r="BW138" s="309">
        <v>0</v>
      </c>
      <c r="BX138" s="309">
        <v>0</v>
      </c>
      <c r="BY138" s="309">
        <v>0</v>
      </c>
      <c r="BZ138" s="309">
        <v>0</v>
      </c>
      <c r="CA138" s="309">
        <v>0</v>
      </c>
      <c r="CB138" s="309">
        <v>0</v>
      </c>
      <c r="CC138" s="309">
        <v>0</v>
      </c>
      <c r="CD138" s="309">
        <v>0</v>
      </c>
      <c r="CE138" s="309">
        <v>0</v>
      </c>
      <c r="CF138" s="309">
        <v>0</v>
      </c>
      <c r="CG138" s="309">
        <v>0</v>
      </c>
      <c r="CH138" s="309">
        <v>0</v>
      </c>
      <c r="CI138" s="309">
        <v>0</v>
      </c>
      <c r="CJ138" s="309">
        <v>0</v>
      </c>
      <c r="CK138" s="309">
        <v>0</v>
      </c>
      <c r="CL138" s="309">
        <v>0</v>
      </c>
      <c r="CO138" s="307" t="s">
        <v>409</v>
      </c>
      <c r="CP138" s="306">
        <v>0</v>
      </c>
      <c r="CQ138" s="306">
        <v>2244.7960862667501</v>
      </c>
    </row>
    <row r="139" spans="61:95" x14ac:dyDescent="0.2">
      <c r="BI139" s="307" t="s">
        <v>437</v>
      </c>
      <c r="BJ139" s="309">
        <v>0</v>
      </c>
      <c r="BK139" s="309">
        <v>0</v>
      </c>
      <c r="BL139" s="309">
        <v>0</v>
      </c>
      <c r="BM139" s="309">
        <v>0</v>
      </c>
      <c r="BN139" s="309">
        <v>0</v>
      </c>
      <c r="BO139" s="309">
        <v>0</v>
      </c>
      <c r="BP139" s="309">
        <v>0</v>
      </c>
      <c r="BQ139" s="309">
        <v>0</v>
      </c>
      <c r="BR139" s="309">
        <v>0</v>
      </c>
      <c r="BS139" s="309">
        <v>0</v>
      </c>
      <c r="BT139" s="309">
        <v>0</v>
      </c>
      <c r="BU139" s="309">
        <v>0</v>
      </c>
      <c r="BV139" s="309">
        <v>0</v>
      </c>
      <c r="BW139" s="309">
        <v>0</v>
      </c>
      <c r="BX139" s="309">
        <v>0</v>
      </c>
      <c r="BY139" s="309">
        <v>0</v>
      </c>
      <c r="BZ139" s="309">
        <v>0</v>
      </c>
      <c r="CA139" s="309">
        <v>0</v>
      </c>
      <c r="CB139" s="309">
        <v>0</v>
      </c>
      <c r="CC139" s="309">
        <v>0</v>
      </c>
      <c r="CD139" s="309">
        <v>0</v>
      </c>
      <c r="CE139" s="309">
        <v>0</v>
      </c>
      <c r="CF139" s="309">
        <v>0</v>
      </c>
      <c r="CG139" s="309">
        <v>0</v>
      </c>
      <c r="CH139" s="309">
        <v>0</v>
      </c>
      <c r="CI139" s="309">
        <v>0</v>
      </c>
      <c r="CJ139" s="309">
        <v>0</v>
      </c>
      <c r="CK139" s="309">
        <v>0</v>
      </c>
      <c r="CL139" s="309">
        <v>0</v>
      </c>
      <c r="CO139" s="307" t="s">
        <v>437</v>
      </c>
      <c r="CP139" s="306">
        <v>0</v>
      </c>
      <c r="CQ139" s="306">
        <v>6.7177820097776797</v>
      </c>
    </row>
    <row r="140" spans="61:95" x14ac:dyDescent="0.2">
      <c r="BI140" s="307" t="s">
        <v>675</v>
      </c>
      <c r="BJ140" s="309">
        <v>0</v>
      </c>
      <c r="BK140" s="309">
        <v>0</v>
      </c>
      <c r="BL140" s="309">
        <v>0</v>
      </c>
      <c r="BM140" s="309">
        <v>0</v>
      </c>
      <c r="BN140" s="309">
        <v>0</v>
      </c>
      <c r="BO140" s="309">
        <v>0</v>
      </c>
      <c r="BP140" s="309">
        <v>0</v>
      </c>
      <c r="BQ140" s="309">
        <v>0</v>
      </c>
      <c r="BR140" s="309">
        <v>0</v>
      </c>
      <c r="BS140" s="309">
        <v>0</v>
      </c>
      <c r="BT140" s="309">
        <v>0</v>
      </c>
      <c r="BU140" s="309">
        <v>0</v>
      </c>
      <c r="BV140" s="309">
        <v>0</v>
      </c>
      <c r="BW140" s="309">
        <v>0</v>
      </c>
      <c r="BX140" s="309">
        <v>0</v>
      </c>
      <c r="BY140" s="309">
        <v>0</v>
      </c>
      <c r="BZ140" s="309">
        <v>0</v>
      </c>
      <c r="CA140" s="309">
        <v>0</v>
      </c>
      <c r="CB140" s="309">
        <v>0</v>
      </c>
      <c r="CC140" s="309">
        <v>0</v>
      </c>
      <c r="CD140" s="309">
        <v>0</v>
      </c>
      <c r="CE140" s="309">
        <v>0</v>
      </c>
      <c r="CF140" s="309">
        <v>0</v>
      </c>
      <c r="CG140" s="309">
        <v>0</v>
      </c>
      <c r="CH140" s="309">
        <v>0</v>
      </c>
      <c r="CI140" s="309">
        <v>0</v>
      </c>
      <c r="CJ140" s="309">
        <v>91837.795018258301</v>
      </c>
      <c r="CK140" s="309">
        <v>0</v>
      </c>
      <c r="CL140" s="309">
        <v>0</v>
      </c>
      <c r="CO140" s="307" t="s">
        <v>675</v>
      </c>
      <c r="CP140" s="306">
        <v>0</v>
      </c>
      <c r="CQ140" s="306">
        <v>0</v>
      </c>
    </row>
    <row r="141" spans="61:95" x14ac:dyDescent="0.2">
      <c r="BI141" s="307" t="s">
        <v>676</v>
      </c>
      <c r="BJ141" s="309">
        <v>0</v>
      </c>
      <c r="BK141" s="309">
        <v>0</v>
      </c>
      <c r="BL141" s="309">
        <v>0</v>
      </c>
      <c r="BM141" s="309">
        <v>0</v>
      </c>
      <c r="BN141" s="309">
        <v>0</v>
      </c>
      <c r="BO141" s="309">
        <v>0</v>
      </c>
      <c r="BP141" s="309">
        <v>0</v>
      </c>
      <c r="BQ141" s="309">
        <v>0</v>
      </c>
      <c r="BR141" s="309">
        <v>0</v>
      </c>
      <c r="BS141" s="309">
        <v>0</v>
      </c>
      <c r="BT141" s="309">
        <v>0</v>
      </c>
      <c r="BU141" s="309">
        <v>0</v>
      </c>
      <c r="BV141" s="309">
        <v>0</v>
      </c>
      <c r="BW141" s="309">
        <v>0</v>
      </c>
      <c r="BX141" s="309">
        <v>0</v>
      </c>
      <c r="BY141" s="309">
        <v>0</v>
      </c>
      <c r="BZ141" s="309">
        <v>0</v>
      </c>
      <c r="CA141" s="309">
        <v>0</v>
      </c>
      <c r="CB141" s="309">
        <v>0</v>
      </c>
      <c r="CC141" s="309">
        <v>0</v>
      </c>
      <c r="CD141" s="309">
        <v>0</v>
      </c>
      <c r="CE141" s="309">
        <v>0</v>
      </c>
      <c r="CF141" s="309">
        <v>0</v>
      </c>
      <c r="CG141" s="309">
        <v>0</v>
      </c>
      <c r="CH141" s="309">
        <v>0</v>
      </c>
      <c r="CI141" s="309">
        <v>290.15291867903898</v>
      </c>
      <c r="CJ141" s="309">
        <v>0</v>
      </c>
      <c r="CK141" s="309">
        <v>0</v>
      </c>
      <c r="CL141" s="309">
        <v>0</v>
      </c>
      <c r="CO141" s="307" t="s">
        <v>676</v>
      </c>
      <c r="CP141" s="306">
        <v>0</v>
      </c>
      <c r="CQ141" s="306">
        <v>0</v>
      </c>
    </row>
    <row r="142" spans="61:95" x14ac:dyDescent="0.2">
      <c r="BI142" s="307" t="s">
        <v>342</v>
      </c>
      <c r="BJ142" s="309">
        <v>318930.104231745</v>
      </c>
      <c r="BK142" s="309">
        <v>50.358084153937803</v>
      </c>
      <c r="BL142" s="309">
        <v>80616.370239891301</v>
      </c>
      <c r="BM142" s="309">
        <v>282.12877103151499</v>
      </c>
      <c r="BN142" s="309">
        <v>0</v>
      </c>
      <c r="BO142" s="309">
        <v>5820.7321553561396</v>
      </c>
      <c r="BP142" s="309">
        <v>0</v>
      </c>
      <c r="BQ142" s="309">
        <v>33191.859393697501</v>
      </c>
      <c r="BR142" s="309">
        <v>0</v>
      </c>
      <c r="BS142" s="309">
        <v>0</v>
      </c>
      <c r="BT142" s="309">
        <v>12626.098826338701</v>
      </c>
      <c r="BU142" s="309">
        <v>0</v>
      </c>
      <c r="BV142" s="309">
        <v>609792.25175934797</v>
      </c>
      <c r="BW142" s="309">
        <v>34.678095164115</v>
      </c>
      <c r="BX142" s="309">
        <v>0</v>
      </c>
      <c r="BY142" s="309">
        <v>2824.8856477449199</v>
      </c>
      <c r="BZ142" s="309">
        <v>67354.020465940004</v>
      </c>
      <c r="CA142" s="309">
        <v>0</v>
      </c>
      <c r="CB142" s="309">
        <v>0</v>
      </c>
      <c r="CC142" s="309">
        <v>0</v>
      </c>
      <c r="CD142" s="309">
        <v>0</v>
      </c>
      <c r="CE142" s="309">
        <v>0</v>
      </c>
      <c r="CF142" s="309">
        <v>0</v>
      </c>
      <c r="CG142" s="309">
        <v>0</v>
      </c>
      <c r="CH142" s="309">
        <v>0</v>
      </c>
      <c r="CI142" s="309">
        <v>0</v>
      </c>
      <c r="CJ142" s="309">
        <v>3155.63573488975</v>
      </c>
      <c r="CK142" s="309">
        <v>0</v>
      </c>
      <c r="CL142" s="309">
        <v>0</v>
      </c>
      <c r="CO142" s="307" t="s">
        <v>342</v>
      </c>
      <c r="CP142" s="306">
        <v>0</v>
      </c>
      <c r="CQ142" s="306">
        <v>0</v>
      </c>
    </row>
    <row r="143" spans="61:95" x14ac:dyDescent="0.2">
      <c r="BI143" s="307" t="s">
        <v>448</v>
      </c>
      <c r="BJ143" s="309">
        <v>29112.263489807599</v>
      </c>
      <c r="BK143" s="309">
        <v>0</v>
      </c>
      <c r="BL143" s="309">
        <v>0</v>
      </c>
      <c r="BM143" s="309">
        <v>0</v>
      </c>
      <c r="BN143" s="309">
        <v>0</v>
      </c>
      <c r="BO143" s="309">
        <v>0</v>
      </c>
      <c r="BP143" s="309">
        <v>0</v>
      </c>
      <c r="BQ143" s="309">
        <v>0</v>
      </c>
      <c r="BR143" s="309">
        <v>0</v>
      </c>
      <c r="BS143" s="309">
        <v>0</v>
      </c>
      <c r="BT143" s="309">
        <v>0</v>
      </c>
      <c r="BU143" s="309">
        <v>0</v>
      </c>
      <c r="BV143" s="309">
        <v>0</v>
      </c>
      <c r="BW143" s="309">
        <v>0</v>
      </c>
      <c r="BX143" s="309">
        <v>0</v>
      </c>
      <c r="BY143" s="309">
        <v>0</v>
      </c>
      <c r="BZ143" s="309">
        <v>0</v>
      </c>
      <c r="CA143" s="309">
        <v>0</v>
      </c>
      <c r="CB143" s="309">
        <v>0</v>
      </c>
      <c r="CC143" s="309">
        <v>0</v>
      </c>
      <c r="CD143" s="309">
        <v>0</v>
      </c>
      <c r="CE143" s="309">
        <v>0</v>
      </c>
      <c r="CF143" s="309">
        <v>0</v>
      </c>
      <c r="CG143" s="309">
        <v>0</v>
      </c>
      <c r="CH143" s="309">
        <v>0</v>
      </c>
      <c r="CI143" s="309">
        <v>0</v>
      </c>
      <c r="CJ143" s="309">
        <v>0</v>
      </c>
      <c r="CK143" s="309">
        <v>0</v>
      </c>
      <c r="CL143" s="309">
        <v>0</v>
      </c>
      <c r="CO143" s="307" t="s">
        <v>448</v>
      </c>
      <c r="CP143" s="306">
        <v>0</v>
      </c>
      <c r="CQ143" s="306">
        <v>0</v>
      </c>
    </row>
    <row r="144" spans="61:95" x14ac:dyDescent="0.2">
      <c r="BI144" s="307" t="s">
        <v>462</v>
      </c>
      <c r="BJ144" s="309">
        <v>0</v>
      </c>
      <c r="BK144" s="309">
        <v>0</v>
      </c>
      <c r="BL144" s="309">
        <v>23309.045257575199</v>
      </c>
      <c r="BM144" s="309">
        <v>0</v>
      </c>
      <c r="BN144" s="309">
        <v>0</v>
      </c>
      <c r="BO144" s="309">
        <v>0</v>
      </c>
      <c r="BP144" s="309">
        <v>0</v>
      </c>
      <c r="BQ144" s="309">
        <v>0</v>
      </c>
      <c r="BR144" s="309">
        <v>0</v>
      </c>
      <c r="BS144" s="309">
        <v>0</v>
      </c>
      <c r="BT144" s="309">
        <v>0</v>
      </c>
      <c r="BU144" s="309">
        <v>94146.207140653802</v>
      </c>
      <c r="BV144" s="309">
        <v>0</v>
      </c>
      <c r="BW144" s="309">
        <v>0</v>
      </c>
      <c r="BX144" s="309">
        <v>257.99399332425401</v>
      </c>
      <c r="BY144" s="309">
        <v>0</v>
      </c>
      <c r="BZ144" s="309">
        <v>2511.39821094118</v>
      </c>
      <c r="CA144" s="309">
        <v>0</v>
      </c>
      <c r="CB144" s="309">
        <v>0</v>
      </c>
      <c r="CC144" s="309">
        <v>0</v>
      </c>
      <c r="CD144" s="309">
        <v>0</v>
      </c>
      <c r="CE144" s="309">
        <v>0</v>
      </c>
      <c r="CF144" s="309">
        <v>0</v>
      </c>
      <c r="CG144" s="309">
        <v>0</v>
      </c>
      <c r="CH144" s="309">
        <v>0</v>
      </c>
      <c r="CI144" s="309">
        <v>0</v>
      </c>
      <c r="CJ144" s="309">
        <v>0</v>
      </c>
      <c r="CK144" s="309">
        <v>0</v>
      </c>
      <c r="CL144" s="309">
        <v>0</v>
      </c>
      <c r="CO144" s="307" t="s">
        <v>462</v>
      </c>
      <c r="CP144" s="306">
        <v>0</v>
      </c>
      <c r="CQ144" s="306">
        <v>0</v>
      </c>
    </row>
    <row r="145" spans="61:95" x14ac:dyDescent="0.2">
      <c r="BI145" s="307" t="s">
        <v>677</v>
      </c>
      <c r="BJ145" s="309">
        <v>0</v>
      </c>
      <c r="BK145" s="309">
        <v>0</v>
      </c>
      <c r="BL145" s="309">
        <v>0</v>
      </c>
      <c r="BM145" s="309">
        <v>0</v>
      </c>
      <c r="BN145" s="309">
        <v>0</v>
      </c>
      <c r="BO145" s="309">
        <v>0</v>
      </c>
      <c r="BP145" s="309">
        <v>0</v>
      </c>
      <c r="BQ145" s="309">
        <v>0</v>
      </c>
      <c r="BR145" s="309">
        <v>0</v>
      </c>
      <c r="BS145" s="309">
        <v>0</v>
      </c>
      <c r="BT145" s="309">
        <v>0</v>
      </c>
      <c r="BU145" s="309">
        <v>0</v>
      </c>
      <c r="BV145" s="309">
        <v>0</v>
      </c>
      <c r="BW145" s="309">
        <v>0</v>
      </c>
      <c r="BX145" s="309">
        <v>0</v>
      </c>
      <c r="BY145" s="309">
        <v>0</v>
      </c>
      <c r="BZ145" s="309">
        <v>4830.4442158522497</v>
      </c>
      <c r="CA145" s="309">
        <v>0</v>
      </c>
      <c r="CB145" s="309">
        <v>0</v>
      </c>
      <c r="CC145" s="309">
        <v>0</v>
      </c>
      <c r="CD145" s="309">
        <v>0</v>
      </c>
      <c r="CE145" s="309">
        <v>0</v>
      </c>
      <c r="CF145" s="309">
        <v>0</v>
      </c>
      <c r="CG145" s="309">
        <v>0</v>
      </c>
      <c r="CH145" s="309">
        <v>0</v>
      </c>
      <c r="CI145" s="309">
        <v>0</v>
      </c>
      <c r="CJ145" s="309">
        <v>0</v>
      </c>
      <c r="CK145" s="309">
        <v>0</v>
      </c>
      <c r="CL145" s="309">
        <v>0</v>
      </c>
      <c r="CO145" s="307" t="s">
        <v>677</v>
      </c>
      <c r="CP145" s="306">
        <v>0</v>
      </c>
      <c r="CQ145" s="306">
        <v>0</v>
      </c>
    </row>
    <row r="146" spans="61:95" x14ac:dyDescent="0.2">
      <c r="BI146" s="307" t="s">
        <v>678</v>
      </c>
      <c r="BJ146" s="309">
        <v>0</v>
      </c>
      <c r="BK146" s="309">
        <v>0</v>
      </c>
      <c r="BL146" s="309">
        <v>0</v>
      </c>
      <c r="BM146" s="309">
        <v>0</v>
      </c>
      <c r="BN146" s="309">
        <v>0</v>
      </c>
      <c r="BO146" s="309">
        <v>0</v>
      </c>
      <c r="BP146" s="309">
        <v>0</v>
      </c>
      <c r="BQ146" s="309">
        <v>0</v>
      </c>
      <c r="BR146" s="309">
        <v>0</v>
      </c>
      <c r="BS146" s="309">
        <v>0</v>
      </c>
      <c r="BT146" s="309">
        <v>0</v>
      </c>
      <c r="BU146" s="309">
        <v>0</v>
      </c>
      <c r="BV146" s="309">
        <v>0</v>
      </c>
      <c r="BW146" s="309">
        <v>0</v>
      </c>
      <c r="BX146" s="309">
        <v>0</v>
      </c>
      <c r="BY146" s="309">
        <v>0</v>
      </c>
      <c r="BZ146" s="309">
        <v>0</v>
      </c>
      <c r="CA146" s="309">
        <v>4830.4442158522497</v>
      </c>
      <c r="CB146" s="309">
        <v>0</v>
      </c>
      <c r="CC146" s="309">
        <v>0</v>
      </c>
      <c r="CD146" s="309">
        <v>0</v>
      </c>
      <c r="CE146" s="309">
        <v>0</v>
      </c>
      <c r="CF146" s="309">
        <v>0</v>
      </c>
      <c r="CG146" s="309">
        <v>0</v>
      </c>
      <c r="CH146" s="309">
        <v>0</v>
      </c>
      <c r="CI146" s="309">
        <v>0</v>
      </c>
      <c r="CJ146" s="309">
        <v>0</v>
      </c>
      <c r="CK146" s="309">
        <v>0</v>
      </c>
      <c r="CL146" s="309">
        <v>0</v>
      </c>
      <c r="CO146" s="307" t="s">
        <v>678</v>
      </c>
      <c r="CP146" s="306">
        <v>0</v>
      </c>
      <c r="CQ146" s="306">
        <v>0</v>
      </c>
    </row>
    <row r="147" spans="61:95" x14ac:dyDescent="0.2">
      <c r="BI147" s="307" t="s">
        <v>439</v>
      </c>
      <c r="BJ147" s="309">
        <v>0</v>
      </c>
      <c r="BK147" s="309">
        <v>0</v>
      </c>
      <c r="BL147" s="309">
        <v>0</v>
      </c>
      <c r="BM147" s="309">
        <v>0</v>
      </c>
      <c r="BN147" s="309">
        <v>0</v>
      </c>
      <c r="BO147" s="309">
        <v>0</v>
      </c>
      <c r="BP147" s="309">
        <v>0</v>
      </c>
      <c r="BQ147" s="309">
        <v>0</v>
      </c>
      <c r="BR147" s="309">
        <v>0</v>
      </c>
      <c r="BS147" s="309">
        <v>0</v>
      </c>
      <c r="BT147" s="309">
        <v>0</v>
      </c>
      <c r="BU147" s="309">
        <v>0</v>
      </c>
      <c r="BV147" s="309">
        <v>0</v>
      </c>
      <c r="BW147" s="309">
        <v>0</v>
      </c>
      <c r="BX147" s="309">
        <v>0</v>
      </c>
      <c r="BY147" s="309">
        <v>0</v>
      </c>
      <c r="BZ147" s="309">
        <v>0</v>
      </c>
      <c r="CA147" s="309">
        <v>0</v>
      </c>
      <c r="CB147" s="309">
        <v>0</v>
      </c>
      <c r="CC147" s="309">
        <v>0</v>
      </c>
      <c r="CD147" s="309">
        <v>0</v>
      </c>
      <c r="CE147" s="309">
        <v>0</v>
      </c>
      <c r="CF147" s="309">
        <v>88071.706245154506</v>
      </c>
      <c r="CG147" s="309">
        <v>0</v>
      </c>
      <c r="CH147" s="309">
        <v>0</v>
      </c>
      <c r="CI147" s="309">
        <v>0</v>
      </c>
      <c r="CJ147" s="309">
        <v>0</v>
      </c>
      <c r="CK147" s="309">
        <v>0</v>
      </c>
      <c r="CL147" s="309">
        <v>0</v>
      </c>
      <c r="CO147" s="307" t="s">
        <v>439</v>
      </c>
      <c r="CP147" s="306">
        <v>0</v>
      </c>
      <c r="CQ147" s="306">
        <v>0</v>
      </c>
    </row>
    <row r="148" spans="61:95" x14ac:dyDescent="0.2">
      <c r="BI148" s="307" t="s">
        <v>442</v>
      </c>
      <c r="BJ148" s="309">
        <v>0</v>
      </c>
      <c r="BK148" s="309">
        <v>0</v>
      </c>
      <c r="BL148" s="309">
        <v>0</v>
      </c>
      <c r="BM148" s="309">
        <v>0</v>
      </c>
      <c r="BN148" s="309">
        <v>0</v>
      </c>
      <c r="BO148" s="309">
        <v>0</v>
      </c>
      <c r="BP148" s="309">
        <v>0</v>
      </c>
      <c r="BQ148" s="309">
        <v>0</v>
      </c>
      <c r="BR148" s="309">
        <v>0</v>
      </c>
      <c r="BS148" s="309">
        <v>0</v>
      </c>
      <c r="BT148" s="309">
        <v>0</v>
      </c>
      <c r="BU148" s="309">
        <v>0</v>
      </c>
      <c r="BV148" s="309">
        <v>108184.85967288</v>
      </c>
      <c r="BW148" s="309">
        <v>0</v>
      </c>
      <c r="BX148" s="309">
        <v>0</v>
      </c>
      <c r="BY148" s="309">
        <v>0</v>
      </c>
      <c r="BZ148" s="309">
        <v>0</v>
      </c>
      <c r="CA148" s="309">
        <v>0</v>
      </c>
      <c r="CB148" s="309">
        <v>0</v>
      </c>
      <c r="CC148" s="309">
        <v>0</v>
      </c>
      <c r="CD148" s="309">
        <v>0</v>
      </c>
      <c r="CE148" s="309">
        <v>0</v>
      </c>
      <c r="CF148" s="309">
        <v>0</v>
      </c>
      <c r="CG148" s="309">
        <v>0</v>
      </c>
      <c r="CH148" s="309">
        <v>0</v>
      </c>
      <c r="CI148" s="309">
        <v>0</v>
      </c>
      <c r="CJ148" s="309">
        <v>0</v>
      </c>
      <c r="CK148" s="309">
        <v>0</v>
      </c>
      <c r="CL148" s="309">
        <v>0</v>
      </c>
      <c r="CO148" s="307" t="s">
        <v>442</v>
      </c>
      <c r="CP148" s="306">
        <v>0</v>
      </c>
      <c r="CQ148" s="306">
        <v>0</v>
      </c>
    </row>
    <row r="149" spans="61:95" x14ac:dyDescent="0.2">
      <c r="BI149" s="307" t="s">
        <v>441</v>
      </c>
      <c r="BJ149" s="309">
        <v>0</v>
      </c>
      <c r="BK149" s="309">
        <v>0</v>
      </c>
      <c r="BL149" s="309">
        <v>0</v>
      </c>
      <c r="BM149" s="309">
        <v>0</v>
      </c>
      <c r="BN149" s="309">
        <v>0</v>
      </c>
      <c r="BO149" s="309">
        <v>0</v>
      </c>
      <c r="BP149" s="309">
        <v>0</v>
      </c>
      <c r="BQ149" s="309">
        <v>0</v>
      </c>
      <c r="BR149" s="309">
        <v>0</v>
      </c>
      <c r="BS149" s="309">
        <v>0</v>
      </c>
      <c r="BT149" s="309">
        <v>108184.85967288</v>
      </c>
      <c r="BU149" s="309">
        <v>0</v>
      </c>
      <c r="BV149" s="309">
        <v>0</v>
      </c>
      <c r="BW149" s="309">
        <v>0</v>
      </c>
      <c r="BX149" s="309">
        <v>0</v>
      </c>
      <c r="BY149" s="309">
        <v>0</v>
      </c>
      <c r="BZ149" s="309">
        <v>0</v>
      </c>
      <c r="CA149" s="309">
        <v>0</v>
      </c>
      <c r="CB149" s="309">
        <v>0</v>
      </c>
      <c r="CC149" s="309">
        <v>0</v>
      </c>
      <c r="CD149" s="309">
        <v>0</v>
      </c>
      <c r="CE149" s="309">
        <v>0</v>
      </c>
      <c r="CF149" s="309">
        <v>0</v>
      </c>
      <c r="CG149" s="309">
        <v>0</v>
      </c>
      <c r="CH149" s="309">
        <v>0</v>
      </c>
      <c r="CI149" s="309">
        <v>0</v>
      </c>
      <c r="CJ149" s="309">
        <v>0</v>
      </c>
      <c r="CK149" s="309">
        <v>0</v>
      </c>
      <c r="CL149" s="309">
        <v>0</v>
      </c>
      <c r="CO149" s="307" t="s">
        <v>441</v>
      </c>
      <c r="CP149" s="306">
        <v>0</v>
      </c>
      <c r="CQ149" s="306">
        <v>0</v>
      </c>
    </row>
    <row r="150" spans="61:95" x14ac:dyDescent="0.2">
      <c r="BI150" s="307" t="s">
        <v>333</v>
      </c>
      <c r="BJ150" s="309">
        <v>0</v>
      </c>
      <c r="BK150" s="309">
        <v>0</v>
      </c>
      <c r="BL150" s="309">
        <v>0</v>
      </c>
      <c r="BM150" s="309">
        <v>0</v>
      </c>
      <c r="BN150" s="309">
        <v>0</v>
      </c>
      <c r="BO150" s="309">
        <v>0</v>
      </c>
      <c r="BP150" s="309">
        <v>0</v>
      </c>
      <c r="BQ150" s="309">
        <v>0</v>
      </c>
      <c r="BR150" s="309">
        <v>0</v>
      </c>
      <c r="BS150" s="309">
        <v>0</v>
      </c>
      <c r="BT150" s="309">
        <v>0</v>
      </c>
      <c r="BU150" s="309">
        <v>108184.85967288</v>
      </c>
      <c r="BV150" s="309">
        <v>0</v>
      </c>
      <c r="BW150" s="309">
        <v>0</v>
      </c>
      <c r="BX150" s="309">
        <v>0</v>
      </c>
      <c r="BY150" s="309">
        <v>0</v>
      </c>
      <c r="BZ150" s="309">
        <v>0</v>
      </c>
      <c r="CA150" s="309">
        <v>0</v>
      </c>
      <c r="CB150" s="309">
        <v>0</v>
      </c>
      <c r="CC150" s="309">
        <v>0</v>
      </c>
      <c r="CD150" s="309">
        <v>0</v>
      </c>
      <c r="CE150" s="309">
        <v>0</v>
      </c>
      <c r="CF150" s="309">
        <v>0</v>
      </c>
      <c r="CG150" s="309">
        <v>0</v>
      </c>
      <c r="CH150" s="309">
        <v>0</v>
      </c>
      <c r="CI150" s="309">
        <v>0</v>
      </c>
      <c r="CJ150" s="309">
        <v>0</v>
      </c>
      <c r="CK150" s="309">
        <v>0</v>
      </c>
      <c r="CL150" s="309">
        <v>0</v>
      </c>
      <c r="CO150" s="307" t="s">
        <v>333</v>
      </c>
      <c r="CP150" s="306">
        <v>0</v>
      </c>
      <c r="CQ150" s="306">
        <v>0</v>
      </c>
    </row>
    <row r="151" spans="61:95" x14ac:dyDescent="0.2">
      <c r="BI151" s="307" t="s">
        <v>438</v>
      </c>
      <c r="BJ151" s="309">
        <v>0</v>
      </c>
      <c r="BK151" s="309">
        <v>0</v>
      </c>
      <c r="BL151" s="309">
        <v>0</v>
      </c>
      <c r="BM151" s="309">
        <v>0</v>
      </c>
      <c r="BN151" s="309">
        <v>0</v>
      </c>
      <c r="BO151" s="309">
        <v>0</v>
      </c>
      <c r="BP151" s="309">
        <v>0</v>
      </c>
      <c r="BQ151" s="309">
        <v>0</v>
      </c>
      <c r="BR151" s="309">
        <v>0</v>
      </c>
      <c r="BS151" s="309">
        <v>0</v>
      </c>
      <c r="BT151" s="309">
        <v>0</v>
      </c>
      <c r="BU151" s="309">
        <v>0</v>
      </c>
      <c r="BV151" s="309">
        <v>0</v>
      </c>
      <c r="BW151" s="309">
        <v>0</v>
      </c>
      <c r="BX151" s="309">
        <v>0</v>
      </c>
      <c r="BY151" s="309">
        <v>0</v>
      </c>
      <c r="BZ151" s="309">
        <v>0</v>
      </c>
      <c r="CA151" s="309">
        <v>0</v>
      </c>
      <c r="CB151" s="309">
        <v>0</v>
      </c>
      <c r="CC151" s="309">
        <v>0</v>
      </c>
      <c r="CD151" s="309">
        <v>0</v>
      </c>
      <c r="CE151" s="309">
        <v>0</v>
      </c>
      <c r="CF151" s="309">
        <v>0</v>
      </c>
      <c r="CG151" s="309">
        <v>0</v>
      </c>
      <c r="CH151" s="309">
        <v>0</v>
      </c>
      <c r="CI151" s="309">
        <v>0</v>
      </c>
      <c r="CJ151" s="309">
        <v>0</v>
      </c>
      <c r="CK151" s="309">
        <v>0</v>
      </c>
      <c r="CL151" s="309">
        <v>0</v>
      </c>
      <c r="CO151" s="307" t="s">
        <v>438</v>
      </c>
      <c r="CP151" s="306">
        <v>0</v>
      </c>
      <c r="CQ151" s="306">
        <v>21722.892325740399</v>
      </c>
    </row>
    <row r="152" spans="61:95" x14ac:dyDescent="0.2">
      <c r="BI152" s="307" t="s">
        <v>426</v>
      </c>
      <c r="BJ152" s="309">
        <v>0</v>
      </c>
      <c r="BK152" s="309">
        <v>0</v>
      </c>
      <c r="BL152" s="309">
        <v>0</v>
      </c>
      <c r="BM152" s="309">
        <v>0</v>
      </c>
      <c r="BN152" s="309">
        <v>0</v>
      </c>
      <c r="BO152" s="309">
        <v>0</v>
      </c>
      <c r="BP152" s="309">
        <v>0</v>
      </c>
      <c r="BQ152" s="309">
        <v>0</v>
      </c>
      <c r="BR152" s="309">
        <v>0</v>
      </c>
      <c r="BS152" s="309">
        <v>0</v>
      </c>
      <c r="BT152" s="309">
        <v>0</v>
      </c>
      <c r="BU152" s="309">
        <v>0</v>
      </c>
      <c r="BV152" s="309">
        <v>0</v>
      </c>
      <c r="BW152" s="309">
        <v>0</v>
      </c>
      <c r="BX152" s="309">
        <v>0</v>
      </c>
      <c r="BY152" s="309">
        <v>0</v>
      </c>
      <c r="BZ152" s="309">
        <v>0</v>
      </c>
      <c r="CA152" s="309">
        <v>0</v>
      </c>
      <c r="CB152" s="309">
        <v>0</v>
      </c>
      <c r="CC152" s="309">
        <v>0</v>
      </c>
      <c r="CD152" s="309">
        <v>0</v>
      </c>
      <c r="CE152" s="309">
        <v>0</v>
      </c>
      <c r="CF152" s="309">
        <v>0</v>
      </c>
      <c r="CG152" s="309">
        <v>0</v>
      </c>
      <c r="CH152" s="309">
        <v>0</v>
      </c>
      <c r="CI152" s="309">
        <v>0</v>
      </c>
      <c r="CJ152" s="309">
        <v>0</v>
      </c>
      <c r="CK152" s="309">
        <v>0</v>
      </c>
      <c r="CL152" s="309">
        <v>0</v>
      </c>
      <c r="CO152" s="307" t="s">
        <v>426</v>
      </c>
      <c r="CP152" s="306">
        <v>0</v>
      </c>
      <c r="CQ152" s="306">
        <v>87222.135331413898</v>
      </c>
    </row>
    <row r="153" spans="61:95" x14ac:dyDescent="0.2">
      <c r="BI153" s="307" t="s">
        <v>424</v>
      </c>
      <c r="BJ153" s="309">
        <v>0</v>
      </c>
      <c r="BK153" s="309">
        <v>0</v>
      </c>
      <c r="BL153" s="309">
        <v>0</v>
      </c>
      <c r="BM153" s="309">
        <v>0</v>
      </c>
      <c r="BN153" s="309">
        <v>0</v>
      </c>
      <c r="BO153" s="309">
        <v>0</v>
      </c>
      <c r="BP153" s="309">
        <v>0</v>
      </c>
      <c r="BQ153" s="309">
        <v>0</v>
      </c>
      <c r="BR153" s="309">
        <v>0</v>
      </c>
      <c r="BS153" s="309">
        <v>0</v>
      </c>
      <c r="BT153" s="309">
        <v>0</v>
      </c>
      <c r="BU153" s="309">
        <v>0</v>
      </c>
      <c r="BV153" s="309">
        <v>0</v>
      </c>
      <c r="BW153" s="309">
        <v>0</v>
      </c>
      <c r="BX153" s="309">
        <v>0</v>
      </c>
      <c r="BY153" s="309">
        <v>0</v>
      </c>
      <c r="BZ153" s="309">
        <v>0</v>
      </c>
      <c r="CA153" s="309">
        <v>0</v>
      </c>
      <c r="CB153" s="309">
        <v>0</v>
      </c>
      <c r="CC153" s="309">
        <v>0</v>
      </c>
      <c r="CD153" s="309">
        <v>0</v>
      </c>
      <c r="CE153" s="309">
        <v>0</v>
      </c>
      <c r="CF153" s="309">
        <v>0</v>
      </c>
      <c r="CG153" s="309">
        <v>0</v>
      </c>
      <c r="CH153" s="309">
        <v>0</v>
      </c>
      <c r="CI153" s="309">
        <v>0</v>
      </c>
      <c r="CJ153" s="309">
        <v>0</v>
      </c>
      <c r="CK153" s="309">
        <v>25297.051877142199</v>
      </c>
      <c r="CL153" s="309">
        <v>0</v>
      </c>
      <c r="CO153" s="307" t="s">
        <v>424</v>
      </c>
      <c r="CP153" s="306">
        <v>0</v>
      </c>
      <c r="CQ153" s="306">
        <v>0</v>
      </c>
    </row>
    <row r="154" spans="61:95" x14ac:dyDescent="0.2">
      <c r="BI154" s="307" t="s">
        <v>412</v>
      </c>
      <c r="BJ154" s="309">
        <v>0</v>
      </c>
      <c r="BK154" s="309">
        <v>0</v>
      </c>
      <c r="BL154" s="309">
        <v>0</v>
      </c>
      <c r="BM154" s="309">
        <v>0</v>
      </c>
      <c r="BN154" s="309">
        <v>0</v>
      </c>
      <c r="BO154" s="309">
        <v>0</v>
      </c>
      <c r="BP154" s="309">
        <v>0</v>
      </c>
      <c r="BQ154" s="309">
        <v>0</v>
      </c>
      <c r="BR154" s="309">
        <v>0</v>
      </c>
      <c r="BS154" s="309">
        <v>0</v>
      </c>
      <c r="BT154" s="309">
        <v>0</v>
      </c>
      <c r="BU154" s="309">
        <v>0</v>
      </c>
      <c r="BV154" s="309">
        <v>0</v>
      </c>
      <c r="BW154" s="309">
        <v>0</v>
      </c>
      <c r="BX154" s="309">
        <v>0</v>
      </c>
      <c r="BY154" s="309">
        <v>25297.051877142199</v>
      </c>
      <c r="BZ154" s="309">
        <v>0</v>
      </c>
      <c r="CA154" s="309">
        <v>0</v>
      </c>
      <c r="CB154" s="309">
        <v>0</v>
      </c>
      <c r="CC154" s="309">
        <v>0</v>
      </c>
      <c r="CD154" s="309">
        <v>0</v>
      </c>
      <c r="CE154" s="309">
        <v>0</v>
      </c>
      <c r="CF154" s="309">
        <v>0</v>
      </c>
      <c r="CG154" s="309">
        <v>0</v>
      </c>
      <c r="CH154" s="309">
        <v>0</v>
      </c>
      <c r="CI154" s="309">
        <v>0</v>
      </c>
      <c r="CJ154" s="309">
        <v>0</v>
      </c>
      <c r="CK154" s="309">
        <v>0</v>
      </c>
      <c r="CL154" s="309">
        <v>0</v>
      </c>
      <c r="CO154" s="307" t="s">
        <v>412</v>
      </c>
      <c r="CP154" s="306">
        <v>0</v>
      </c>
      <c r="CQ154" s="306">
        <v>0</v>
      </c>
    </row>
    <row r="155" spans="61:95" x14ac:dyDescent="0.2">
      <c r="BI155" s="307" t="s">
        <v>436</v>
      </c>
      <c r="BJ155" s="309">
        <v>0</v>
      </c>
      <c r="BK155" s="309">
        <v>0</v>
      </c>
      <c r="BL155" s="309">
        <v>0</v>
      </c>
      <c r="BM155" s="309">
        <v>0</v>
      </c>
      <c r="BN155" s="309">
        <v>0</v>
      </c>
      <c r="BO155" s="309">
        <v>0</v>
      </c>
      <c r="BP155" s="309">
        <v>0</v>
      </c>
      <c r="BQ155" s="309">
        <v>0</v>
      </c>
      <c r="BR155" s="309">
        <v>0</v>
      </c>
      <c r="BS155" s="309">
        <v>0</v>
      </c>
      <c r="BT155" s="309">
        <v>0</v>
      </c>
      <c r="BU155" s="309">
        <v>0</v>
      </c>
      <c r="BV155" s="309">
        <v>0</v>
      </c>
      <c r="BW155" s="309">
        <v>25297.051877142199</v>
      </c>
      <c r="BX155" s="309">
        <v>0</v>
      </c>
      <c r="BY155" s="309">
        <v>0</v>
      </c>
      <c r="BZ155" s="309">
        <v>0</v>
      </c>
      <c r="CA155" s="309">
        <v>0</v>
      </c>
      <c r="CB155" s="309">
        <v>0</v>
      </c>
      <c r="CC155" s="309">
        <v>0</v>
      </c>
      <c r="CD155" s="309">
        <v>0</v>
      </c>
      <c r="CE155" s="309">
        <v>0</v>
      </c>
      <c r="CF155" s="309">
        <v>0</v>
      </c>
      <c r="CG155" s="309">
        <v>0</v>
      </c>
      <c r="CH155" s="309">
        <v>0</v>
      </c>
      <c r="CI155" s="309">
        <v>0</v>
      </c>
      <c r="CJ155" s="309">
        <v>0</v>
      </c>
      <c r="CK155" s="309">
        <v>0</v>
      </c>
      <c r="CL155" s="309">
        <v>0</v>
      </c>
      <c r="CO155" s="307" t="s">
        <v>436</v>
      </c>
      <c r="CP155" s="306">
        <v>0</v>
      </c>
      <c r="CQ155" s="306">
        <v>0</v>
      </c>
    </row>
    <row r="156" spans="61:95" x14ac:dyDescent="0.2">
      <c r="BI156" s="307" t="s">
        <v>335</v>
      </c>
      <c r="BJ156" s="309">
        <v>0</v>
      </c>
      <c r="BK156" s="309">
        <v>0</v>
      </c>
      <c r="BL156" s="309">
        <v>0</v>
      </c>
      <c r="BM156" s="309">
        <v>0</v>
      </c>
      <c r="BN156" s="309">
        <v>0</v>
      </c>
      <c r="BO156" s="309">
        <v>0</v>
      </c>
      <c r="BP156" s="309">
        <v>0</v>
      </c>
      <c r="BQ156" s="309">
        <v>0</v>
      </c>
      <c r="BR156" s="309">
        <v>0</v>
      </c>
      <c r="BS156" s="309">
        <v>0</v>
      </c>
      <c r="BT156" s="309">
        <v>0</v>
      </c>
      <c r="BU156" s="309">
        <v>0</v>
      </c>
      <c r="BV156" s="309">
        <v>0</v>
      </c>
      <c r="BW156" s="309">
        <v>0</v>
      </c>
      <c r="BX156" s="309">
        <v>25297.051877142199</v>
      </c>
      <c r="BY156" s="309">
        <v>0</v>
      </c>
      <c r="BZ156" s="309">
        <v>0</v>
      </c>
      <c r="CA156" s="309">
        <v>0</v>
      </c>
      <c r="CB156" s="309">
        <v>0</v>
      </c>
      <c r="CC156" s="309">
        <v>0</v>
      </c>
      <c r="CD156" s="309">
        <v>0</v>
      </c>
      <c r="CE156" s="309">
        <v>0</v>
      </c>
      <c r="CF156" s="309">
        <v>0</v>
      </c>
      <c r="CG156" s="309">
        <v>0</v>
      </c>
      <c r="CH156" s="309">
        <v>0</v>
      </c>
      <c r="CI156" s="309">
        <v>0</v>
      </c>
      <c r="CJ156" s="309">
        <v>0</v>
      </c>
      <c r="CK156" s="309">
        <v>0</v>
      </c>
      <c r="CL156" s="309">
        <v>0</v>
      </c>
      <c r="CO156" s="307" t="s">
        <v>335</v>
      </c>
      <c r="CP156" s="306">
        <v>0</v>
      </c>
      <c r="CQ156" s="306">
        <v>0</v>
      </c>
    </row>
    <row r="157" spans="61:95" x14ac:dyDescent="0.2">
      <c r="BI157" s="307" t="s">
        <v>427</v>
      </c>
      <c r="BJ157" s="309">
        <v>0</v>
      </c>
      <c r="BK157" s="309">
        <v>0</v>
      </c>
      <c r="BL157" s="309">
        <v>0</v>
      </c>
      <c r="BM157" s="309">
        <v>0</v>
      </c>
      <c r="BN157" s="309">
        <v>0</v>
      </c>
      <c r="BO157" s="309">
        <v>0</v>
      </c>
      <c r="BP157" s="309">
        <v>0</v>
      </c>
      <c r="BQ157" s="309">
        <v>0</v>
      </c>
      <c r="BR157" s="309">
        <v>0</v>
      </c>
      <c r="BS157" s="309">
        <v>0</v>
      </c>
      <c r="BT157" s="309">
        <v>0</v>
      </c>
      <c r="BU157" s="309">
        <v>0</v>
      </c>
      <c r="BV157" s="309">
        <v>0</v>
      </c>
      <c r="BW157" s="309">
        <v>0</v>
      </c>
      <c r="BX157" s="309">
        <v>0</v>
      </c>
      <c r="BY157" s="309">
        <v>0</v>
      </c>
      <c r="BZ157" s="309">
        <v>0</v>
      </c>
      <c r="CA157" s="309">
        <v>0</v>
      </c>
      <c r="CB157" s="309">
        <v>0</v>
      </c>
      <c r="CC157" s="309">
        <v>0</v>
      </c>
      <c r="CD157" s="309">
        <v>0</v>
      </c>
      <c r="CE157" s="309">
        <v>0</v>
      </c>
      <c r="CF157" s="309">
        <v>0</v>
      </c>
      <c r="CG157" s="309">
        <v>0</v>
      </c>
      <c r="CH157" s="309">
        <v>0</v>
      </c>
      <c r="CI157" s="309">
        <v>0</v>
      </c>
      <c r="CJ157" s="309">
        <v>0</v>
      </c>
      <c r="CK157" s="309">
        <v>0</v>
      </c>
      <c r="CL157" s="309">
        <v>0</v>
      </c>
      <c r="CO157" s="307" t="s">
        <v>427</v>
      </c>
      <c r="CP157" s="306">
        <v>0</v>
      </c>
      <c r="CQ157" s="306">
        <v>7739.25118007116</v>
      </c>
    </row>
    <row r="158" spans="61:95" x14ac:dyDescent="0.2">
      <c r="BI158" s="307" t="s">
        <v>463</v>
      </c>
      <c r="BJ158" s="309">
        <v>0</v>
      </c>
      <c r="BK158" s="309">
        <v>0</v>
      </c>
      <c r="BL158" s="309">
        <v>0</v>
      </c>
      <c r="BM158" s="309">
        <v>0</v>
      </c>
      <c r="BN158" s="309">
        <v>0</v>
      </c>
      <c r="BO158" s="309">
        <v>0</v>
      </c>
      <c r="BP158" s="309">
        <v>0</v>
      </c>
      <c r="BQ158" s="309">
        <v>0</v>
      </c>
      <c r="BR158" s="309">
        <v>0</v>
      </c>
      <c r="BS158" s="309">
        <v>0</v>
      </c>
      <c r="BT158" s="309">
        <v>0</v>
      </c>
      <c r="BU158" s="309">
        <v>0</v>
      </c>
      <c r="BV158" s="309">
        <v>0</v>
      </c>
      <c r="BW158" s="309">
        <v>0</v>
      </c>
      <c r="BX158" s="309">
        <v>24.076233417548501</v>
      </c>
      <c r="BY158" s="309">
        <v>0</v>
      </c>
      <c r="BZ158" s="309">
        <v>0</v>
      </c>
      <c r="CA158" s="309">
        <v>0</v>
      </c>
      <c r="CB158" s="309">
        <v>0</v>
      </c>
      <c r="CC158" s="309">
        <v>0</v>
      </c>
      <c r="CD158" s="309">
        <v>0</v>
      </c>
      <c r="CE158" s="309">
        <v>0</v>
      </c>
      <c r="CF158" s="309">
        <v>0</v>
      </c>
      <c r="CG158" s="309">
        <v>0</v>
      </c>
      <c r="CH158" s="309">
        <v>0</v>
      </c>
      <c r="CI158" s="309">
        <v>0</v>
      </c>
      <c r="CJ158" s="309">
        <v>0</v>
      </c>
      <c r="CK158" s="309">
        <v>0</v>
      </c>
      <c r="CL158" s="309">
        <v>0</v>
      </c>
      <c r="CO158" s="307" t="s">
        <v>463</v>
      </c>
      <c r="CP158" s="306">
        <v>0</v>
      </c>
      <c r="CQ158" s="306">
        <v>0</v>
      </c>
    </row>
    <row r="159" spans="61:95" x14ac:dyDescent="0.2">
      <c r="BI159" s="307" t="s">
        <v>343</v>
      </c>
      <c r="BJ159" s="309">
        <v>2329445.30922601</v>
      </c>
      <c r="BK159" s="309">
        <v>0</v>
      </c>
      <c r="BL159" s="309">
        <v>0</v>
      </c>
      <c r="BM159" s="309">
        <v>0</v>
      </c>
      <c r="BN159" s="309">
        <v>0</v>
      </c>
      <c r="BO159" s="309">
        <v>0</v>
      </c>
      <c r="BP159" s="309">
        <v>0</v>
      </c>
      <c r="BQ159" s="309">
        <v>0</v>
      </c>
      <c r="BR159" s="309">
        <v>10583778.883576799</v>
      </c>
      <c r="BS159" s="309">
        <v>10407.5335702297</v>
      </c>
      <c r="BT159" s="309">
        <v>0</v>
      </c>
      <c r="BU159" s="309">
        <v>0</v>
      </c>
      <c r="BV159" s="309">
        <v>0</v>
      </c>
      <c r="BW159" s="309">
        <v>0</v>
      </c>
      <c r="BX159" s="309">
        <v>0</v>
      </c>
      <c r="BY159" s="309">
        <v>0</v>
      </c>
      <c r="BZ159" s="309">
        <v>0</v>
      </c>
      <c r="CA159" s="309">
        <v>0</v>
      </c>
      <c r="CB159" s="309">
        <v>0</v>
      </c>
      <c r="CC159" s="309">
        <v>0</v>
      </c>
      <c r="CD159" s="309">
        <v>0</v>
      </c>
      <c r="CE159" s="309">
        <v>0</v>
      </c>
      <c r="CF159" s="309">
        <v>0</v>
      </c>
      <c r="CG159" s="309">
        <v>0</v>
      </c>
      <c r="CH159" s="309">
        <v>0</v>
      </c>
      <c r="CI159" s="309">
        <v>0</v>
      </c>
      <c r="CJ159" s="309">
        <v>0</v>
      </c>
      <c r="CK159" s="309">
        <v>1951076.47558275</v>
      </c>
      <c r="CL159" s="309">
        <v>0</v>
      </c>
      <c r="CO159" s="307" t="s">
        <v>343</v>
      </c>
      <c r="CP159" s="306">
        <v>0</v>
      </c>
      <c r="CQ159" s="306">
        <v>0</v>
      </c>
    </row>
    <row r="160" spans="61:95" x14ac:dyDescent="0.2">
      <c r="BI160" s="307" t="s">
        <v>679</v>
      </c>
      <c r="BJ160" s="309">
        <v>0</v>
      </c>
      <c r="BK160" s="309">
        <v>0</v>
      </c>
      <c r="BL160" s="309">
        <v>0</v>
      </c>
      <c r="BM160" s="309">
        <v>0</v>
      </c>
      <c r="BN160" s="309">
        <v>0</v>
      </c>
      <c r="BO160" s="309">
        <v>0</v>
      </c>
      <c r="BP160" s="309">
        <v>0</v>
      </c>
      <c r="BQ160" s="309">
        <v>0</v>
      </c>
      <c r="BR160" s="309">
        <v>0</v>
      </c>
      <c r="BS160" s="309">
        <v>0</v>
      </c>
      <c r="BT160" s="309">
        <v>0</v>
      </c>
      <c r="BU160" s="309">
        <v>0</v>
      </c>
      <c r="BV160" s="309">
        <v>0</v>
      </c>
      <c r="BW160" s="309">
        <v>0</v>
      </c>
      <c r="BX160" s="309">
        <v>0</v>
      </c>
      <c r="BY160" s="309">
        <v>0</v>
      </c>
      <c r="BZ160" s="309">
        <v>0</v>
      </c>
      <c r="CA160" s="309">
        <v>0</v>
      </c>
      <c r="CB160" s="309">
        <v>0</v>
      </c>
      <c r="CC160" s="309">
        <v>0</v>
      </c>
      <c r="CD160" s="309">
        <v>0</v>
      </c>
      <c r="CE160" s="309">
        <v>0</v>
      </c>
      <c r="CF160" s="309">
        <v>0</v>
      </c>
      <c r="CG160" s="309">
        <v>3749358.3680556798</v>
      </c>
      <c r="CH160" s="309">
        <v>0</v>
      </c>
      <c r="CI160" s="309">
        <v>0</v>
      </c>
      <c r="CJ160" s="309">
        <v>0</v>
      </c>
      <c r="CK160" s="309">
        <v>0</v>
      </c>
      <c r="CL160" s="309">
        <v>0</v>
      </c>
      <c r="CO160" s="307" t="s">
        <v>679</v>
      </c>
      <c r="CP160" s="306">
        <v>0</v>
      </c>
      <c r="CQ160" s="306">
        <v>0</v>
      </c>
    </row>
    <row r="161" spans="61:95" x14ac:dyDescent="0.2">
      <c r="BI161" s="307" t="s">
        <v>680</v>
      </c>
      <c r="BJ161" s="309">
        <v>0</v>
      </c>
      <c r="BK161" s="309">
        <v>0</v>
      </c>
      <c r="BL161" s="309">
        <v>0</v>
      </c>
      <c r="BM161" s="309">
        <v>0</v>
      </c>
      <c r="BN161" s="309">
        <v>0</v>
      </c>
      <c r="BO161" s="309">
        <v>0</v>
      </c>
      <c r="BP161" s="309">
        <v>0</v>
      </c>
      <c r="BQ161" s="309">
        <v>0</v>
      </c>
      <c r="BR161" s="309">
        <v>0</v>
      </c>
      <c r="BS161" s="309">
        <v>0</v>
      </c>
      <c r="BT161" s="309">
        <v>0</v>
      </c>
      <c r="BU161" s="309">
        <v>0</v>
      </c>
      <c r="BV161" s="309">
        <v>0</v>
      </c>
      <c r="BW161" s="309">
        <v>0</v>
      </c>
      <c r="BX161" s="309">
        <v>0</v>
      </c>
      <c r="BY161" s="309">
        <v>0</v>
      </c>
      <c r="BZ161" s="309">
        <v>0</v>
      </c>
      <c r="CA161" s="309">
        <v>0</v>
      </c>
      <c r="CB161" s="309">
        <v>0</v>
      </c>
      <c r="CC161" s="309">
        <v>0</v>
      </c>
      <c r="CD161" s="309">
        <v>0</v>
      </c>
      <c r="CE161" s="309">
        <v>0</v>
      </c>
      <c r="CF161" s="309">
        <v>0</v>
      </c>
      <c r="CG161" s="309">
        <v>0</v>
      </c>
      <c r="CH161" s="309">
        <v>0</v>
      </c>
      <c r="CI161" s="309">
        <v>0</v>
      </c>
      <c r="CJ161" s="309">
        <v>668.84165319492104</v>
      </c>
      <c r="CK161" s="309">
        <v>0</v>
      </c>
      <c r="CL161" s="309">
        <v>0</v>
      </c>
      <c r="CO161" s="307" t="s">
        <v>680</v>
      </c>
      <c r="CP161" s="306">
        <v>0</v>
      </c>
      <c r="CQ161" s="306">
        <v>0</v>
      </c>
    </row>
    <row r="162" spans="61:95" x14ac:dyDescent="0.2">
      <c r="BI162" s="307" t="s">
        <v>681</v>
      </c>
      <c r="BJ162" s="309">
        <v>0</v>
      </c>
      <c r="BK162" s="309">
        <v>0</v>
      </c>
      <c r="BL162" s="309">
        <v>0</v>
      </c>
      <c r="BM162" s="309">
        <v>0</v>
      </c>
      <c r="BN162" s="309">
        <v>0</v>
      </c>
      <c r="BO162" s="309">
        <v>0</v>
      </c>
      <c r="BP162" s="309">
        <v>0</v>
      </c>
      <c r="BQ162" s="309">
        <v>0</v>
      </c>
      <c r="BR162" s="309">
        <v>0</v>
      </c>
      <c r="BS162" s="309">
        <v>0</v>
      </c>
      <c r="BT162" s="309">
        <v>0</v>
      </c>
      <c r="BU162" s="309">
        <v>0</v>
      </c>
      <c r="BV162" s="309">
        <v>0</v>
      </c>
      <c r="BW162" s="309">
        <v>0</v>
      </c>
      <c r="BX162" s="309">
        <v>0</v>
      </c>
      <c r="BY162" s="309">
        <v>0</v>
      </c>
      <c r="BZ162" s="309">
        <v>0</v>
      </c>
      <c r="CA162" s="309">
        <v>0</v>
      </c>
      <c r="CB162" s="309">
        <v>0</v>
      </c>
      <c r="CC162" s="309">
        <v>0</v>
      </c>
      <c r="CD162" s="309">
        <v>0</v>
      </c>
      <c r="CE162" s="309">
        <v>0</v>
      </c>
      <c r="CF162" s="309">
        <v>0</v>
      </c>
      <c r="CG162" s="309">
        <v>0</v>
      </c>
      <c r="CH162" s="309">
        <v>0</v>
      </c>
      <c r="CI162" s="309">
        <v>668.84165319492104</v>
      </c>
      <c r="CJ162" s="309">
        <v>0</v>
      </c>
      <c r="CK162" s="309">
        <v>0</v>
      </c>
      <c r="CL162" s="309">
        <v>0</v>
      </c>
      <c r="CO162" s="307" t="s">
        <v>681</v>
      </c>
      <c r="CP162" s="306">
        <v>0</v>
      </c>
      <c r="CQ162" s="306">
        <v>0</v>
      </c>
    </row>
    <row r="163" spans="61:95" x14ac:dyDescent="0.2">
      <c r="BI163" s="307" t="s">
        <v>682</v>
      </c>
      <c r="BJ163" s="309">
        <v>0</v>
      </c>
      <c r="BK163" s="309">
        <v>0</v>
      </c>
      <c r="BL163" s="309">
        <v>0</v>
      </c>
      <c r="BM163" s="309">
        <v>0</v>
      </c>
      <c r="BN163" s="309">
        <v>0</v>
      </c>
      <c r="BO163" s="309">
        <v>0</v>
      </c>
      <c r="BP163" s="309">
        <v>0</v>
      </c>
      <c r="BQ163" s="309">
        <v>0</v>
      </c>
      <c r="BR163" s="309">
        <v>0</v>
      </c>
      <c r="BS163" s="309">
        <v>0</v>
      </c>
      <c r="BT163" s="309">
        <v>0</v>
      </c>
      <c r="BU163" s="309">
        <v>0</v>
      </c>
      <c r="BV163" s="309">
        <v>0</v>
      </c>
      <c r="BW163" s="309">
        <v>0</v>
      </c>
      <c r="BX163" s="309">
        <v>0</v>
      </c>
      <c r="BY163" s="309">
        <v>0</v>
      </c>
      <c r="BZ163" s="309">
        <v>0</v>
      </c>
      <c r="CA163" s="309">
        <v>0</v>
      </c>
      <c r="CB163" s="309">
        <v>0</v>
      </c>
      <c r="CC163" s="309">
        <v>0</v>
      </c>
      <c r="CD163" s="309">
        <v>0</v>
      </c>
      <c r="CE163" s="309">
        <v>0</v>
      </c>
      <c r="CF163" s="309">
        <v>0</v>
      </c>
      <c r="CG163" s="309">
        <v>0</v>
      </c>
      <c r="CH163" s="309">
        <v>184686.52821315001</v>
      </c>
      <c r="CI163" s="309">
        <v>0</v>
      </c>
      <c r="CJ163" s="309">
        <v>0</v>
      </c>
      <c r="CK163" s="309">
        <v>0</v>
      </c>
      <c r="CL163" s="309">
        <v>0</v>
      </c>
      <c r="CO163" s="307" t="s">
        <v>682</v>
      </c>
      <c r="CP163" s="306">
        <v>0</v>
      </c>
      <c r="CQ163" s="306">
        <v>0</v>
      </c>
    </row>
    <row r="164" spans="61:95" x14ac:dyDescent="0.2">
      <c r="BI164" s="307" t="s">
        <v>683</v>
      </c>
      <c r="BJ164" s="309">
        <v>0</v>
      </c>
      <c r="BK164" s="309">
        <v>0</v>
      </c>
      <c r="BL164" s="309">
        <v>0</v>
      </c>
      <c r="BM164" s="309">
        <v>0</v>
      </c>
      <c r="BN164" s="309">
        <v>0</v>
      </c>
      <c r="BO164" s="309">
        <v>0</v>
      </c>
      <c r="BP164" s="309">
        <v>0</v>
      </c>
      <c r="BQ164" s="309">
        <v>0</v>
      </c>
      <c r="BR164" s="309">
        <v>0</v>
      </c>
      <c r="BS164" s="309">
        <v>0</v>
      </c>
      <c r="BT164" s="309">
        <v>0</v>
      </c>
      <c r="BU164" s="309">
        <v>0</v>
      </c>
      <c r="BV164" s="309">
        <v>0</v>
      </c>
      <c r="BW164" s="309">
        <v>0</v>
      </c>
      <c r="BX164" s="309">
        <v>0</v>
      </c>
      <c r="BY164" s="309">
        <v>0</v>
      </c>
      <c r="BZ164" s="309">
        <v>0</v>
      </c>
      <c r="CA164" s="309">
        <v>0</v>
      </c>
      <c r="CB164" s="309">
        <v>184686.52821315001</v>
      </c>
      <c r="CC164" s="309">
        <v>0</v>
      </c>
      <c r="CD164" s="309">
        <v>0</v>
      </c>
      <c r="CE164" s="309">
        <v>0</v>
      </c>
      <c r="CF164" s="309">
        <v>0</v>
      </c>
      <c r="CG164" s="309">
        <v>0</v>
      </c>
      <c r="CH164" s="309">
        <v>0</v>
      </c>
      <c r="CI164" s="309">
        <v>0</v>
      </c>
      <c r="CJ164" s="309">
        <v>0</v>
      </c>
      <c r="CK164" s="309">
        <v>0</v>
      </c>
      <c r="CL164" s="309">
        <v>0</v>
      </c>
      <c r="CO164" s="307" t="s">
        <v>683</v>
      </c>
      <c r="CP164" s="306">
        <v>0</v>
      </c>
      <c r="CQ164" s="306">
        <v>0</v>
      </c>
    </row>
    <row r="165" spans="61:95" x14ac:dyDescent="0.2">
      <c r="BI165" s="307" t="s">
        <v>684</v>
      </c>
      <c r="BJ165" s="309">
        <v>0</v>
      </c>
      <c r="BK165" s="309">
        <v>0</v>
      </c>
      <c r="BL165" s="309">
        <v>0</v>
      </c>
      <c r="BM165" s="309">
        <v>0</v>
      </c>
      <c r="BN165" s="309">
        <v>80113.817233021196</v>
      </c>
      <c r="BO165" s="309">
        <v>0</v>
      </c>
      <c r="BP165" s="309">
        <v>0</v>
      </c>
      <c r="BQ165" s="309">
        <v>0</v>
      </c>
      <c r="BR165" s="309">
        <v>0</v>
      </c>
      <c r="BS165" s="309">
        <v>0</v>
      </c>
      <c r="BT165" s="309">
        <v>0</v>
      </c>
      <c r="BU165" s="309">
        <v>0</v>
      </c>
      <c r="BV165" s="309">
        <v>0</v>
      </c>
      <c r="BW165" s="309">
        <v>0</v>
      </c>
      <c r="BX165" s="309">
        <v>0</v>
      </c>
      <c r="BY165" s="309">
        <v>0</v>
      </c>
      <c r="BZ165" s="309">
        <v>3204496.1178020099</v>
      </c>
      <c r="CA165" s="309">
        <v>0</v>
      </c>
      <c r="CB165" s="309">
        <v>0</v>
      </c>
      <c r="CC165" s="309">
        <v>0</v>
      </c>
      <c r="CD165" s="309">
        <v>0</v>
      </c>
      <c r="CE165" s="309">
        <v>0</v>
      </c>
      <c r="CF165" s="309">
        <v>0</v>
      </c>
      <c r="CG165" s="309">
        <v>0</v>
      </c>
      <c r="CH165" s="309">
        <v>0</v>
      </c>
      <c r="CI165" s="309">
        <v>0</v>
      </c>
      <c r="CJ165" s="309">
        <v>0</v>
      </c>
      <c r="CK165" s="309">
        <v>0</v>
      </c>
      <c r="CL165" s="309">
        <v>0</v>
      </c>
      <c r="CO165" s="307" t="s">
        <v>684</v>
      </c>
      <c r="CP165" s="306">
        <v>0</v>
      </c>
      <c r="CQ165" s="306">
        <v>0</v>
      </c>
    </row>
    <row r="166" spans="61:95" x14ac:dyDescent="0.2">
      <c r="BI166" s="307" t="s">
        <v>685</v>
      </c>
      <c r="BJ166" s="309">
        <v>0</v>
      </c>
      <c r="BK166" s="309">
        <v>0</v>
      </c>
      <c r="BL166" s="309">
        <v>0</v>
      </c>
      <c r="BM166" s="309">
        <v>0</v>
      </c>
      <c r="BN166" s="309">
        <v>0</v>
      </c>
      <c r="BO166" s="309">
        <v>3090735.3644190198</v>
      </c>
      <c r="BP166" s="309">
        <v>0</v>
      </c>
      <c r="BQ166" s="309">
        <v>0</v>
      </c>
      <c r="BR166" s="309">
        <v>0</v>
      </c>
      <c r="BS166" s="309">
        <v>0</v>
      </c>
      <c r="BT166" s="309">
        <v>0</v>
      </c>
      <c r="BU166" s="309">
        <v>0</v>
      </c>
      <c r="BV166" s="309">
        <v>0</v>
      </c>
      <c r="BW166" s="309">
        <v>0</v>
      </c>
      <c r="BX166" s="309">
        <v>0</v>
      </c>
      <c r="BY166" s="309">
        <v>0</v>
      </c>
      <c r="BZ166" s="309">
        <v>0</v>
      </c>
      <c r="CA166" s="309">
        <v>0</v>
      </c>
      <c r="CB166" s="309">
        <v>0</v>
      </c>
      <c r="CC166" s="309">
        <v>0</v>
      </c>
      <c r="CD166" s="309">
        <v>0</v>
      </c>
      <c r="CE166" s="309">
        <v>0</v>
      </c>
      <c r="CF166" s="309">
        <v>0</v>
      </c>
      <c r="CG166" s="309">
        <v>0</v>
      </c>
      <c r="CH166" s="309">
        <v>0</v>
      </c>
      <c r="CI166" s="309">
        <v>0</v>
      </c>
      <c r="CJ166" s="309">
        <v>0</v>
      </c>
      <c r="CK166" s="309">
        <v>0</v>
      </c>
      <c r="CL166" s="309">
        <v>0</v>
      </c>
      <c r="CO166" s="307" t="s">
        <v>685</v>
      </c>
      <c r="CP166" s="306">
        <v>0</v>
      </c>
      <c r="CQ166" s="306">
        <v>0</v>
      </c>
    </row>
    <row r="167" spans="61:95" x14ac:dyDescent="0.2">
      <c r="BI167" s="307" t="s">
        <v>686</v>
      </c>
      <c r="BJ167" s="309">
        <v>0</v>
      </c>
      <c r="BK167" s="309">
        <v>0</v>
      </c>
      <c r="BL167" s="309">
        <v>0</v>
      </c>
      <c r="BM167" s="309">
        <v>0</v>
      </c>
      <c r="BN167" s="309">
        <v>0</v>
      </c>
      <c r="BO167" s="309">
        <v>0</v>
      </c>
      <c r="BP167" s="309">
        <v>0</v>
      </c>
      <c r="BQ167" s="309">
        <v>0</v>
      </c>
      <c r="BR167" s="309">
        <v>0</v>
      </c>
      <c r="BS167" s="309">
        <v>0</v>
      </c>
      <c r="BT167" s="309">
        <v>0</v>
      </c>
      <c r="BU167" s="309">
        <v>0</v>
      </c>
      <c r="BV167" s="309">
        <v>0</v>
      </c>
      <c r="BW167" s="309">
        <v>0</v>
      </c>
      <c r="BX167" s="309">
        <v>0</v>
      </c>
      <c r="BY167" s="309">
        <v>0</v>
      </c>
      <c r="BZ167" s="309">
        <v>0</v>
      </c>
      <c r="CA167" s="309">
        <v>0</v>
      </c>
      <c r="CB167" s="309">
        <v>0</v>
      </c>
      <c r="CC167" s="309">
        <v>0</v>
      </c>
      <c r="CD167" s="309">
        <v>0</v>
      </c>
      <c r="CE167" s="309">
        <v>0</v>
      </c>
      <c r="CF167" s="309">
        <v>0</v>
      </c>
      <c r="CG167" s="309">
        <v>0</v>
      </c>
      <c r="CH167" s="309">
        <v>0</v>
      </c>
      <c r="CI167" s="309">
        <v>0</v>
      </c>
      <c r="CJ167" s="309">
        <v>0</v>
      </c>
      <c r="CK167" s="309">
        <v>0</v>
      </c>
      <c r="CL167" s="309">
        <v>21683.690906267198</v>
      </c>
      <c r="CO167" s="307" t="s">
        <v>686</v>
      </c>
      <c r="CP167" s="306">
        <v>0</v>
      </c>
      <c r="CQ167" s="306">
        <v>0</v>
      </c>
    </row>
    <row r="168" spans="61:95" x14ac:dyDescent="0.2">
      <c r="BI168" s="307" t="s">
        <v>446</v>
      </c>
      <c r="BJ168" s="309">
        <v>0</v>
      </c>
      <c r="BK168" s="309">
        <v>0</v>
      </c>
      <c r="BL168" s="309">
        <v>0</v>
      </c>
      <c r="BM168" s="309">
        <v>0</v>
      </c>
      <c r="BN168" s="309">
        <v>0</v>
      </c>
      <c r="BO168" s="309">
        <v>0</v>
      </c>
      <c r="BP168" s="309">
        <v>0</v>
      </c>
      <c r="BQ168" s="309">
        <v>0</v>
      </c>
      <c r="BR168" s="309">
        <v>0</v>
      </c>
      <c r="BS168" s="309">
        <v>0</v>
      </c>
      <c r="BT168" s="309">
        <v>0</v>
      </c>
      <c r="BU168" s="309">
        <v>0</v>
      </c>
      <c r="BV168" s="309">
        <v>0</v>
      </c>
      <c r="BW168" s="309">
        <v>0</v>
      </c>
      <c r="BX168" s="309">
        <v>0</v>
      </c>
      <c r="BY168" s="309">
        <v>0</v>
      </c>
      <c r="BZ168" s="309">
        <v>0</v>
      </c>
      <c r="CA168" s="309">
        <v>0</v>
      </c>
      <c r="CB168" s="309">
        <v>0</v>
      </c>
      <c r="CC168" s="309">
        <v>0</v>
      </c>
      <c r="CD168" s="309">
        <v>0</v>
      </c>
      <c r="CE168" s="309">
        <v>0</v>
      </c>
      <c r="CF168" s="309">
        <v>0</v>
      </c>
      <c r="CG168" s="309">
        <v>0</v>
      </c>
      <c r="CH168" s="309">
        <v>0</v>
      </c>
      <c r="CI168" s="309">
        <v>0</v>
      </c>
      <c r="CJ168" s="309">
        <v>0</v>
      </c>
      <c r="CK168" s="309">
        <v>0</v>
      </c>
      <c r="CL168" s="309">
        <v>0</v>
      </c>
      <c r="CO168" s="307" t="s">
        <v>446</v>
      </c>
      <c r="CP168" s="306">
        <v>4157895.2984628798</v>
      </c>
      <c r="CQ168" s="306">
        <v>0</v>
      </c>
    </row>
    <row r="169" spans="61:95" x14ac:dyDescent="0.2">
      <c r="BI169" s="307" t="s">
        <v>457</v>
      </c>
      <c r="BJ169" s="309">
        <v>0</v>
      </c>
      <c r="BK169" s="309">
        <v>0</v>
      </c>
      <c r="BL169" s="309">
        <v>0</v>
      </c>
      <c r="BM169" s="309">
        <v>0</v>
      </c>
      <c r="BN169" s="309">
        <v>0</v>
      </c>
      <c r="BO169" s="309">
        <v>0</v>
      </c>
      <c r="BP169" s="309">
        <v>0</v>
      </c>
      <c r="BQ169" s="309">
        <v>0</v>
      </c>
      <c r="BR169" s="309">
        <v>0</v>
      </c>
      <c r="BS169" s="309">
        <v>0</v>
      </c>
      <c r="BT169" s="309">
        <v>0</v>
      </c>
      <c r="BU169" s="309">
        <v>0</v>
      </c>
      <c r="BV169" s="309">
        <v>0</v>
      </c>
      <c r="BW169" s="309">
        <v>0</v>
      </c>
      <c r="BX169" s="309">
        <v>0</v>
      </c>
      <c r="BY169" s="309">
        <v>0</v>
      </c>
      <c r="BZ169" s="309">
        <v>0</v>
      </c>
      <c r="CA169" s="309">
        <v>0</v>
      </c>
      <c r="CB169" s="309">
        <v>0</v>
      </c>
      <c r="CC169" s="309">
        <v>0</v>
      </c>
      <c r="CD169" s="309">
        <v>0</v>
      </c>
      <c r="CE169" s="309">
        <v>0</v>
      </c>
      <c r="CF169" s="309">
        <v>0</v>
      </c>
      <c r="CG169" s="309">
        <v>0</v>
      </c>
      <c r="CH169" s="309">
        <v>0</v>
      </c>
      <c r="CI169" s="309">
        <v>0</v>
      </c>
      <c r="CJ169" s="309">
        <v>0</v>
      </c>
      <c r="CK169" s="309">
        <v>0</v>
      </c>
      <c r="CL169" s="309">
        <v>0</v>
      </c>
      <c r="CO169" s="307" t="s">
        <v>457</v>
      </c>
      <c r="CP169" s="306">
        <v>0</v>
      </c>
      <c r="CQ169" s="306">
        <v>67875.356217847497</v>
      </c>
    </row>
    <row r="170" spans="61:95" x14ac:dyDescent="0.2">
      <c r="BI170" s="307" t="s">
        <v>687</v>
      </c>
      <c r="BJ170" s="309">
        <v>0</v>
      </c>
      <c r="BK170" s="309">
        <v>0</v>
      </c>
      <c r="BL170" s="309">
        <v>0</v>
      </c>
      <c r="BM170" s="309">
        <v>0</v>
      </c>
      <c r="BN170" s="309">
        <v>0</v>
      </c>
      <c r="BO170" s="309">
        <v>0</v>
      </c>
      <c r="BP170" s="309">
        <v>0</v>
      </c>
      <c r="BQ170" s="309">
        <v>0</v>
      </c>
      <c r="BR170" s="309">
        <v>0</v>
      </c>
      <c r="BS170" s="309">
        <v>0</v>
      </c>
      <c r="BT170" s="309">
        <v>0</v>
      </c>
      <c r="BU170" s="309">
        <v>0</v>
      </c>
      <c r="BV170" s="309">
        <v>0</v>
      </c>
      <c r="BW170" s="309">
        <v>0</v>
      </c>
      <c r="BX170" s="309">
        <v>0</v>
      </c>
      <c r="BY170" s="309">
        <v>0</v>
      </c>
      <c r="BZ170" s="309">
        <v>5048.7551388456604</v>
      </c>
      <c r="CA170" s="309">
        <v>0</v>
      </c>
      <c r="CB170" s="309">
        <v>0</v>
      </c>
      <c r="CC170" s="309">
        <v>0</v>
      </c>
      <c r="CD170" s="309">
        <v>0</v>
      </c>
      <c r="CE170" s="309">
        <v>0</v>
      </c>
      <c r="CF170" s="309">
        <v>0</v>
      </c>
      <c r="CG170" s="309">
        <v>0</v>
      </c>
      <c r="CH170" s="309">
        <v>0</v>
      </c>
      <c r="CI170" s="309">
        <v>0</v>
      </c>
      <c r="CJ170" s="309">
        <v>0</v>
      </c>
      <c r="CK170" s="309">
        <v>0</v>
      </c>
      <c r="CL170" s="309">
        <v>0</v>
      </c>
      <c r="CO170" s="307" t="s">
        <v>687</v>
      </c>
      <c r="CP170" s="306">
        <v>0</v>
      </c>
      <c r="CQ170" s="306">
        <v>0</v>
      </c>
    </row>
    <row r="171" spans="61:95" x14ac:dyDescent="0.2">
      <c r="BI171" s="307" t="s">
        <v>688</v>
      </c>
      <c r="BJ171" s="309">
        <v>0</v>
      </c>
      <c r="BK171" s="309">
        <v>0</v>
      </c>
      <c r="BL171" s="309">
        <v>0</v>
      </c>
      <c r="BM171" s="309">
        <v>0</v>
      </c>
      <c r="BN171" s="309">
        <v>0</v>
      </c>
      <c r="BO171" s="309">
        <v>0</v>
      </c>
      <c r="BP171" s="309">
        <v>0</v>
      </c>
      <c r="BQ171" s="309">
        <v>0</v>
      </c>
      <c r="BR171" s="309">
        <v>0</v>
      </c>
      <c r="BS171" s="309">
        <v>0</v>
      </c>
      <c r="BT171" s="309">
        <v>0</v>
      </c>
      <c r="BU171" s="309">
        <v>0</v>
      </c>
      <c r="BV171" s="309">
        <v>0</v>
      </c>
      <c r="BW171" s="309">
        <v>0</v>
      </c>
      <c r="BX171" s="309">
        <v>0</v>
      </c>
      <c r="BY171" s="309">
        <v>0</v>
      </c>
      <c r="BZ171" s="309">
        <v>0</v>
      </c>
      <c r="CA171" s="309">
        <v>0</v>
      </c>
      <c r="CB171" s="309">
        <v>0</v>
      </c>
      <c r="CC171" s="309">
        <v>5023.7890204089899</v>
      </c>
      <c r="CD171" s="309">
        <v>0</v>
      </c>
      <c r="CE171" s="309">
        <v>0</v>
      </c>
      <c r="CF171" s="309">
        <v>0</v>
      </c>
      <c r="CG171" s="309">
        <v>0</v>
      </c>
      <c r="CH171" s="309">
        <v>0</v>
      </c>
      <c r="CI171" s="309">
        <v>0</v>
      </c>
      <c r="CJ171" s="309">
        <v>0</v>
      </c>
      <c r="CK171" s="309">
        <v>0</v>
      </c>
      <c r="CL171" s="309">
        <v>0</v>
      </c>
      <c r="CO171" s="307" t="s">
        <v>688</v>
      </c>
      <c r="CP171" s="306">
        <v>0</v>
      </c>
      <c r="CQ171" s="306">
        <v>0</v>
      </c>
    </row>
    <row r="172" spans="61:95" x14ac:dyDescent="0.2">
      <c r="BI172" s="307" t="s">
        <v>425</v>
      </c>
      <c r="BJ172" s="309">
        <v>0</v>
      </c>
      <c r="BK172" s="309">
        <v>0</v>
      </c>
      <c r="BL172" s="309">
        <v>0</v>
      </c>
      <c r="BM172" s="309">
        <v>0</v>
      </c>
      <c r="BN172" s="309">
        <v>0</v>
      </c>
      <c r="BO172" s="309">
        <v>0</v>
      </c>
      <c r="BP172" s="309">
        <v>0</v>
      </c>
      <c r="BQ172" s="309">
        <v>0</v>
      </c>
      <c r="BR172" s="309">
        <v>0</v>
      </c>
      <c r="BS172" s="309">
        <v>0</v>
      </c>
      <c r="BT172" s="309">
        <v>0</v>
      </c>
      <c r="BU172" s="309">
        <v>0</v>
      </c>
      <c r="BV172" s="309">
        <v>0</v>
      </c>
      <c r="BW172" s="309">
        <v>0</v>
      </c>
      <c r="BX172" s="309">
        <v>0</v>
      </c>
      <c r="BY172" s="309">
        <v>0</v>
      </c>
      <c r="BZ172" s="309">
        <v>0</v>
      </c>
      <c r="CA172" s="309">
        <v>0</v>
      </c>
      <c r="CB172" s="309">
        <v>0</v>
      </c>
      <c r="CC172" s="309">
        <v>0</v>
      </c>
      <c r="CD172" s="309">
        <v>0</v>
      </c>
      <c r="CE172" s="309">
        <v>0</v>
      </c>
      <c r="CF172" s="309">
        <v>242016.07607977401</v>
      </c>
      <c r="CG172" s="309">
        <v>0</v>
      </c>
      <c r="CH172" s="309">
        <v>0</v>
      </c>
      <c r="CI172" s="309">
        <v>0</v>
      </c>
      <c r="CJ172" s="309">
        <v>0</v>
      </c>
      <c r="CK172" s="309">
        <v>0</v>
      </c>
      <c r="CL172" s="309">
        <v>0</v>
      </c>
      <c r="CO172" s="307" t="s">
        <v>425</v>
      </c>
      <c r="CP172" s="306">
        <v>0</v>
      </c>
      <c r="CQ172" s="306">
        <v>0</v>
      </c>
    </row>
    <row r="173" spans="61:95" x14ac:dyDescent="0.2">
      <c r="BI173" s="307" t="s">
        <v>689</v>
      </c>
      <c r="BJ173" s="309">
        <v>0</v>
      </c>
      <c r="BK173" s="309">
        <v>0</v>
      </c>
      <c r="BL173" s="309">
        <v>0</v>
      </c>
      <c r="BM173" s="309">
        <v>0</v>
      </c>
      <c r="BN173" s="309">
        <v>0</v>
      </c>
      <c r="BO173" s="309">
        <v>0</v>
      </c>
      <c r="BP173" s="309">
        <v>0</v>
      </c>
      <c r="BQ173" s="309">
        <v>0</v>
      </c>
      <c r="BR173" s="309">
        <v>0</v>
      </c>
      <c r="BS173" s="309">
        <v>0</v>
      </c>
      <c r="BT173" s="309">
        <v>0</v>
      </c>
      <c r="BU173" s="309">
        <v>0</v>
      </c>
      <c r="BV173" s="309">
        <v>0</v>
      </c>
      <c r="BW173" s="309">
        <v>0</v>
      </c>
      <c r="BX173" s="309">
        <v>0</v>
      </c>
      <c r="BY173" s="309">
        <v>0</v>
      </c>
      <c r="BZ173" s="309">
        <v>0</v>
      </c>
      <c r="CA173" s="309">
        <v>0</v>
      </c>
      <c r="CB173" s="309">
        <v>0</v>
      </c>
      <c r="CC173" s="309">
        <v>0</v>
      </c>
      <c r="CD173" s="309">
        <v>0</v>
      </c>
      <c r="CE173" s="309">
        <v>0</v>
      </c>
      <c r="CF173" s="309">
        <v>0</v>
      </c>
      <c r="CG173" s="309">
        <v>0</v>
      </c>
      <c r="CH173" s="309">
        <v>0</v>
      </c>
      <c r="CI173" s="309">
        <v>0</v>
      </c>
      <c r="CJ173" s="309">
        <v>4306.0802326205903</v>
      </c>
      <c r="CK173" s="309">
        <v>0</v>
      </c>
      <c r="CL173" s="309">
        <v>0</v>
      </c>
      <c r="CO173" s="307" t="s">
        <v>689</v>
      </c>
      <c r="CP173" s="306">
        <v>0</v>
      </c>
      <c r="CQ173" s="306">
        <v>0</v>
      </c>
    </row>
    <row r="174" spans="61:95" x14ac:dyDescent="0.2">
      <c r="BI174" s="307" t="s">
        <v>690</v>
      </c>
      <c r="BJ174" s="309">
        <v>0</v>
      </c>
      <c r="BK174" s="309">
        <v>0</v>
      </c>
      <c r="BL174" s="309">
        <v>0</v>
      </c>
      <c r="BM174" s="309">
        <v>0</v>
      </c>
      <c r="BN174" s="309">
        <v>0</v>
      </c>
      <c r="BO174" s="309">
        <v>0</v>
      </c>
      <c r="BP174" s="309">
        <v>0</v>
      </c>
      <c r="BQ174" s="309">
        <v>0</v>
      </c>
      <c r="BR174" s="309">
        <v>0</v>
      </c>
      <c r="BS174" s="309">
        <v>0</v>
      </c>
      <c r="BT174" s="309">
        <v>0</v>
      </c>
      <c r="BU174" s="309">
        <v>0</v>
      </c>
      <c r="BV174" s="309">
        <v>0</v>
      </c>
      <c r="BW174" s="309">
        <v>0</v>
      </c>
      <c r="BX174" s="309">
        <v>0</v>
      </c>
      <c r="BY174" s="309">
        <v>0</v>
      </c>
      <c r="BZ174" s="309">
        <v>82.091627997489695</v>
      </c>
      <c r="CA174" s="309">
        <v>0</v>
      </c>
      <c r="CB174" s="309">
        <v>0</v>
      </c>
      <c r="CC174" s="309">
        <v>0</v>
      </c>
      <c r="CD174" s="309">
        <v>0</v>
      </c>
      <c r="CE174" s="309">
        <v>0</v>
      </c>
      <c r="CF174" s="309">
        <v>0</v>
      </c>
      <c r="CG174" s="309">
        <v>0</v>
      </c>
      <c r="CH174" s="309">
        <v>0</v>
      </c>
      <c r="CI174" s="309">
        <v>0</v>
      </c>
      <c r="CJ174" s="309">
        <v>0</v>
      </c>
      <c r="CK174" s="309">
        <v>0</v>
      </c>
      <c r="CL174" s="309">
        <v>0</v>
      </c>
      <c r="CO174" s="307" t="s">
        <v>690</v>
      </c>
      <c r="CP174" s="306">
        <v>0</v>
      </c>
      <c r="CQ174" s="306">
        <v>0</v>
      </c>
    </row>
    <row r="175" spans="61:95" x14ac:dyDescent="0.2">
      <c r="BI175" s="307" t="s">
        <v>691</v>
      </c>
      <c r="BJ175" s="309">
        <v>0</v>
      </c>
      <c r="BK175" s="309">
        <v>0</v>
      </c>
      <c r="BL175" s="309">
        <v>0</v>
      </c>
      <c r="BM175" s="309">
        <v>0</v>
      </c>
      <c r="BN175" s="309">
        <v>0</v>
      </c>
      <c r="BO175" s="309">
        <v>0</v>
      </c>
      <c r="BP175" s="309">
        <v>0</v>
      </c>
      <c r="BQ175" s="309">
        <v>0</v>
      </c>
      <c r="BR175" s="309">
        <v>0</v>
      </c>
      <c r="BS175" s="309">
        <v>0</v>
      </c>
      <c r="BT175" s="309">
        <v>0</v>
      </c>
      <c r="BU175" s="309">
        <v>0</v>
      </c>
      <c r="BV175" s="309">
        <v>0</v>
      </c>
      <c r="BW175" s="309">
        <v>0</v>
      </c>
      <c r="BX175" s="309">
        <v>0</v>
      </c>
      <c r="BY175" s="309">
        <v>0</v>
      </c>
      <c r="BZ175" s="309">
        <v>0</v>
      </c>
      <c r="CA175" s="309">
        <v>0</v>
      </c>
      <c r="CB175" s="309">
        <v>0</v>
      </c>
      <c r="CC175" s="309">
        <v>0</v>
      </c>
      <c r="CD175" s="309">
        <v>82.091627997489695</v>
      </c>
      <c r="CE175" s="309">
        <v>0</v>
      </c>
      <c r="CF175" s="309">
        <v>0</v>
      </c>
      <c r="CG175" s="309">
        <v>0</v>
      </c>
      <c r="CH175" s="309">
        <v>0</v>
      </c>
      <c r="CI175" s="309">
        <v>0</v>
      </c>
      <c r="CJ175" s="309">
        <v>0</v>
      </c>
      <c r="CK175" s="309">
        <v>0</v>
      </c>
      <c r="CL175" s="309">
        <v>0</v>
      </c>
      <c r="CO175" s="307" t="s">
        <v>691</v>
      </c>
      <c r="CP175" s="306">
        <v>0</v>
      </c>
      <c r="CQ175" s="306">
        <v>0</v>
      </c>
    </row>
    <row r="176" spans="61:95" x14ac:dyDescent="0.2">
      <c r="BI176" s="307" t="s">
        <v>552</v>
      </c>
      <c r="BJ176" s="309">
        <v>0</v>
      </c>
      <c r="BK176" s="309">
        <v>0</v>
      </c>
      <c r="BL176" s="309">
        <v>0</v>
      </c>
      <c r="BM176" s="309">
        <v>0</v>
      </c>
      <c r="BN176" s="309">
        <v>0</v>
      </c>
      <c r="BO176" s="309">
        <v>0</v>
      </c>
      <c r="BP176" s="309">
        <v>0</v>
      </c>
      <c r="BQ176" s="309">
        <v>0</v>
      </c>
      <c r="BR176" s="309">
        <v>0</v>
      </c>
      <c r="BS176" s="309">
        <v>0</v>
      </c>
      <c r="BT176" s="309">
        <v>0</v>
      </c>
      <c r="BU176" s="309">
        <v>0</v>
      </c>
      <c r="BV176" s="309">
        <v>0</v>
      </c>
      <c r="BW176" s="309">
        <v>0</v>
      </c>
      <c r="BX176" s="309">
        <v>0</v>
      </c>
      <c r="BY176" s="309">
        <v>0</v>
      </c>
      <c r="BZ176" s="309">
        <v>0</v>
      </c>
      <c r="CA176" s="309">
        <v>0</v>
      </c>
      <c r="CB176" s="309">
        <v>0</v>
      </c>
      <c r="CC176" s="309">
        <v>0</v>
      </c>
      <c r="CD176" s="309">
        <v>0</v>
      </c>
      <c r="CE176" s="309">
        <v>0</v>
      </c>
      <c r="CF176" s="309">
        <v>0</v>
      </c>
      <c r="CG176" s="309">
        <v>0</v>
      </c>
      <c r="CH176" s="309">
        <v>0</v>
      </c>
      <c r="CI176" s="309">
        <v>0</v>
      </c>
      <c r="CJ176" s="309">
        <v>0</v>
      </c>
      <c r="CK176" s="309">
        <v>0</v>
      </c>
      <c r="CL176" s="309">
        <v>0</v>
      </c>
      <c r="CO176" s="307" t="s">
        <v>552</v>
      </c>
      <c r="CP176" s="306">
        <v>0</v>
      </c>
      <c r="CQ176" s="306">
        <v>955411.77850757004</v>
      </c>
    </row>
    <row r="177" spans="1:95" x14ac:dyDescent="0.2">
      <c r="BI177" s="307" t="s">
        <v>517</v>
      </c>
      <c r="BJ177" s="309">
        <v>2830357.1263978099</v>
      </c>
      <c r="BK177" s="309">
        <v>0</v>
      </c>
      <c r="BL177" s="309">
        <v>0</v>
      </c>
      <c r="BM177" s="309">
        <v>0</v>
      </c>
      <c r="BN177" s="309">
        <v>0</v>
      </c>
      <c r="BO177" s="309">
        <v>0</v>
      </c>
      <c r="BP177" s="309">
        <v>0</v>
      </c>
      <c r="BQ177" s="309">
        <v>0</v>
      </c>
      <c r="BR177" s="309">
        <v>0</v>
      </c>
      <c r="BS177" s="309">
        <v>0</v>
      </c>
      <c r="BT177" s="309">
        <v>0</v>
      </c>
      <c r="BU177" s="309">
        <v>0</v>
      </c>
      <c r="BV177" s="309">
        <v>0</v>
      </c>
      <c r="BW177" s="309">
        <v>0</v>
      </c>
      <c r="BX177" s="309">
        <v>0</v>
      </c>
      <c r="BY177" s="309">
        <v>0</v>
      </c>
      <c r="BZ177" s="309">
        <v>0</v>
      </c>
      <c r="CA177" s="309">
        <v>0</v>
      </c>
      <c r="CB177" s="309">
        <v>0</v>
      </c>
      <c r="CC177" s="309">
        <v>0</v>
      </c>
      <c r="CD177" s="309">
        <v>0</v>
      </c>
      <c r="CE177" s="309">
        <v>0</v>
      </c>
      <c r="CF177" s="309">
        <v>0</v>
      </c>
      <c r="CG177" s="309">
        <v>0</v>
      </c>
      <c r="CH177" s="309">
        <v>0</v>
      </c>
      <c r="CI177" s="309">
        <v>0</v>
      </c>
      <c r="CJ177" s="309">
        <v>0</v>
      </c>
      <c r="CK177" s="309">
        <v>0</v>
      </c>
      <c r="CL177" s="309">
        <v>0</v>
      </c>
      <c r="CO177" s="307" t="s">
        <v>517</v>
      </c>
      <c r="CP177" s="306">
        <v>1213010.1970276299</v>
      </c>
      <c r="CQ177" s="306">
        <v>0</v>
      </c>
    </row>
    <row r="178" spans="1:95" x14ac:dyDescent="0.2">
      <c r="BI178" s="307" t="s">
        <v>515</v>
      </c>
      <c r="BJ178" s="309">
        <v>0</v>
      </c>
      <c r="BK178" s="309">
        <v>0</v>
      </c>
      <c r="BL178" s="309">
        <v>0</v>
      </c>
      <c r="BM178" s="309">
        <v>0</v>
      </c>
      <c r="BN178" s="309">
        <v>0</v>
      </c>
      <c r="BO178" s="309">
        <v>0</v>
      </c>
      <c r="BP178" s="309">
        <v>4043367.3234254499</v>
      </c>
      <c r="BQ178" s="309">
        <v>0</v>
      </c>
      <c r="BR178" s="309">
        <v>0</v>
      </c>
      <c r="BS178" s="309">
        <v>0</v>
      </c>
      <c r="BT178" s="309">
        <v>0</v>
      </c>
      <c r="BU178" s="309">
        <v>0</v>
      </c>
      <c r="BV178" s="309">
        <v>0</v>
      </c>
      <c r="BW178" s="309">
        <v>0</v>
      </c>
      <c r="BX178" s="309">
        <v>0</v>
      </c>
      <c r="BY178" s="309">
        <v>0</v>
      </c>
      <c r="BZ178" s="309">
        <v>0</v>
      </c>
      <c r="CA178" s="309">
        <v>0</v>
      </c>
      <c r="CB178" s="309">
        <v>0</v>
      </c>
      <c r="CC178" s="309">
        <v>0</v>
      </c>
      <c r="CD178" s="309">
        <v>0</v>
      </c>
      <c r="CE178" s="309">
        <v>0</v>
      </c>
      <c r="CF178" s="309">
        <v>0</v>
      </c>
      <c r="CG178" s="309">
        <v>0</v>
      </c>
      <c r="CH178" s="309">
        <v>0</v>
      </c>
      <c r="CI178" s="309">
        <v>0</v>
      </c>
      <c r="CJ178" s="309">
        <v>0</v>
      </c>
      <c r="CK178" s="309">
        <v>0</v>
      </c>
      <c r="CL178" s="309">
        <v>0</v>
      </c>
      <c r="CO178" s="307" t="s">
        <v>515</v>
      </c>
      <c r="CP178" s="306">
        <v>0</v>
      </c>
      <c r="CQ178" s="306">
        <v>0</v>
      </c>
    </row>
    <row r="179" spans="1:95" x14ac:dyDescent="0.2">
      <c r="BI179" s="307" t="s">
        <v>692</v>
      </c>
      <c r="BJ179" s="309">
        <v>0</v>
      </c>
      <c r="BK179" s="309">
        <v>0</v>
      </c>
      <c r="BL179" s="309">
        <v>0</v>
      </c>
      <c r="BM179" s="309">
        <v>0</v>
      </c>
      <c r="BN179" s="309">
        <v>0</v>
      </c>
      <c r="BO179" s="309">
        <v>0</v>
      </c>
      <c r="BP179" s="309">
        <v>0</v>
      </c>
      <c r="BQ179" s="309">
        <v>0</v>
      </c>
      <c r="BR179" s="309">
        <v>0</v>
      </c>
      <c r="BS179" s="309">
        <v>0</v>
      </c>
      <c r="BT179" s="309">
        <v>0</v>
      </c>
      <c r="BU179" s="309">
        <v>0</v>
      </c>
      <c r="BV179" s="309">
        <v>0</v>
      </c>
      <c r="BW179" s="309">
        <v>0</v>
      </c>
      <c r="BX179" s="309">
        <v>0</v>
      </c>
      <c r="BY179" s="309">
        <v>0</v>
      </c>
      <c r="BZ179" s="309">
        <v>43.206119998678503</v>
      </c>
      <c r="CA179" s="309">
        <v>0</v>
      </c>
      <c r="CB179" s="309">
        <v>0</v>
      </c>
      <c r="CC179" s="309">
        <v>0</v>
      </c>
      <c r="CD179" s="309">
        <v>0</v>
      </c>
      <c r="CE179" s="309">
        <v>0</v>
      </c>
      <c r="CF179" s="309">
        <v>0</v>
      </c>
      <c r="CG179" s="309">
        <v>0</v>
      </c>
      <c r="CH179" s="309">
        <v>0</v>
      </c>
      <c r="CI179" s="309">
        <v>0</v>
      </c>
      <c r="CJ179" s="309">
        <v>0</v>
      </c>
      <c r="CK179" s="309">
        <v>0</v>
      </c>
      <c r="CL179" s="309">
        <v>0</v>
      </c>
      <c r="CO179" s="307" t="s">
        <v>692</v>
      </c>
      <c r="CP179" s="306">
        <v>0</v>
      </c>
      <c r="CQ179" s="306">
        <v>0</v>
      </c>
    </row>
    <row r="180" spans="1:95" x14ac:dyDescent="0.2">
      <c r="BI180" s="307" t="s">
        <v>693</v>
      </c>
      <c r="BJ180" s="309">
        <v>0</v>
      </c>
      <c r="BK180" s="309">
        <v>0</v>
      </c>
      <c r="BL180" s="309">
        <v>0</v>
      </c>
      <c r="BM180" s="309">
        <v>0</v>
      </c>
      <c r="BN180" s="309">
        <v>0</v>
      </c>
      <c r="BO180" s="309">
        <v>0</v>
      </c>
      <c r="BP180" s="309">
        <v>0</v>
      </c>
      <c r="BQ180" s="309">
        <v>0</v>
      </c>
      <c r="BR180" s="309">
        <v>0</v>
      </c>
      <c r="BS180" s="309">
        <v>0</v>
      </c>
      <c r="BT180" s="309">
        <v>0</v>
      </c>
      <c r="BU180" s="309">
        <v>0</v>
      </c>
      <c r="BV180" s="309">
        <v>0</v>
      </c>
      <c r="BW180" s="309">
        <v>0</v>
      </c>
      <c r="BX180" s="309">
        <v>0</v>
      </c>
      <c r="BY180" s="309">
        <v>0</v>
      </c>
      <c r="BZ180" s="309">
        <v>0</v>
      </c>
      <c r="CA180" s="309">
        <v>0</v>
      </c>
      <c r="CB180" s="309">
        <v>0</v>
      </c>
      <c r="CC180" s="309">
        <v>0</v>
      </c>
      <c r="CD180" s="309">
        <v>0</v>
      </c>
      <c r="CE180" s="309">
        <v>43.206119998678503</v>
      </c>
      <c r="CF180" s="309">
        <v>0</v>
      </c>
      <c r="CG180" s="309">
        <v>0</v>
      </c>
      <c r="CH180" s="309">
        <v>0</v>
      </c>
      <c r="CI180" s="309">
        <v>0</v>
      </c>
      <c r="CJ180" s="309">
        <v>0</v>
      </c>
      <c r="CK180" s="309">
        <v>0</v>
      </c>
      <c r="CL180" s="309">
        <v>0</v>
      </c>
      <c r="CO180" s="307" t="s">
        <v>693</v>
      </c>
      <c r="CP180" s="306">
        <v>0</v>
      </c>
      <c r="CQ180" s="306">
        <v>0</v>
      </c>
    </row>
    <row r="181" spans="1:95" x14ac:dyDescent="0.2">
      <c r="BJ181" s="432" t="s">
        <v>328</v>
      </c>
      <c r="BK181" s="433"/>
      <c r="BL181" s="433"/>
      <c r="BM181" s="433"/>
      <c r="BN181" s="433"/>
      <c r="BO181" s="433"/>
      <c r="BP181" s="433"/>
      <c r="BQ181" s="433"/>
      <c r="BR181" s="433"/>
      <c r="BS181" s="433"/>
      <c r="BT181" s="433"/>
      <c r="BU181" s="433"/>
      <c r="BV181" s="433"/>
      <c r="BW181" s="433"/>
      <c r="BX181" s="433"/>
      <c r="BY181" s="433"/>
      <c r="BZ181" s="433"/>
      <c r="CA181" s="433"/>
      <c r="CB181" s="433"/>
      <c r="CC181" s="433"/>
      <c r="CD181" s="433"/>
      <c r="CE181" s="433"/>
      <c r="CF181" s="433"/>
      <c r="CG181" s="433"/>
      <c r="CH181" s="433"/>
      <c r="CI181" s="433"/>
      <c r="CJ181" s="433"/>
      <c r="CK181" s="433"/>
      <c r="CL181" s="433"/>
      <c r="CP181" s="432" t="s">
        <v>330</v>
      </c>
      <c r="CQ181" s="433"/>
    </row>
    <row r="184" spans="1:95" ht="236" x14ac:dyDescent="0.2">
      <c r="B184" s="308" t="s">
        <v>484</v>
      </c>
      <c r="C184" s="308" t="s">
        <v>673</v>
      </c>
      <c r="D184" s="308" t="s">
        <v>421</v>
      </c>
      <c r="E184" s="308" t="s">
        <v>447</v>
      </c>
      <c r="F184" s="308" t="s">
        <v>445</v>
      </c>
      <c r="G184" s="308" t="s">
        <v>456</v>
      </c>
      <c r="H184" s="308" t="s">
        <v>430</v>
      </c>
      <c r="I184" s="308" t="s">
        <v>433</v>
      </c>
      <c r="J184" s="308" t="s">
        <v>336</v>
      </c>
      <c r="K184" s="308" t="s">
        <v>422</v>
      </c>
      <c r="L184" s="308" t="s">
        <v>674</v>
      </c>
      <c r="M184" s="308" t="s">
        <v>355</v>
      </c>
      <c r="N184" s="308" t="s">
        <v>416</v>
      </c>
      <c r="O184" s="308" t="s">
        <v>423</v>
      </c>
      <c r="P184" s="308" t="s">
        <v>409</v>
      </c>
      <c r="Q184" s="308" t="s">
        <v>437</v>
      </c>
      <c r="R184" s="308" t="s">
        <v>675</v>
      </c>
      <c r="S184" s="308" t="s">
        <v>676</v>
      </c>
      <c r="T184" s="308" t="s">
        <v>342</v>
      </c>
      <c r="U184" s="308" t="s">
        <v>448</v>
      </c>
      <c r="V184" s="308" t="s">
        <v>462</v>
      </c>
      <c r="W184" s="308" t="s">
        <v>677</v>
      </c>
      <c r="X184" s="308" t="s">
        <v>678</v>
      </c>
      <c r="Y184" s="308" t="s">
        <v>439</v>
      </c>
      <c r="Z184" s="308" t="s">
        <v>442</v>
      </c>
      <c r="AA184" s="308" t="s">
        <v>441</v>
      </c>
      <c r="AB184" s="308" t="s">
        <v>333</v>
      </c>
      <c r="AC184" s="308" t="s">
        <v>438</v>
      </c>
      <c r="AD184" s="308" t="s">
        <v>426</v>
      </c>
      <c r="AE184" s="308" t="s">
        <v>424</v>
      </c>
      <c r="AF184" s="308" t="s">
        <v>412</v>
      </c>
      <c r="AG184" s="308" t="s">
        <v>436</v>
      </c>
      <c r="AH184" s="308" t="s">
        <v>335</v>
      </c>
      <c r="AI184" s="308" t="s">
        <v>427</v>
      </c>
      <c r="AJ184" s="308" t="s">
        <v>463</v>
      </c>
      <c r="AK184" s="308" t="s">
        <v>343</v>
      </c>
      <c r="AL184" s="308" t="s">
        <v>679</v>
      </c>
      <c r="AM184" s="308" t="s">
        <v>680</v>
      </c>
      <c r="AN184" s="308" t="s">
        <v>681</v>
      </c>
      <c r="AO184" s="308" t="s">
        <v>682</v>
      </c>
      <c r="AP184" s="308" t="s">
        <v>683</v>
      </c>
      <c r="AQ184" s="308" t="s">
        <v>684</v>
      </c>
      <c r="AR184" s="308" t="s">
        <v>685</v>
      </c>
      <c r="AS184" s="308" t="s">
        <v>686</v>
      </c>
      <c r="AT184" s="308" t="s">
        <v>446</v>
      </c>
      <c r="AU184" s="308" t="s">
        <v>457</v>
      </c>
      <c r="AV184" s="308" t="s">
        <v>687</v>
      </c>
      <c r="AW184" s="308" t="s">
        <v>688</v>
      </c>
      <c r="AX184" s="308" t="s">
        <v>425</v>
      </c>
      <c r="AY184" s="308" t="s">
        <v>689</v>
      </c>
      <c r="AZ184" s="308" t="s">
        <v>690</v>
      </c>
      <c r="BA184" s="308" t="s">
        <v>691</v>
      </c>
      <c r="BB184" s="308" t="s">
        <v>552</v>
      </c>
      <c r="BC184" s="308" t="s">
        <v>517</v>
      </c>
      <c r="BD184" s="308" t="s">
        <v>515</v>
      </c>
      <c r="BE184" s="308" t="s">
        <v>692</v>
      </c>
      <c r="BF184" s="308" t="s">
        <v>693</v>
      </c>
    </row>
    <row r="185" spans="1:95" x14ac:dyDescent="0.2">
      <c r="A185" s="307" t="s">
        <v>337</v>
      </c>
      <c r="B185" s="309">
        <v>0</v>
      </c>
      <c r="C185" s="309">
        <v>0</v>
      </c>
      <c r="D185" s="309">
        <v>0</v>
      </c>
      <c r="E185" s="309">
        <v>404209.15818875801</v>
      </c>
      <c r="F185" s="309">
        <v>0</v>
      </c>
      <c r="G185" s="309">
        <v>0</v>
      </c>
      <c r="H185" s="309">
        <v>0</v>
      </c>
      <c r="I185" s="309">
        <v>0</v>
      </c>
      <c r="J185" s="309">
        <v>0</v>
      </c>
      <c r="K185" s="309">
        <v>0</v>
      </c>
      <c r="L185" s="309">
        <v>0</v>
      </c>
      <c r="M185" s="309">
        <v>0</v>
      </c>
      <c r="N185" s="309">
        <v>0</v>
      </c>
      <c r="O185" s="309">
        <v>0</v>
      </c>
      <c r="P185" s="309">
        <v>0</v>
      </c>
      <c r="Q185" s="309">
        <v>0</v>
      </c>
      <c r="R185" s="309">
        <v>0</v>
      </c>
      <c r="S185" s="309">
        <v>0</v>
      </c>
      <c r="T185" s="309">
        <v>0</v>
      </c>
      <c r="U185" s="309">
        <v>0</v>
      </c>
      <c r="V185" s="309">
        <v>0</v>
      </c>
      <c r="W185" s="309">
        <v>0</v>
      </c>
      <c r="X185" s="309">
        <v>0</v>
      </c>
      <c r="Y185" s="309">
        <v>0</v>
      </c>
      <c r="Z185" s="309">
        <v>0</v>
      </c>
      <c r="AA185" s="309">
        <v>0</v>
      </c>
      <c r="AB185" s="309">
        <v>0</v>
      </c>
      <c r="AC185" s="309">
        <v>0</v>
      </c>
      <c r="AD185" s="309">
        <v>0</v>
      </c>
      <c r="AE185" s="309">
        <v>0</v>
      </c>
      <c r="AF185" s="309">
        <v>0</v>
      </c>
      <c r="AG185" s="309">
        <v>0</v>
      </c>
      <c r="AH185" s="309">
        <v>0</v>
      </c>
      <c r="AI185" s="309">
        <v>0</v>
      </c>
      <c r="AJ185" s="309">
        <v>0</v>
      </c>
      <c r="AK185" s="309">
        <v>0</v>
      </c>
      <c r="AL185" s="309">
        <v>0</v>
      </c>
      <c r="AM185" s="309">
        <v>0</v>
      </c>
      <c r="AN185" s="309">
        <v>0</v>
      </c>
      <c r="AO185" s="309">
        <v>0</v>
      </c>
      <c r="AP185" s="309">
        <v>0</v>
      </c>
      <c r="AQ185" s="309">
        <v>0</v>
      </c>
      <c r="AR185" s="309">
        <v>0</v>
      </c>
      <c r="AS185" s="309">
        <v>0</v>
      </c>
      <c r="AT185" s="309">
        <v>4157895.2984628798</v>
      </c>
      <c r="AU185" s="309">
        <v>67875.356217847497</v>
      </c>
      <c r="AV185" s="309">
        <v>0</v>
      </c>
      <c r="AW185" s="309">
        <v>0</v>
      </c>
      <c r="AX185" s="309">
        <v>0</v>
      </c>
      <c r="AY185" s="309">
        <v>0</v>
      </c>
      <c r="AZ185" s="309">
        <v>0</v>
      </c>
      <c r="BA185" s="309">
        <v>0</v>
      </c>
      <c r="BB185" s="309">
        <v>0</v>
      </c>
      <c r="BC185" s="309">
        <v>0</v>
      </c>
      <c r="BD185" s="309">
        <v>0</v>
      </c>
      <c r="BE185" s="309">
        <v>0</v>
      </c>
      <c r="BF185" s="309">
        <v>0</v>
      </c>
    </row>
    <row r="186" spans="1:95" x14ac:dyDescent="0.2">
      <c r="A186" s="307" t="s">
        <v>362</v>
      </c>
      <c r="B186" s="309">
        <v>0</v>
      </c>
      <c r="C186" s="309">
        <v>0</v>
      </c>
      <c r="D186" s="309">
        <v>0</v>
      </c>
      <c r="E186" s="309">
        <v>0</v>
      </c>
      <c r="F186" s="309">
        <v>0</v>
      </c>
      <c r="G186" s="309">
        <v>8855804.3203369807</v>
      </c>
      <c r="H186" s="309">
        <v>0</v>
      </c>
      <c r="I186" s="309">
        <v>0</v>
      </c>
      <c r="J186" s="309">
        <v>0</v>
      </c>
      <c r="K186" s="309">
        <v>0</v>
      </c>
      <c r="L186" s="309">
        <v>0</v>
      </c>
      <c r="M186" s="309">
        <v>0</v>
      </c>
      <c r="N186" s="309">
        <v>0</v>
      </c>
      <c r="O186" s="309">
        <v>0</v>
      </c>
      <c r="P186" s="309">
        <v>0</v>
      </c>
      <c r="Q186" s="309">
        <v>0</v>
      </c>
      <c r="R186" s="309">
        <v>0</v>
      </c>
      <c r="S186" s="309">
        <v>0</v>
      </c>
      <c r="T186" s="309">
        <v>0</v>
      </c>
      <c r="U186" s="309">
        <v>0</v>
      </c>
      <c r="V186" s="309">
        <v>0</v>
      </c>
      <c r="W186" s="309">
        <v>0</v>
      </c>
      <c r="X186" s="309">
        <v>0</v>
      </c>
      <c r="Y186" s="309">
        <v>0</v>
      </c>
      <c r="Z186" s="309">
        <v>0</v>
      </c>
      <c r="AA186" s="309">
        <v>0</v>
      </c>
      <c r="AB186" s="309">
        <v>0</v>
      </c>
      <c r="AC186" s="309">
        <v>0</v>
      </c>
      <c r="AD186" s="309">
        <v>0</v>
      </c>
      <c r="AE186" s="309">
        <v>0</v>
      </c>
      <c r="AF186" s="309">
        <v>0</v>
      </c>
      <c r="AG186" s="309">
        <v>0</v>
      </c>
      <c r="AH186" s="309">
        <v>0</v>
      </c>
      <c r="AI186" s="309">
        <v>0</v>
      </c>
      <c r="AJ186" s="309">
        <v>0</v>
      </c>
      <c r="AK186" s="309">
        <v>0</v>
      </c>
      <c r="AL186" s="309">
        <v>0</v>
      </c>
      <c r="AM186" s="309">
        <v>0</v>
      </c>
      <c r="AN186" s="309">
        <v>0</v>
      </c>
      <c r="AO186" s="309">
        <v>0</v>
      </c>
      <c r="AP186" s="309">
        <v>0</v>
      </c>
      <c r="AQ186" s="309">
        <v>0</v>
      </c>
      <c r="AR186" s="309">
        <v>0</v>
      </c>
      <c r="AS186" s="309">
        <v>0</v>
      </c>
      <c r="AT186" s="309">
        <v>0</v>
      </c>
      <c r="AU186" s="309">
        <v>0</v>
      </c>
      <c r="AV186" s="309">
        <v>0</v>
      </c>
      <c r="AW186" s="309">
        <v>0</v>
      </c>
      <c r="AX186" s="309">
        <v>0</v>
      </c>
      <c r="AY186" s="309">
        <v>0</v>
      </c>
      <c r="AZ186" s="309">
        <v>0</v>
      </c>
      <c r="BA186" s="309">
        <v>0</v>
      </c>
      <c r="BB186" s="309">
        <v>0</v>
      </c>
      <c r="BC186" s="309">
        <v>0</v>
      </c>
      <c r="BD186" s="309">
        <v>0</v>
      </c>
      <c r="BE186" s="309">
        <v>0</v>
      </c>
      <c r="BF186" s="309">
        <v>0</v>
      </c>
    </row>
    <row r="187" spans="1:95" x14ac:dyDescent="0.2">
      <c r="A187" s="307" t="s">
        <v>327</v>
      </c>
      <c r="B187" s="309">
        <v>0</v>
      </c>
      <c r="C187" s="309">
        <v>0</v>
      </c>
      <c r="D187" s="309">
        <v>0</v>
      </c>
      <c r="E187" s="309">
        <v>0</v>
      </c>
      <c r="F187" s="309">
        <v>0</v>
      </c>
      <c r="G187" s="309">
        <v>0</v>
      </c>
      <c r="H187" s="309">
        <v>8855804.3203369807</v>
      </c>
      <c r="I187" s="309">
        <v>0</v>
      </c>
      <c r="J187" s="309">
        <v>0</v>
      </c>
      <c r="K187" s="309">
        <v>0</v>
      </c>
      <c r="L187" s="309">
        <v>0</v>
      </c>
      <c r="M187" s="309">
        <v>0</v>
      </c>
      <c r="N187" s="309">
        <v>555.77441893806395</v>
      </c>
      <c r="O187" s="309">
        <v>0</v>
      </c>
      <c r="P187" s="309">
        <v>0</v>
      </c>
      <c r="Q187" s="309">
        <v>0</v>
      </c>
      <c r="R187" s="309">
        <v>0</v>
      </c>
      <c r="S187" s="309">
        <v>0</v>
      </c>
      <c r="T187" s="309">
        <v>0</v>
      </c>
      <c r="U187" s="309">
        <v>0</v>
      </c>
      <c r="V187" s="309">
        <v>0</v>
      </c>
      <c r="W187" s="309">
        <v>0</v>
      </c>
      <c r="X187" s="309">
        <v>0</v>
      </c>
      <c r="Y187" s="309">
        <v>0</v>
      </c>
      <c r="Z187" s="309">
        <v>0</v>
      </c>
      <c r="AA187" s="309">
        <v>0</v>
      </c>
      <c r="AB187" s="309">
        <v>0</v>
      </c>
      <c r="AC187" s="309">
        <v>0</v>
      </c>
      <c r="AD187" s="309">
        <v>0</v>
      </c>
      <c r="AE187" s="309">
        <v>0</v>
      </c>
      <c r="AF187" s="309">
        <v>0</v>
      </c>
      <c r="AG187" s="309">
        <v>0</v>
      </c>
      <c r="AH187" s="309">
        <v>0</v>
      </c>
      <c r="AI187" s="309">
        <v>0</v>
      </c>
      <c r="AJ187" s="309">
        <v>0</v>
      </c>
      <c r="AK187" s="309">
        <v>0</v>
      </c>
      <c r="AL187" s="309">
        <v>0</v>
      </c>
      <c r="AM187" s="309">
        <v>0</v>
      </c>
      <c r="AN187" s="309">
        <v>0</v>
      </c>
      <c r="AO187" s="309">
        <v>0</v>
      </c>
      <c r="AP187" s="309">
        <v>0</v>
      </c>
      <c r="AQ187" s="309">
        <v>0</v>
      </c>
      <c r="AR187" s="309">
        <v>0</v>
      </c>
      <c r="AS187" s="309">
        <v>0</v>
      </c>
      <c r="AT187" s="309">
        <v>0</v>
      </c>
      <c r="AU187" s="309">
        <v>0</v>
      </c>
      <c r="AV187" s="309">
        <v>0</v>
      </c>
      <c r="AW187" s="309">
        <v>0</v>
      </c>
      <c r="AX187" s="309">
        <v>0</v>
      </c>
      <c r="AY187" s="309">
        <v>0</v>
      </c>
      <c r="AZ187" s="309">
        <v>0</v>
      </c>
      <c r="BA187" s="309">
        <v>0</v>
      </c>
      <c r="BB187" s="309">
        <v>0</v>
      </c>
      <c r="BC187" s="309">
        <v>0</v>
      </c>
      <c r="BD187" s="309">
        <v>0</v>
      </c>
      <c r="BE187" s="309">
        <v>0</v>
      </c>
      <c r="BF187" s="309">
        <v>0</v>
      </c>
    </row>
    <row r="188" spans="1:95" x14ac:dyDescent="0.2">
      <c r="A188" s="307" t="s">
        <v>434</v>
      </c>
      <c r="B188" s="309">
        <v>0</v>
      </c>
      <c r="C188" s="309">
        <v>0</v>
      </c>
      <c r="D188" s="309">
        <v>0</v>
      </c>
      <c r="E188" s="309">
        <v>0</v>
      </c>
      <c r="F188" s="309">
        <v>0</v>
      </c>
      <c r="G188" s="309">
        <v>0</v>
      </c>
      <c r="H188" s="309">
        <v>0</v>
      </c>
      <c r="I188" s="309">
        <v>8855804.3203369807</v>
      </c>
      <c r="J188" s="309">
        <v>0</v>
      </c>
      <c r="K188" s="309">
        <v>0</v>
      </c>
      <c r="L188" s="309">
        <v>0</v>
      </c>
      <c r="M188" s="309">
        <v>0</v>
      </c>
      <c r="N188" s="309">
        <v>0</v>
      </c>
      <c r="O188" s="309">
        <v>0</v>
      </c>
      <c r="P188" s="309">
        <v>0</v>
      </c>
      <c r="Q188" s="309">
        <v>0</v>
      </c>
      <c r="R188" s="309">
        <v>0</v>
      </c>
      <c r="S188" s="309">
        <v>0</v>
      </c>
      <c r="T188" s="309">
        <v>0</v>
      </c>
      <c r="U188" s="309">
        <v>0</v>
      </c>
      <c r="V188" s="309">
        <v>0</v>
      </c>
      <c r="W188" s="309">
        <v>0</v>
      </c>
      <c r="X188" s="309">
        <v>0</v>
      </c>
      <c r="Y188" s="309">
        <v>0</v>
      </c>
      <c r="Z188" s="309">
        <v>0</v>
      </c>
      <c r="AA188" s="309">
        <v>0</v>
      </c>
      <c r="AB188" s="309">
        <v>0</v>
      </c>
      <c r="AC188" s="309">
        <v>0</v>
      </c>
      <c r="AD188" s="309">
        <v>0</v>
      </c>
      <c r="AE188" s="309">
        <v>0</v>
      </c>
      <c r="AF188" s="309">
        <v>0</v>
      </c>
      <c r="AG188" s="309">
        <v>0</v>
      </c>
      <c r="AH188" s="309">
        <v>0</v>
      </c>
      <c r="AI188" s="309">
        <v>0</v>
      </c>
      <c r="AJ188" s="309">
        <v>0</v>
      </c>
      <c r="AK188" s="309">
        <v>0</v>
      </c>
      <c r="AL188" s="309">
        <v>0</v>
      </c>
      <c r="AM188" s="309">
        <v>0</v>
      </c>
      <c r="AN188" s="309">
        <v>0</v>
      </c>
      <c r="AO188" s="309">
        <v>0</v>
      </c>
      <c r="AP188" s="309">
        <v>0</v>
      </c>
      <c r="AQ188" s="309">
        <v>0</v>
      </c>
      <c r="AR188" s="309">
        <v>0</v>
      </c>
      <c r="AS188" s="309">
        <v>0</v>
      </c>
      <c r="AT188" s="309">
        <v>0</v>
      </c>
      <c r="AU188" s="309">
        <v>0</v>
      </c>
      <c r="AV188" s="309">
        <v>0</v>
      </c>
      <c r="AW188" s="309">
        <v>0</v>
      </c>
      <c r="AX188" s="309">
        <v>0</v>
      </c>
      <c r="AY188" s="309">
        <v>0</v>
      </c>
      <c r="AZ188" s="309">
        <v>0</v>
      </c>
      <c r="BA188" s="309">
        <v>0</v>
      </c>
      <c r="BB188" s="309">
        <v>0</v>
      </c>
      <c r="BC188" s="309">
        <v>0</v>
      </c>
      <c r="BD188" s="309">
        <v>0</v>
      </c>
      <c r="BE188" s="309">
        <v>0</v>
      </c>
      <c r="BF188" s="309">
        <v>0</v>
      </c>
    </row>
    <row r="189" spans="1:95" x14ac:dyDescent="0.2">
      <c r="A189" s="307" t="s">
        <v>641</v>
      </c>
      <c r="B189" s="309">
        <v>0</v>
      </c>
      <c r="C189" s="309">
        <v>0</v>
      </c>
      <c r="D189" s="309">
        <v>0</v>
      </c>
      <c r="E189" s="309">
        <v>0</v>
      </c>
      <c r="F189" s="309">
        <v>0</v>
      </c>
      <c r="G189" s="309">
        <v>0</v>
      </c>
      <c r="H189" s="309">
        <v>0</v>
      </c>
      <c r="I189" s="309">
        <v>0</v>
      </c>
      <c r="J189" s="309">
        <v>0</v>
      </c>
      <c r="K189" s="309">
        <v>0</v>
      </c>
      <c r="L189" s="309">
        <v>0</v>
      </c>
      <c r="M189" s="309">
        <v>0</v>
      </c>
      <c r="N189" s="309">
        <v>0</v>
      </c>
      <c r="O189" s="309">
        <v>0</v>
      </c>
      <c r="P189" s="309">
        <v>0</v>
      </c>
      <c r="Q189" s="309">
        <v>0</v>
      </c>
      <c r="R189" s="309">
        <v>0</v>
      </c>
      <c r="S189" s="309">
        <v>0</v>
      </c>
      <c r="T189" s="309">
        <v>0</v>
      </c>
      <c r="U189" s="309">
        <v>0</v>
      </c>
      <c r="V189" s="309">
        <v>0</v>
      </c>
      <c r="W189" s="309">
        <v>0</v>
      </c>
      <c r="X189" s="309">
        <v>0</v>
      </c>
      <c r="Y189" s="309">
        <v>0</v>
      </c>
      <c r="Z189" s="309">
        <v>0</v>
      </c>
      <c r="AA189" s="309">
        <v>0</v>
      </c>
      <c r="AB189" s="309">
        <v>0</v>
      </c>
      <c r="AC189" s="309">
        <v>0</v>
      </c>
      <c r="AD189" s="309">
        <v>0</v>
      </c>
      <c r="AE189" s="309">
        <v>0</v>
      </c>
      <c r="AF189" s="309">
        <v>0</v>
      </c>
      <c r="AG189" s="309">
        <v>0</v>
      </c>
      <c r="AH189" s="309">
        <v>0</v>
      </c>
      <c r="AI189" s="309">
        <v>0</v>
      </c>
      <c r="AJ189" s="309">
        <v>0</v>
      </c>
      <c r="AK189" s="309">
        <v>0</v>
      </c>
      <c r="AL189" s="309">
        <v>0</v>
      </c>
      <c r="AM189" s="309">
        <v>0</v>
      </c>
      <c r="AN189" s="309">
        <v>0</v>
      </c>
      <c r="AO189" s="309">
        <v>0</v>
      </c>
      <c r="AP189" s="309">
        <v>0</v>
      </c>
      <c r="AQ189" s="309">
        <v>0</v>
      </c>
      <c r="AR189" s="309">
        <v>0</v>
      </c>
      <c r="AS189" s="309">
        <v>16030.243919636299</v>
      </c>
      <c r="AT189" s="309">
        <v>0</v>
      </c>
      <c r="AU189" s="309">
        <v>0</v>
      </c>
      <c r="AV189" s="309">
        <v>0</v>
      </c>
      <c r="AW189" s="309">
        <v>0</v>
      </c>
      <c r="AX189" s="309">
        <v>0</v>
      </c>
      <c r="AY189" s="309">
        <v>0</v>
      </c>
      <c r="AZ189" s="309">
        <v>0</v>
      </c>
      <c r="BA189" s="309">
        <v>0</v>
      </c>
      <c r="BB189" s="309">
        <v>0</v>
      </c>
      <c r="BC189" s="309">
        <v>0</v>
      </c>
      <c r="BD189" s="309">
        <v>0</v>
      </c>
      <c r="BE189" s="309">
        <v>0</v>
      </c>
      <c r="BF189" s="309">
        <v>0</v>
      </c>
    </row>
    <row r="190" spans="1:95" x14ac:dyDescent="0.2">
      <c r="A190" s="307" t="s">
        <v>642</v>
      </c>
      <c r="B190" s="309">
        <v>0</v>
      </c>
      <c r="C190" s="309">
        <v>0</v>
      </c>
      <c r="D190" s="309">
        <v>0</v>
      </c>
      <c r="E190" s="309">
        <v>0</v>
      </c>
      <c r="F190" s="309">
        <v>0</v>
      </c>
      <c r="G190" s="309">
        <v>0</v>
      </c>
      <c r="H190" s="309">
        <v>0</v>
      </c>
      <c r="I190" s="309">
        <v>0</v>
      </c>
      <c r="J190" s="309">
        <v>0</v>
      </c>
      <c r="K190" s="309">
        <v>0</v>
      </c>
      <c r="L190" s="309">
        <v>0</v>
      </c>
      <c r="M190" s="309">
        <v>0</v>
      </c>
      <c r="N190" s="309">
        <v>0</v>
      </c>
      <c r="O190" s="309">
        <v>0</v>
      </c>
      <c r="P190" s="309">
        <v>0</v>
      </c>
      <c r="Q190" s="309">
        <v>0</v>
      </c>
      <c r="R190" s="309">
        <v>0</v>
      </c>
      <c r="S190" s="309">
        <v>0</v>
      </c>
      <c r="T190" s="309">
        <v>0</v>
      </c>
      <c r="U190" s="309">
        <v>0</v>
      </c>
      <c r="V190" s="309">
        <v>0</v>
      </c>
      <c r="W190" s="309">
        <v>0</v>
      </c>
      <c r="X190" s="309">
        <v>0</v>
      </c>
      <c r="Y190" s="309">
        <v>0</v>
      </c>
      <c r="Z190" s="309">
        <v>0</v>
      </c>
      <c r="AA190" s="309">
        <v>0</v>
      </c>
      <c r="AB190" s="309">
        <v>0</v>
      </c>
      <c r="AC190" s="309">
        <v>0</v>
      </c>
      <c r="AD190" s="309">
        <v>0</v>
      </c>
      <c r="AE190" s="309">
        <v>0</v>
      </c>
      <c r="AF190" s="309">
        <v>0</v>
      </c>
      <c r="AG190" s="309">
        <v>0</v>
      </c>
      <c r="AH190" s="309">
        <v>0</v>
      </c>
      <c r="AI190" s="309">
        <v>0</v>
      </c>
      <c r="AJ190" s="309">
        <v>0</v>
      </c>
      <c r="AK190" s="309">
        <v>0</v>
      </c>
      <c r="AL190" s="309">
        <v>0</v>
      </c>
      <c r="AM190" s="309">
        <v>0</v>
      </c>
      <c r="AN190" s="309">
        <v>0</v>
      </c>
      <c r="AO190" s="309">
        <v>0</v>
      </c>
      <c r="AP190" s="309">
        <v>0</v>
      </c>
      <c r="AQ190" s="309">
        <v>3202004.12978845</v>
      </c>
      <c r="AR190" s="309">
        <v>0</v>
      </c>
      <c r="AS190" s="309">
        <v>0</v>
      </c>
      <c r="AT190" s="309">
        <v>0</v>
      </c>
      <c r="AU190" s="309">
        <v>0</v>
      </c>
      <c r="AV190" s="309">
        <v>0</v>
      </c>
      <c r="AW190" s="309">
        <v>0</v>
      </c>
      <c r="AX190" s="309">
        <v>0</v>
      </c>
      <c r="AY190" s="309">
        <v>0</v>
      </c>
      <c r="AZ190" s="309">
        <v>0</v>
      </c>
      <c r="BA190" s="309">
        <v>0</v>
      </c>
      <c r="BB190" s="309">
        <v>0</v>
      </c>
      <c r="BC190" s="309">
        <v>0</v>
      </c>
      <c r="BD190" s="309">
        <v>0</v>
      </c>
      <c r="BE190" s="309">
        <v>0</v>
      </c>
      <c r="BF190" s="309">
        <v>0</v>
      </c>
    </row>
    <row r="191" spans="1:95" x14ac:dyDescent="0.2">
      <c r="A191" s="307" t="s">
        <v>516</v>
      </c>
      <c r="B191" s="309">
        <v>0</v>
      </c>
      <c r="C191" s="309">
        <v>0</v>
      </c>
      <c r="D191" s="309">
        <v>0</v>
      </c>
      <c r="E191" s="309">
        <v>0</v>
      </c>
      <c r="F191" s="309">
        <v>0</v>
      </c>
      <c r="G191" s="309">
        <v>0</v>
      </c>
      <c r="H191" s="309">
        <v>0</v>
      </c>
      <c r="I191" s="309">
        <v>0</v>
      </c>
      <c r="J191" s="309">
        <v>0</v>
      </c>
      <c r="K191" s="309">
        <v>0</v>
      </c>
      <c r="L191" s="309">
        <v>0</v>
      </c>
      <c r="M191" s="309">
        <v>0</v>
      </c>
      <c r="N191" s="309">
        <v>0</v>
      </c>
      <c r="O191" s="309">
        <v>0</v>
      </c>
      <c r="P191" s="309">
        <v>0</v>
      </c>
      <c r="Q191" s="309">
        <v>0</v>
      </c>
      <c r="R191" s="309">
        <v>0</v>
      </c>
      <c r="S191" s="309">
        <v>0</v>
      </c>
      <c r="T191" s="309">
        <v>0</v>
      </c>
      <c r="U191" s="309">
        <v>0</v>
      </c>
      <c r="V191" s="309">
        <v>0</v>
      </c>
      <c r="W191" s="309">
        <v>0</v>
      </c>
      <c r="X191" s="309">
        <v>0</v>
      </c>
      <c r="Y191" s="309">
        <v>0</v>
      </c>
      <c r="Z191" s="309">
        <v>0</v>
      </c>
      <c r="AA191" s="309">
        <v>0</v>
      </c>
      <c r="AB191" s="309">
        <v>0</v>
      </c>
      <c r="AC191" s="309">
        <v>0</v>
      </c>
      <c r="AD191" s="309">
        <v>0</v>
      </c>
      <c r="AE191" s="309">
        <v>0</v>
      </c>
      <c r="AF191" s="309">
        <v>0</v>
      </c>
      <c r="AG191" s="309">
        <v>0</v>
      </c>
      <c r="AH191" s="309">
        <v>0</v>
      </c>
      <c r="AI191" s="309">
        <v>0</v>
      </c>
      <c r="AJ191" s="309">
        <v>0</v>
      </c>
      <c r="AK191" s="309">
        <v>0</v>
      </c>
      <c r="AL191" s="309">
        <v>0</v>
      </c>
      <c r="AM191" s="309">
        <v>0</v>
      </c>
      <c r="AN191" s="309">
        <v>0</v>
      </c>
      <c r="AO191" s="309">
        <v>0</v>
      </c>
      <c r="AP191" s="309">
        <v>0</v>
      </c>
      <c r="AQ191" s="309">
        <v>0</v>
      </c>
      <c r="AR191" s="309">
        <v>0</v>
      </c>
      <c r="AS191" s="309">
        <v>0</v>
      </c>
      <c r="AT191" s="309">
        <v>0</v>
      </c>
      <c r="AU191" s="309">
        <v>0</v>
      </c>
      <c r="AV191" s="309">
        <v>0</v>
      </c>
      <c r="AW191" s="309">
        <v>0</v>
      </c>
      <c r="AX191" s="309">
        <v>0</v>
      </c>
      <c r="AY191" s="309">
        <v>0</v>
      </c>
      <c r="AZ191" s="309">
        <v>0</v>
      </c>
      <c r="BA191" s="309">
        <v>0</v>
      </c>
      <c r="BB191" s="309">
        <v>0</v>
      </c>
      <c r="BC191" s="309">
        <v>4043367.3234254499</v>
      </c>
      <c r="BD191" s="309">
        <v>0</v>
      </c>
      <c r="BE191" s="309">
        <v>0</v>
      </c>
      <c r="BF191" s="309">
        <v>0</v>
      </c>
    </row>
    <row r="192" spans="1:95" x14ac:dyDescent="0.2">
      <c r="A192" s="307" t="s">
        <v>514</v>
      </c>
      <c r="B192" s="309">
        <v>0</v>
      </c>
      <c r="C192" s="309">
        <v>0</v>
      </c>
      <c r="D192" s="309">
        <v>0</v>
      </c>
      <c r="E192" s="309">
        <v>0</v>
      </c>
      <c r="F192" s="309">
        <v>0</v>
      </c>
      <c r="G192" s="309">
        <v>0</v>
      </c>
      <c r="H192" s="309">
        <v>0</v>
      </c>
      <c r="I192" s="309">
        <v>0</v>
      </c>
      <c r="J192" s="309">
        <v>0</v>
      </c>
      <c r="K192" s="309">
        <v>0</v>
      </c>
      <c r="L192" s="309">
        <v>0</v>
      </c>
      <c r="M192" s="309">
        <v>0</v>
      </c>
      <c r="N192" s="309">
        <v>0</v>
      </c>
      <c r="O192" s="309">
        <v>0</v>
      </c>
      <c r="P192" s="309">
        <v>0</v>
      </c>
      <c r="Q192" s="309">
        <v>0</v>
      </c>
      <c r="R192" s="309">
        <v>0</v>
      </c>
      <c r="S192" s="309">
        <v>0</v>
      </c>
      <c r="T192" s="309">
        <v>0</v>
      </c>
      <c r="U192" s="309">
        <v>0</v>
      </c>
      <c r="V192" s="309">
        <v>0</v>
      </c>
      <c r="W192" s="309">
        <v>0</v>
      </c>
      <c r="X192" s="309">
        <v>0</v>
      </c>
      <c r="Y192" s="309">
        <v>0</v>
      </c>
      <c r="Z192" s="309">
        <v>0</v>
      </c>
      <c r="AA192" s="309">
        <v>0</v>
      </c>
      <c r="AB192" s="309">
        <v>0</v>
      </c>
      <c r="AC192" s="309">
        <v>0</v>
      </c>
      <c r="AD192" s="309">
        <v>0</v>
      </c>
      <c r="AE192" s="309">
        <v>0</v>
      </c>
      <c r="AF192" s="309">
        <v>0</v>
      </c>
      <c r="AG192" s="309">
        <v>0</v>
      </c>
      <c r="AH192" s="309">
        <v>0</v>
      </c>
      <c r="AI192" s="309">
        <v>0</v>
      </c>
      <c r="AJ192" s="309">
        <v>0</v>
      </c>
      <c r="AK192" s="309">
        <v>0</v>
      </c>
      <c r="AL192" s="309">
        <v>0</v>
      </c>
      <c r="AM192" s="309">
        <v>0</v>
      </c>
      <c r="AN192" s="309">
        <v>0</v>
      </c>
      <c r="AO192" s="309">
        <v>0</v>
      </c>
      <c r="AP192" s="309">
        <v>0</v>
      </c>
      <c r="AQ192" s="309">
        <v>0</v>
      </c>
      <c r="AR192" s="309">
        <v>0</v>
      </c>
      <c r="AS192" s="309">
        <v>0</v>
      </c>
      <c r="AT192" s="309">
        <v>0</v>
      </c>
      <c r="AU192" s="309">
        <v>0</v>
      </c>
      <c r="AV192" s="309">
        <v>0</v>
      </c>
      <c r="AW192" s="309">
        <v>0</v>
      </c>
      <c r="AX192" s="309">
        <v>0</v>
      </c>
      <c r="AY192" s="309">
        <v>0</v>
      </c>
      <c r="AZ192" s="309">
        <v>0</v>
      </c>
      <c r="BA192" s="309">
        <v>0</v>
      </c>
      <c r="BB192" s="309">
        <v>0</v>
      </c>
      <c r="BC192" s="309">
        <v>0</v>
      </c>
      <c r="BD192" s="309">
        <v>4043367.3234254499</v>
      </c>
      <c r="BE192" s="309">
        <v>0</v>
      </c>
      <c r="BF192" s="309">
        <v>0</v>
      </c>
    </row>
    <row r="193" spans="1:58" x14ac:dyDescent="0.2">
      <c r="A193" s="307" t="s">
        <v>344</v>
      </c>
      <c r="B193" s="309">
        <v>6408288.6211381704</v>
      </c>
      <c r="C193" s="309">
        <v>0</v>
      </c>
      <c r="D193" s="309">
        <v>8991.6203231094005</v>
      </c>
      <c r="E193" s="309">
        <v>0</v>
      </c>
      <c r="F193" s="309">
        <v>0</v>
      </c>
      <c r="G193" s="309">
        <v>0</v>
      </c>
      <c r="H193" s="309">
        <v>0</v>
      </c>
      <c r="I193" s="309">
        <v>0</v>
      </c>
      <c r="J193" s="309">
        <v>0</v>
      </c>
      <c r="K193" s="309">
        <v>4026178.1360752499</v>
      </c>
      <c r="L193" s="309">
        <v>0</v>
      </c>
      <c r="M193" s="309">
        <v>0</v>
      </c>
      <c r="N193" s="309">
        <v>0</v>
      </c>
      <c r="O193" s="309">
        <v>303788.26554911397</v>
      </c>
      <c r="P193" s="309">
        <v>0</v>
      </c>
      <c r="Q193" s="309">
        <v>0</v>
      </c>
      <c r="R193" s="309">
        <v>0</v>
      </c>
      <c r="S193" s="309">
        <v>0</v>
      </c>
      <c r="T193" s="309">
        <v>0</v>
      </c>
      <c r="U193" s="309">
        <v>0</v>
      </c>
      <c r="V193" s="309">
        <v>0</v>
      </c>
      <c r="W193" s="309">
        <v>0</v>
      </c>
      <c r="X193" s="309">
        <v>0</v>
      </c>
      <c r="Y193" s="309">
        <v>0</v>
      </c>
      <c r="Z193" s="309">
        <v>0</v>
      </c>
      <c r="AA193" s="309">
        <v>0</v>
      </c>
      <c r="AB193" s="309">
        <v>0</v>
      </c>
      <c r="AC193" s="309">
        <v>0</v>
      </c>
      <c r="AD193" s="309">
        <v>0</v>
      </c>
      <c r="AE193" s="309">
        <v>0</v>
      </c>
      <c r="AF193" s="309">
        <v>0</v>
      </c>
      <c r="AG193" s="309">
        <v>0</v>
      </c>
      <c r="AH193" s="309">
        <v>0</v>
      </c>
      <c r="AI193" s="309">
        <v>0</v>
      </c>
      <c r="AJ193" s="309">
        <v>0</v>
      </c>
      <c r="AK193" s="309">
        <v>0</v>
      </c>
      <c r="AL193" s="309">
        <v>0</v>
      </c>
      <c r="AM193" s="309">
        <v>0</v>
      </c>
      <c r="AN193" s="309">
        <v>0</v>
      </c>
      <c r="AO193" s="309">
        <v>0</v>
      </c>
      <c r="AP193" s="309">
        <v>0</v>
      </c>
      <c r="AQ193" s="309">
        <v>0</v>
      </c>
      <c r="AR193" s="309">
        <v>0</v>
      </c>
      <c r="AS193" s="309">
        <v>0</v>
      </c>
      <c r="AT193" s="309">
        <v>0</v>
      </c>
      <c r="AU193" s="309">
        <v>0</v>
      </c>
      <c r="AV193" s="309">
        <v>0</v>
      </c>
      <c r="AW193" s="309">
        <v>0</v>
      </c>
      <c r="AX193" s="309">
        <v>0</v>
      </c>
      <c r="AY193" s="309">
        <v>0</v>
      </c>
      <c r="AZ193" s="309">
        <v>0</v>
      </c>
      <c r="BA193" s="309">
        <v>0</v>
      </c>
      <c r="BB193" s="309">
        <v>955411.77850757004</v>
      </c>
      <c r="BC193" s="309">
        <v>0</v>
      </c>
      <c r="BD193" s="309">
        <v>0</v>
      </c>
      <c r="BE193" s="309">
        <v>0</v>
      </c>
      <c r="BF193" s="309">
        <v>0</v>
      </c>
    </row>
    <row r="194" spans="1:58" x14ac:dyDescent="0.2">
      <c r="A194" s="307" t="s">
        <v>643</v>
      </c>
      <c r="B194" s="309">
        <v>0</v>
      </c>
      <c r="C194" s="309">
        <v>0</v>
      </c>
      <c r="D194" s="309">
        <v>0</v>
      </c>
      <c r="E194" s="309">
        <v>0</v>
      </c>
      <c r="F194" s="309">
        <v>0</v>
      </c>
      <c r="G194" s="309">
        <v>0</v>
      </c>
      <c r="H194" s="309">
        <v>0</v>
      </c>
      <c r="I194" s="309">
        <v>0</v>
      </c>
      <c r="J194" s="309">
        <v>0</v>
      </c>
      <c r="K194" s="309">
        <v>0</v>
      </c>
      <c r="L194" s="309">
        <v>0</v>
      </c>
      <c r="M194" s="309">
        <v>0</v>
      </c>
      <c r="N194" s="309">
        <v>0</v>
      </c>
      <c r="O194" s="309">
        <v>0</v>
      </c>
      <c r="P194" s="309">
        <v>0</v>
      </c>
      <c r="Q194" s="309">
        <v>0</v>
      </c>
      <c r="R194" s="309">
        <v>0</v>
      </c>
      <c r="S194" s="309">
        <v>0</v>
      </c>
      <c r="T194" s="309">
        <v>0</v>
      </c>
      <c r="U194" s="309">
        <v>0</v>
      </c>
      <c r="V194" s="309">
        <v>0</v>
      </c>
      <c r="W194" s="309">
        <v>0</v>
      </c>
      <c r="X194" s="309">
        <v>0</v>
      </c>
      <c r="Y194" s="309">
        <v>0</v>
      </c>
      <c r="Z194" s="309">
        <v>0</v>
      </c>
      <c r="AA194" s="309">
        <v>0</v>
      </c>
      <c r="AB194" s="309">
        <v>0</v>
      </c>
      <c r="AC194" s="309">
        <v>0</v>
      </c>
      <c r="AD194" s="309">
        <v>0</v>
      </c>
      <c r="AE194" s="309">
        <v>0</v>
      </c>
      <c r="AF194" s="309">
        <v>0</v>
      </c>
      <c r="AG194" s="309">
        <v>0</v>
      </c>
      <c r="AH194" s="309">
        <v>0</v>
      </c>
      <c r="AI194" s="309">
        <v>0</v>
      </c>
      <c r="AJ194" s="309">
        <v>0</v>
      </c>
      <c r="AK194" s="309">
        <v>0</v>
      </c>
      <c r="AL194" s="309">
        <v>0</v>
      </c>
      <c r="AM194" s="309">
        <v>0</v>
      </c>
      <c r="AN194" s="309">
        <v>0</v>
      </c>
      <c r="AO194" s="309">
        <v>0</v>
      </c>
      <c r="AP194" s="309">
        <v>0</v>
      </c>
      <c r="AQ194" s="309">
        <v>0</v>
      </c>
      <c r="AR194" s="309">
        <v>0</v>
      </c>
      <c r="AS194" s="309">
        <v>5653.4469866310001</v>
      </c>
      <c r="AT194" s="309">
        <v>0</v>
      </c>
      <c r="AU194" s="309">
        <v>0</v>
      </c>
      <c r="AV194" s="309">
        <v>0</v>
      </c>
      <c r="AW194" s="309">
        <v>0</v>
      </c>
      <c r="AX194" s="309">
        <v>0</v>
      </c>
      <c r="AY194" s="309">
        <v>0</v>
      </c>
      <c r="AZ194" s="309">
        <v>0</v>
      </c>
      <c r="BA194" s="309">
        <v>0</v>
      </c>
      <c r="BB194" s="309">
        <v>0</v>
      </c>
      <c r="BC194" s="309">
        <v>0</v>
      </c>
      <c r="BD194" s="309">
        <v>0</v>
      </c>
      <c r="BE194" s="309">
        <v>0</v>
      </c>
      <c r="BF194" s="309">
        <v>0</v>
      </c>
    </row>
    <row r="195" spans="1:58" x14ac:dyDescent="0.2">
      <c r="A195" s="307" t="s">
        <v>351</v>
      </c>
      <c r="B195" s="309">
        <v>0</v>
      </c>
      <c r="C195" s="309">
        <v>0</v>
      </c>
      <c r="D195" s="309">
        <v>0</v>
      </c>
      <c r="E195" s="309">
        <v>0</v>
      </c>
      <c r="F195" s="309">
        <v>0</v>
      </c>
      <c r="G195" s="309">
        <v>0</v>
      </c>
      <c r="H195" s="309">
        <v>0</v>
      </c>
      <c r="I195" s="309">
        <v>0</v>
      </c>
      <c r="J195" s="309">
        <v>0</v>
      </c>
      <c r="K195" s="309">
        <v>0</v>
      </c>
      <c r="L195" s="309">
        <v>0</v>
      </c>
      <c r="M195" s="309">
        <v>0</v>
      </c>
      <c r="N195" s="309">
        <v>0</v>
      </c>
      <c r="O195" s="309">
        <v>0</v>
      </c>
      <c r="P195" s="309">
        <v>0</v>
      </c>
      <c r="Q195" s="309">
        <v>0</v>
      </c>
      <c r="R195" s="309">
        <v>0</v>
      </c>
      <c r="S195" s="309">
        <v>0</v>
      </c>
      <c r="T195" s="309">
        <v>0</v>
      </c>
      <c r="U195" s="309">
        <v>0</v>
      </c>
      <c r="V195" s="309">
        <v>0</v>
      </c>
      <c r="W195" s="309">
        <v>0</v>
      </c>
      <c r="X195" s="309">
        <v>0</v>
      </c>
      <c r="Y195" s="309">
        <v>88071.706245154506</v>
      </c>
      <c r="Z195" s="309">
        <v>0</v>
      </c>
      <c r="AA195" s="309">
        <v>0</v>
      </c>
      <c r="AB195" s="309">
        <v>0</v>
      </c>
      <c r="AC195" s="309">
        <v>21722.892325740399</v>
      </c>
      <c r="AD195" s="309">
        <v>0</v>
      </c>
      <c r="AE195" s="309">
        <v>0</v>
      </c>
      <c r="AF195" s="309">
        <v>0</v>
      </c>
      <c r="AG195" s="309">
        <v>0</v>
      </c>
      <c r="AH195" s="309">
        <v>0</v>
      </c>
      <c r="AI195" s="309">
        <v>0</v>
      </c>
      <c r="AJ195" s="309">
        <v>0</v>
      </c>
      <c r="AK195" s="309">
        <v>0</v>
      </c>
      <c r="AL195" s="309">
        <v>0</v>
      </c>
      <c r="AM195" s="309">
        <v>0</v>
      </c>
      <c r="AN195" s="309">
        <v>0</v>
      </c>
      <c r="AO195" s="309">
        <v>0</v>
      </c>
      <c r="AP195" s="309">
        <v>0</v>
      </c>
      <c r="AQ195" s="309">
        <v>0</v>
      </c>
      <c r="AR195" s="309">
        <v>0</v>
      </c>
      <c r="AS195" s="309">
        <v>0</v>
      </c>
      <c r="AT195" s="309">
        <v>0</v>
      </c>
      <c r="AU195" s="309">
        <v>0</v>
      </c>
      <c r="AV195" s="309">
        <v>0</v>
      </c>
      <c r="AW195" s="309">
        <v>0</v>
      </c>
      <c r="AX195" s="309">
        <v>0</v>
      </c>
      <c r="AY195" s="309">
        <v>0</v>
      </c>
      <c r="AZ195" s="309">
        <v>0</v>
      </c>
      <c r="BA195" s="309">
        <v>0</v>
      </c>
      <c r="BB195" s="309">
        <v>0</v>
      </c>
      <c r="BC195" s="309">
        <v>0</v>
      </c>
      <c r="BD195" s="309">
        <v>0</v>
      </c>
      <c r="BE195" s="309">
        <v>0</v>
      </c>
      <c r="BF195" s="309">
        <v>0</v>
      </c>
    </row>
    <row r="196" spans="1:58" x14ac:dyDescent="0.2">
      <c r="A196" s="307" t="s">
        <v>325</v>
      </c>
      <c r="B196" s="309">
        <v>0</v>
      </c>
      <c r="C196" s="309">
        <v>0</v>
      </c>
      <c r="D196" s="309">
        <v>0</v>
      </c>
      <c r="E196" s="309">
        <v>0</v>
      </c>
      <c r="F196" s="309">
        <v>0</v>
      </c>
      <c r="G196" s="309">
        <v>0</v>
      </c>
      <c r="H196" s="309">
        <v>0</v>
      </c>
      <c r="I196" s="309">
        <v>0</v>
      </c>
      <c r="J196" s="309">
        <v>0</v>
      </c>
      <c r="K196" s="309">
        <v>0</v>
      </c>
      <c r="L196" s="309">
        <v>0</v>
      </c>
      <c r="M196" s="309">
        <v>0</v>
      </c>
      <c r="N196" s="309">
        <v>0</v>
      </c>
      <c r="O196" s="309">
        <v>0</v>
      </c>
      <c r="P196" s="309">
        <v>2244.7960862667501</v>
      </c>
      <c r="Q196" s="309">
        <v>0</v>
      </c>
      <c r="R196" s="309">
        <v>0</v>
      </c>
      <c r="S196" s="309">
        <v>0</v>
      </c>
      <c r="T196" s="309">
        <v>0</v>
      </c>
      <c r="U196" s="309">
        <v>0</v>
      </c>
      <c r="V196" s="309">
        <v>0</v>
      </c>
      <c r="W196" s="309">
        <v>0</v>
      </c>
      <c r="X196" s="309">
        <v>0</v>
      </c>
      <c r="Y196" s="309">
        <v>0</v>
      </c>
      <c r="Z196" s="309">
        <v>108184.85967288</v>
      </c>
      <c r="AA196" s="309">
        <v>0</v>
      </c>
      <c r="AB196" s="309">
        <v>0</v>
      </c>
      <c r="AC196" s="309">
        <v>0</v>
      </c>
      <c r="AD196" s="309">
        <v>0</v>
      </c>
      <c r="AE196" s="309">
        <v>0</v>
      </c>
      <c r="AF196" s="309">
        <v>0</v>
      </c>
      <c r="AG196" s="309">
        <v>0</v>
      </c>
      <c r="AH196" s="309">
        <v>0</v>
      </c>
      <c r="AI196" s="309">
        <v>0</v>
      </c>
      <c r="AJ196" s="309">
        <v>0</v>
      </c>
      <c r="AK196" s="309">
        <v>0</v>
      </c>
      <c r="AL196" s="309">
        <v>0</v>
      </c>
      <c r="AM196" s="309">
        <v>0</v>
      </c>
      <c r="AN196" s="309">
        <v>0</v>
      </c>
      <c r="AO196" s="309">
        <v>0</v>
      </c>
      <c r="AP196" s="309">
        <v>0</v>
      </c>
      <c r="AQ196" s="309">
        <v>0</v>
      </c>
      <c r="AR196" s="309">
        <v>0</v>
      </c>
      <c r="AS196" s="309">
        <v>0</v>
      </c>
      <c r="AT196" s="309">
        <v>0</v>
      </c>
      <c r="AU196" s="309">
        <v>0</v>
      </c>
      <c r="AV196" s="309">
        <v>0</v>
      </c>
      <c r="AW196" s="309">
        <v>0</v>
      </c>
      <c r="AX196" s="309">
        <v>0</v>
      </c>
      <c r="AY196" s="309">
        <v>0</v>
      </c>
      <c r="AZ196" s="309">
        <v>0</v>
      </c>
      <c r="BA196" s="309">
        <v>0</v>
      </c>
      <c r="BB196" s="309">
        <v>0</v>
      </c>
      <c r="BC196" s="309">
        <v>0</v>
      </c>
      <c r="BD196" s="309">
        <v>0</v>
      </c>
      <c r="BE196" s="309">
        <v>0</v>
      </c>
      <c r="BF196" s="309">
        <v>0</v>
      </c>
    </row>
    <row r="197" spans="1:58" x14ac:dyDescent="0.2">
      <c r="A197" s="307" t="s">
        <v>455</v>
      </c>
      <c r="B197" s="309">
        <v>0</v>
      </c>
      <c r="C197" s="309">
        <v>0</v>
      </c>
      <c r="D197" s="309">
        <v>0</v>
      </c>
      <c r="E197" s="309">
        <v>0</v>
      </c>
      <c r="F197" s="309">
        <v>0</v>
      </c>
      <c r="G197" s="309">
        <v>0</v>
      </c>
      <c r="H197" s="309">
        <v>0</v>
      </c>
      <c r="I197" s="309">
        <v>0</v>
      </c>
      <c r="J197" s="309">
        <v>0</v>
      </c>
      <c r="K197" s="309">
        <v>0</v>
      </c>
      <c r="L197" s="309">
        <v>0</v>
      </c>
      <c r="M197" s="309">
        <v>0</v>
      </c>
      <c r="N197" s="309">
        <v>0</v>
      </c>
      <c r="O197" s="309">
        <v>0</v>
      </c>
      <c r="P197" s="309">
        <v>0</v>
      </c>
      <c r="Q197" s="309">
        <v>0</v>
      </c>
      <c r="R197" s="309">
        <v>0</v>
      </c>
      <c r="S197" s="309">
        <v>0</v>
      </c>
      <c r="T197" s="309">
        <v>0</v>
      </c>
      <c r="U197" s="309">
        <v>0</v>
      </c>
      <c r="V197" s="309">
        <v>0</v>
      </c>
      <c r="W197" s="309">
        <v>0</v>
      </c>
      <c r="X197" s="309">
        <v>0</v>
      </c>
      <c r="Y197" s="309">
        <v>0</v>
      </c>
      <c r="Z197" s="309">
        <v>0</v>
      </c>
      <c r="AA197" s="309">
        <v>108184.85967288</v>
      </c>
      <c r="AB197" s="309">
        <v>0</v>
      </c>
      <c r="AC197" s="309">
        <v>0</v>
      </c>
      <c r="AD197" s="309">
        <v>0</v>
      </c>
      <c r="AE197" s="309">
        <v>0</v>
      </c>
      <c r="AF197" s="309">
        <v>0</v>
      </c>
      <c r="AG197" s="309">
        <v>0</v>
      </c>
      <c r="AH197" s="309">
        <v>0</v>
      </c>
      <c r="AI197" s="309">
        <v>0</v>
      </c>
      <c r="AJ197" s="309">
        <v>0</v>
      </c>
      <c r="AK197" s="309">
        <v>0</v>
      </c>
      <c r="AL197" s="309">
        <v>0</v>
      </c>
      <c r="AM197" s="309">
        <v>0</v>
      </c>
      <c r="AN197" s="309">
        <v>0</v>
      </c>
      <c r="AO197" s="309">
        <v>0</v>
      </c>
      <c r="AP197" s="309">
        <v>0</v>
      </c>
      <c r="AQ197" s="309">
        <v>0</v>
      </c>
      <c r="AR197" s="309">
        <v>0</v>
      </c>
      <c r="AS197" s="309">
        <v>0</v>
      </c>
      <c r="AT197" s="309">
        <v>0</v>
      </c>
      <c r="AU197" s="309">
        <v>0</v>
      </c>
      <c r="AV197" s="309">
        <v>0</v>
      </c>
      <c r="AW197" s="309">
        <v>0</v>
      </c>
      <c r="AX197" s="309">
        <v>0</v>
      </c>
      <c r="AY197" s="309">
        <v>0</v>
      </c>
      <c r="AZ197" s="309">
        <v>0</v>
      </c>
      <c r="BA197" s="309">
        <v>0</v>
      </c>
      <c r="BB197" s="309">
        <v>0</v>
      </c>
      <c r="BC197" s="309">
        <v>0</v>
      </c>
      <c r="BD197" s="309">
        <v>0</v>
      </c>
      <c r="BE197" s="309">
        <v>0</v>
      </c>
      <c r="BF197" s="309">
        <v>0</v>
      </c>
    </row>
    <row r="198" spans="1:58" x14ac:dyDescent="0.2">
      <c r="A198" s="307" t="s">
        <v>348</v>
      </c>
      <c r="B198" s="309">
        <v>0</v>
      </c>
      <c r="C198" s="309">
        <v>0</v>
      </c>
      <c r="D198" s="309">
        <v>0</v>
      </c>
      <c r="E198" s="309">
        <v>0</v>
      </c>
      <c r="F198" s="309">
        <v>0</v>
      </c>
      <c r="G198" s="309">
        <v>0</v>
      </c>
      <c r="H198" s="309">
        <v>0</v>
      </c>
      <c r="I198" s="309">
        <v>0</v>
      </c>
      <c r="J198" s="309">
        <v>0</v>
      </c>
      <c r="K198" s="309">
        <v>0</v>
      </c>
      <c r="L198" s="309">
        <v>0</v>
      </c>
      <c r="M198" s="309">
        <v>0</v>
      </c>
      <c r="N198" s="309">
        <v>0</v>
      </c>
      <c r="O198" s="309">
        <v>0</v>
      </c>
      <c r="P198" s="309">
        <v>0</v>
      </c>
      <c r="Q198" s="309">
        <v>0</v>
      </c>
      <c r="R198" s="309">
        <v>0</v>
      </c>
      <c r="S198" s="309">
        <v>0</v>
      </c>
      <c r="T198" s="309">
        <v>0</v>
      </c>
      <c r="U198" s="309">
        <v>0</v>
      </c>
      <c r="V198" s="309">
        <v>0</v>
      </c>
      <c r="W198" s="309">
        <v>0</v>
      </c>
      <c r="X198" s="309">
        <v>0</v>
      </c>
      <c r="Y198" s="309">
        <v>0</v>
      </c>
      <c r="Z198" s="309">
        <v>0</v>
      </c>
      <c r="AA198" s="309">
        <v>0</v>
      </c>
      <c r="AB198" s="309">
        <v>0</v>
      </c>
      <c r="AC198" s="309">
        <v>0</v>
      </c>
      <c r="AD198" s="309">
        <v>0</v>
      </c>
      <c r="AE198" s="309">
        <v>25297.051877142199</v>
      </c>
      <c r="AF198" s="309">
        <v>0</v>
      </c>
      <c r="AG198" s="309">
        <v>0</v>
      </c>
      <c r="AH198" s="309">
        <v>0</v>
      </c>
      <c r="AI198" s="309">
        <v>0</v>
      </c>
      <c r="AJ198" s="309">
        <v>0</v>
      </c>
      <c r="AK198" s="309">
        <v>0</v>
      </c>
      <c r="AL198" s="309">
        <v>0</v>
      </c>
      <c r="AM198" s="309">
        <v>0</v>
      </c>
      <c r="AN198" s="309">
        <v>0</v>
      </c>
      <c r="AO198" s="309">
        <v>0</v>
      </c>
      <c r="AP198" s="309">
        <v>0</v>
      </c>
      <c r="AQ198" s="309">
        <v>0</v>
      </c>
      <c r="AR198" s="309">
        <v>0</v>
      </c>
      <c r="AS198" s="309">
        <v>0</v>
      </c>
      <c r="AT198" s="309">
        <v>0</v>
      </c>
      <c r="AU198" s="309">
        <v>0</v>
      </c>
      <c r="AV198" s="309">
        <v>0</v>
      </c>
      <c r="AW198" s="309">
        <v>0</v>
      </c>
      <c r="AX198" s="309">
        <v>0</v>
      </c>
      <c r="AY198" s="309">
        <v>0</v>
      </c>
      <c r="AZ198" s="309">
        <v>0</v>
      </c>
      <c r="BA198" s="309">
        <v>0</v>
      </c>
      <c r="BB198" s="309">
        <v>0</v>
      </c>
      <c r="BC198" s="309">
        <v>0</v>
      </c>
      <c r="BD198" s="309">
        <v>0</v>
      </c>
      <c r="BE198" s="309">
        <v>0</v>
      </c>
      <c r="BF198" s="309">
        <v>0</v>
      </c>
    </row>
    <row r="199" spans="1:58" x14ac:dyDescent="0.2">
      <c r="A199" s="307" t="s">
        <v>326</v>
      </c>
      <c r="B199" s="309">
        <v>0</v>
      </c>
      <c r="C199" s="309">
        <v>0</v>
      </c>
      <c r="D199" s="309">
        <v>0</v>
      </c>
      <c r="E199" s="309">
        <v>0</v>
      </c>
      <c r="F199" s="309">
        <v>0</v>
      </c>
      <c r="G199" s="309">
        <v>0</v>
      </c>
      <c r="H199" s="309">
        <v>0</v>
      </c>
      <c r="I199" s="309">
        <v>0</v>
      </c>
      <c r="J199" s="309">
        <v>0</v>
      </c>
      <c r="K199" s="309">
        <v>0</v>
      </c>
      <c r="L199" s="309">
        <v>0</v>
      </c>
      <c r="M199" s="309">
        <v>0</v>
      </c>
      <c r="N199" s="309">
        <v>0</v>
      </c>
      <c r="O199" s="309">
        <v>0</v>
      </c>
      <c r="P199" s="309">
        <v>0</v>
      </c>
      <c r="Q199" s="309">
        <v>6.7177820097776797</v>
      </c>
      <c r="R199" s="309">
        <v>0</v>
      </c>
      <c r="S199" s="309">
        <v>0</v>
      </c>
      <c r="T199" s="309">
        <v>0</v>
      </c>
      <c r="U199" s="309">
        <v>0</v>
      </c>
      <c r="V199" s="309">
        <v>0</v>
      </c>
      <c r="W199" s="309">
        <v>0</v>
      </c>
      <c r="X199" s="309">
        <v>0</v>
      </c>
      <c r="Y199" s="309">
        <v>0</v>
      </c>
      <c r="Z199" s="309">
        <v>0</v>
      </c>
      <c r="AA199" s="309">
        <v>0</v>
      </c>
      <c r="AB199" s="309">
        <v>0</v>
      </c>
      <c r="AC199" s="309">
        <v>0</v>
      </c>
      <c r="AD199" s="309">
        <v>0</v>
      </c>
      <c r="AE199" s="309">
        <v>0</v>
      </c>
      <c r="AF199" s="309">
        <v>25297.051877142199</v>
      </c>
      <c r="AG199" s="309">
        <v>0</v>
      </c>
      <c r="AH199" s="309">
        <v>0</v>
      </c>
      <c r="AI199" s="309">
        <v>0</v>
      </c>
      <c r="AJ199" s="309">
        <v>0</v>
      </c>
      <c r="AK199" s="309">
        <v>0</v>
      </c>
      <c r="AL199" s="309">
        <v>0</v>
      </c>
      <c r="AM199" s="309">
        <v>0</v>
      </c>
      <c r="AN199" s="309">
        <v>0</v>
      </c>
      <c r="AO199" s="309">
        <v>0</v>
      </c>
      <c r="AP199" s="309">
        <v>0</v>
      </c>
      <c r="AQ199" s="309">
        <v>0</v>
      </c>
      <c r="AR199" s="309">
        <v>0</v>
      </c>
      <c r="AS199" s="309">
        <v>0</v>
      </c>
      <c r="AT199" s="309">
        <v>0</v>
      </c>
      <c r="AU199" s="309">
        <v>0</v>
      </c>
      <c r="AV199" s="309">
        <v>0</v>
      </c>
      <c r="AW199" s="309">
        <v>0</v>
      </c>
      <c r="AX199" s="309">
        <v>0</v>
      </c>
      <c r="AY199" s="309">
        <v>0</v>
      </c>
      <c r="AZ199" s="309">
        <v>0</v>
      </c>
      <c r="BA199" s="309">
        <v>0</v>
      </c>
      <c r="BB199" s="309">
        <v>0</v>
      </c>
      <c r="BC199" s="309">
        <v>0</v>
      </c>
      <c r="BD199" s="309">
        <v>0</v>
      </c>
      <c r="BE199" s="309">
        <v>0</v>
      </c>
      <c r="BF199" s="309">
        <v>0</v>
      </c>
    </row>
    <row r="200" spans="1:58" x14ac:dyDescent="0.2">
      <c r="A200" s="307" t="s">
        <v>435</v>
      </c>
      <c r="B200" s="309">
        <v>0</v>
      </c>
      <c r="C200" s="309">
        <v>0</v>
      </c>
      <c r="D200" s="309">
        <v>0</v>
      </c>
      <c r="E200" s="309">
        <v>0</v>
      </c>
      <c r="F200" s="309">
        <v>0</v>
      </c>
      <c r="G200" s="309">
        <v>0</v>
      </c>
      <c r="H200" s="309">
        <v>0</v>
      </c>
      <c r="I200" s="309">
        <v>0</v>
      </c>
      <c r="J200" s="309">
        <v>0</v>
      </c>
      <c r="K200" s="309">
        <v>0</v>
      </c>
      <c r="L200" s="309">
        <v>0</v>
      </c>
      <c r="M200" s="309">
        <v>0</v>
      </c>
      <c r="N200" s="309">
        <v>0</v>
      </c>
      <c r="O200" s="309">
        <v>0</v>
      </c>
      <c r="P200" s="309">
        <v>0</v>
      </c>
      <c r="Q200" s="309">
        <v>0</v>
      </c>
      <c r="R200" s="309">
        <v>0</v>
      </c>
      <c r="S200" s="309">
        <v>0</v>
      </c>
      <c r="T200" s="309">
        <v>0</v>
      </c>
      <c r="U200" s="309">
        <v>0</v>
      </c>
      <c r="V200" s="309">
        <v>0</v>
      </c>
      <c r="W200" s="309">
        <v>0</v>
      </c>
      <c r="X200" s="309">
        <v>0</v>
      </c>
      <c r="Y200" s="309">
        <v>0</v>
      </c>
      <c r="Z200" s="309">
        <v>0</v>
      </c>
      <c r="AA200" s="309">
        <v>0</v>
      </c>
      <c r="AB200" s="309">
        <v>0</v>
      </c>
      <c r="AC200" s="309">
        <v>0</v>
      </c>
      <c r="AD200" s="309">
        <v>0</v>
      </c>
      <c r="AE200" s="309">
        <v>0</v>
      </c>
      <c r="AF200" s="309">
        <v>0</v>
      </c>
      <c r="AG200" s="309">
        <v>25297.051877142199</v>
      </c>
      <c r="AH200" s="309">
        <v>0</v>
      </c>
      <c r="AI200" s="309">
        <v>0</v>
      </c>
      <c r="AJ200" s="309">
        <v>0</v>
      </c>
      <c r="AK200" s="309">
        <v>0</v>
      </c>
      <c r="AL200" s="309">
        <v>0</v>
      </c>
      <c r="AM200" s="309">
        <v>0</v>
      </c>
      <c r="AN200" s="309">
        <v>0</v>
      </c>
      <c r="AO200" s="309">
        <v>0</v>
      </c>
      <c r="AP200" s="309">
        <v>0</v>
      </c>
      <c r="AQ200" s="309">
        <v>0</v>
      </c>
      <c r="AR200" s="309">
        <v>0</v>
      </c>
      <c r="AS200" s="309">
        <v>0</v>
      </c>
      <c r="AT200" s="309">
        <v>0</v>
      </c>
      <c r="AU200" s="309">
        <v>0</v>
      </c>
      <c r="AV200" s="309">
        <v>0</v>
      </c>
      <c r="AW200" s="309">
        <v>0</v>
      </c>
      <c r="AX200" s="309">
        <v>0</v>
      </c>
      <c r="AY200" s="309">
        <v>0</v>
      </c>
      <c r="AZ200" s="309">
        <v>0</v>
      </c>
      <c r="BA200" s="309">
        <v>0</v>
      </c>
      <c r="BB200" s="309">
        <v>0</v>
      </c>
      <c r="BC200" s="309">
        <v>0</v>
      </c>
      <c r="BD200" s="309">
        <v>0</v>
      </c>
      <c r="BE200" s="309">
        <v>0</v>
      </c>
      <c r="BF200" s="309">
        <v>0</v>
      </c>
    </row>
    <row r="201" spans="1:58" x14ac:dyDescent="0.2">
      <c r="A201" s="307" t="s">
        <v>644</v>
      </c>
      <c r="B201" s="309">
        <v>0</v>
      </c>
      <c r="C201" s="309">
        <v>0</v>
      </c>
      <c r="D201" s="309">
        <v>0</v>
      </c>
      <c r="E201" s="309">
        <v>0</v>
      </c>
      <c r="F201" s="309">
        <v>0</v>
      </c>
      <c r="G201" s="309">
        <v>0</v>
      </c>
      <c r="H201" s="309">
        <v>0</v>
      </c>
      <c r="I201" s="309">
        <v>0</v>
      </c>
      <c r="J201" s="309">
        <v>0</v>
      </c>
      <c r="K201" s="309">
        <v>0</v>
      </c>
      <c r="L201" s="309">
        <v>0</v>
      </c>
      <c r="M201" s="309">
        <v>0</v>
      </c>
      <c r="N201" s="309">
        <v>0</v>
      </c>
      <c r="O201" s="309">
        <v>0</v>
      </c>
      <c r="P201" s="309">
        <v>0</v>
      </c>
      <c r="Q201" s="309">
        <v>0</v>
      </c>
      <c r="R201" s="309">
        <v>0</v>
      </c>
      <c r="S201" s="309">
        <v>0</v>
      </c>
      <c r="T201" s="309">
        <v>1032997.83916021</v>
      </c>
      <c r="U201" s="309">
        <v>0</v>
      </c>
      <c r="V201" s="309">
        <v>0</v>
      </c>
      <c r="W201" s="309">
        <v>0</v>
      </c>
      <c r="X201" s="309">
        <v>0</v>
      </c>
      <c r="Y201" s="309">
        <v>0</v>
      </c>
      <c r="Z201" s="309">
        <v>0</v>
      </c>
      <c r="AA201" s="309">
        <v>0</v>
      </c>
      <c r="AB201" s="309">
        <v>0</v>
      </c>
      <c r="AC201" s="309">
        <v>0</v>
      </c>
      <c r="AD201" s="309">
        <v>0</v>
      </c>
      <c r="AE201" s="309">
        <v>0</v>
      </c>
      <c r="AF201" s="309">
        <v>0</v>
      </c>
      <c r="AG201" s="309">
        <v>0</v>
      </c>
      <c r="AH201" s="309">
        <v>0</v>
      </c>
      <c r="AI201" s="309">
        <v>0</v>
      </c>
      <c r="AJ201" s="309">
        <v>0</v>
      </c>
      <c r="AK201" s="309">
        <v>0</v>
      </c>
      <c r="AL201" s="309">
        <v>0</v>
      </c>
      <c r="AM201" s="309">
        <v>0</v>
      </c>
      <c r="AN201" s="309">
        <v>0</v>
      </c>
      <c r="AO201" s="309">
        <v>0</v>
      </c>
      <c r="AP201" s="309">
        <v>0</v>
      </c>
      <c r="AQ201" s="309">
        <v>0</v>
      </c>
      <c r="AR201" s="309">
        <v>0</v>
      </c>
      <c r="AS201" s="309">
        <v>0</v>
      </c>
      <c r="AT201" s="309">
        <v>0</v>
      </c>
      <c r="AU201" s="309">
        <v>0</v>
      </c>
      <c r="AV201" s="309">
        <v>0</v>
      </c>
      <c r="AW201" s="309">
        <v>0</v>
      </c>
      <c r="AX201" s="309">
        <v>0</v>
      </c>
      <c r="AY201" s="309">
        <v>0</v>
      </c>
      <c r="AZ201" s="309">
        <v>0</v>
      </c>
      <c r="BA201" s="309">
        <v>0</v>
      </c>
      <c r="BB201" s="309">
        <v>0</v>
      </c>
      <c r="BC201" s="309">
        <v>0</v>
      </c>
      <c r="BD201" s="309">
        <v>0</v>
      </c>
      <c r="BE201" s="309">
        <v>0</v>
      </c>
      <c r="BF201" s="309">
        <v>0</v>
      </c>
    </row>
    <row r="202" spans="1:58" x14ac:dyDescent="0.2">
      <c r="A202" s="307" t="s">
        <v>645</v>
      </c>
      <c r="B202" s="309">
        <v>0</v>
      </c>
      <c r="C202" s="309">
        <v>0</v>
      </c>
      <c r="D202" s="309">
        <v>0</v>
      </c>
      <c r="E202" s="309">
        <v>0</v>
      </c>
      <c r="F202" s="309">
        <v>0</v>
      </c>
      <c r="G202" s="309">
        <v>0</v>
      </c>
      <c r="H202" s="309">
        <v>0</v>
      </c>
      <c r="I202" s="309">
        <v>0</v>
      </c>
      <c r="J202" s="309">
        <v>0</v>
      </c>
      <c r="K202" s="309">
        <v>0</v>
      </c>
      <c r="L202" s="309">
        <v>0</v>
      </c>
      <c r="M202" s="309">
        <v>0</v>
      </c>
      <c r="N202" s="309">
        <v>0</v>
      </c>
      <c r="O202" s="309">
        <v>0</v>
      </c>
      <c r="P202" s="309">
        <v>0</v>
      </c>
      <c r="Q202" s="309">
        <v>0</v>
      </c>
      <c r="R202" s="309">
        <v>0</v>
      </c>
      <c r="S202" s="309">
        <v>0</v>
      </c>
      <c r="T202" s="309">
        <v>0</v>
      </c>
      <c r="U202" s="309">
        <v>0</v>
      </c>
      <c r="V202" s="309">
        <v>0</v>
      </c>
      <c r="W202" s="309">
        <v>4830.4442158522497</v>
      </c>
      <c r="X202" s="309">
        <v>0</v>
      </c>
      <c r="Y202" s="309">
        <v>0</v>
      </c>
      <c r="Z202" s="309">
        <v>0</v>
      </c>
      <c r="AA202" s="309">
        <v>0</v>
      </c>
      <c r="AB202" s="309">
        <v>0</v>
      </c>
      <c r="AC202" s="309">
        <v>0</v>
      </c>
      <c r="AD202" s="309">
        <v>0</v>
      </c>
      <c r="AE202" s="309">
        <v>0</v>
      </c>
      <c r="AF202" s="309">
        <v>0</v>
      </c>
      <c r="AG202" s="309">
        <v>0</v>
      </c>
      <c r="AH202" s="309">
        <v>0</v>
      </c>
      <c r="AI202" s="309">
        <v>0</v>
      </c>
      <c r="AJ202" s="309">
        <v>0</v>
      </c>
      <c r="AK202" s="309">
        <v>0</v>
      </c>
      <c r="AL202" s="309">
        <v>0</v>
      </c>
      <c r="AM202" s="309">
        <v>0</v>
      </c>
      <c r="AN202" s="309">
        <v>0</v>
      </c>
      <c r="AO202" s="309">
        <v>0</v>
      </c>
      <c r="AP202" s="309">
        <v>0</v>
      </c>
      <c r="AQ202" s="309">
        <v>0</v>
      </c>
      <c r="AR202" s="309">
        <v>0</v>
      </c>
      <c r="AS202" s="309">
        <v>0</v>
      </c>
      <c r="AT202" s="309">
        <v>0</v>
      </c>
      <c r="AU202" s="309">
        <v>0</v>
      </c>
      <c r="AV202" s="309">
        <v>0</v>
      </c>
      <c r="AW202" s="309">
        <v>0</v>
      </c>
      <c r="AX202" s="309">
        <v>0</v>
      </c>
      <c r="AY202" s="309">
        <v>0</v>
      </c>
      <c r="AZ202" s="309">
        <v>0</v>
      </c>
      <c r="BA202" s="309">
        <v>0</v>
      </c>
      <c r="BB202" s="309">
        <v>0</v>
      </c>
      <c r="BC202" s="309">
        <v>0</v>
      </c>
      <c r="BD202" s="309">
        <v>0</v>
      </c>
      <c r="BE202" s="309">
        <v>0</v>
      </c>
      <c r="BF202" s="309">
        <v>0</v>
      </c>
    </row>
    <row r="203" spans="1:58" x14ac:dyDescent="0.2">
      <c r="A203" s="307" t="s">
        <v>646</v>
      </c>
      <c r="B203" s="309">
        <v>0</v>
      </c>
      <c r="C203" s="309">
        <v>0</v>
      </c>
      <c r="D203" s="309">
        <v>0</v>
      </c>
      <c r="E203" s="309">
        <v>0</v>
      </c>
      <c r="F203" s="309">
        <v>0</v>
      </c>
      <c r="G203" s="309">
        <v>0</v>
      </c>
      <c r="H203" s="309">
        <v>0</v>
      </c>
      <c r="I203" s="309">
        <v>0</v>
      </c>
      <c r="J203" s="309">
        <v>0</v>
      </c>
      <c r="K203" s="309">
        <v>0</v>
      </c>
      <c r="L203" s="309">
        <v>0</v>
      </c>
      <c r="M203" s="309">
        <v>0</v>
      </c>
      <c r="N203" s="309">
        <v>0</v>
      </c>
      <c r="O203" s="309">
        <v>0</v>
      </c>
      <c r="P203" s="309">
        <v>0</v>
      </c>
      <c r="Q203" s="309">
        <v>0</v>
      </c>
      <c r="R203" s="309">
        <v>0</v>
      </c>
      <c r="S203" s="309">
        <v>0</v>
      </c>
      <c r="T203" s="309">
        <v>0</v>
      </c>
      <c r="U203" s="309">
        <v>0</v>
      </c>
      <c r="V203" s="309">
        <v>0</v>
      </c>
      <c r="W203" s="309">
        <v>0</v>
      </c>
      <c r="X203" s="309">
        <v>0</v>
      </c>
      <c r="Y203" s="309">
        <v>0</v>
      </c>
      <c r="Z203" s="309">
        <v>0</v>
      </c>
      <c r="AA203" s="309">
        <v>0</v>
      </c>
      <c r="AB203" s="309">
        <v>0</v>
      </c>
      <c r="AC203" s="309">
        <v>0</v>
      </c>
      <c r="AD203" s="309">
        <v>0</v>
      </c>
      <c r="AE203" s="309">
        <v>0</v>
      </c>
      <c r="AF203" s="309">
        <v>0</v>
      </c>
      <c r="AG203" s="309">
        <v>0</v>
      </c>
      <c r="AH203" s="309">
        <v>0</v>
      </c>
      <c r="AI203" s="309">
        <v>0</v>
      </c>
      <c r="AJ203" s="309">
        <v>0</v>
      </c>
      <c r="AK203" s="309">
        <v>0</v>
      </c>
      <c r="AL203" s="309">
        <v>0</v>
      </c>
      <c r="AM203" s="309">
        <v>0</v>
      </c>
      <c r="AN203" s="309">
        <v>0</v>
      </c>
      <c r="AO203" s="309">
        <v>184686.52821315001</v>
      </c>
      <c r="AP203" s="309">
        <v>0</v>
      </c>
      <c r="AQ203" s="309">
        <v>0</v>
      </c>
      <c r="AR203" s="309">
        <v>0</v>
      </c>
      <c r="AS203" s="309">
        <v>0</v>
      </c>
      <c r="AT203" s="309">
        <v>0</v>
      </c>
      <c r="AU203" s="309">
        <v>0</v>
      </c>
      <c r="AV203" s="309">
        <v>0</v>
      </c>
      <c r="AW203" s="309">
        <v>0</v>
      </c>
      <c r="AX203" s="309">
        <v>0</v>
      </c>
      <c r="AY203" s="309">
        <v>0</v>
      </c>
      <c r="AZ203" s="309">
        <v>0</v>
      </c>
      <c r="BA203" s="309">
        <v>0</v>
      </c>
      <c r="BB203" s="309">
        <v>0</v>
      </c>
      <c r="BC203" s="309">
        <v>0</v>
      </c>
      <c r="BD203" s="309">
        <v>0</v>
      </c>
      <c r="BE203" s="309">
        <v>0</v>
      </c>
      <c r="BF203" s="309">
        <v>0</v>
      </c>
    </row>
    <row r="204" spans="1:58" x14ac:dyDescent="0.2">
      <c r="A204" s="307" t="s">
        <v>647</v>
      </c>
      <c r="B204" s="309">
        <v>0</v>
      </c>
      <c r="C204" s="309">
        <v>0</v>
      </c>
      <c r="D204" s="309">
        <v>0</v>
      </c>
      <c r="E204" s="309">
        <v>0</v>
      </c>
      <c r="F204" s="309">
        <v>0</v>
      </c>
      <c r="G204" s="309">
        <v>0</v>
      </c>
      <c r="H204" s="309">
        <v>0</v>
      </c>
      <c r="I204" s="309">
        <v>0</v>
      </c>
      <c r="J204" s="309">
        <v>0</v>
      </c>
      <c r="K204" s="309">
        <v>0</v>
      </c>
      <c r="L204" s="309">
        <v>0</v>
      </c>
      <c r="M204" s="309">
        <v>0</v>
      </c>
      <c r="N204" s="309">
        <v>0</v>
      </c>
      <c r="O204" s="309">
        <v>0</v>
      </c>
      <c r="P204" s="309">
        <v>0</v>
      </c>
      <c r="Q204" s="309">
        <v>0</v>
      </c>
      <c r="R204" s="309">
        <v>0</v>
      </c>
      <c r="S204" s="309">
        <v>0</v>
      </c>
      <c r="T204" s="309">
        <v>0</v>
      </c>
      <c r="U204" s="309">
        <v>0</v>
      </c>
      <c r="V204" s="309">
        <v>0</v>
      </c>
      <c r="W204" s="309">
        <v>0</v>
      </c>
      <c r="X204" s="309">
        <v>0</v>
      </c>
      <c r="Y204" s="309">
        <v>0</v>
      </c>
      <c r="Z204" s="309">
        <v>0</v>
      </c>
      <c r="AA204" s="309">
        <v>0</v>
      </c>
      <c r="AB204" s="309">
        <v>0</v>
      </c>
      <c r="AC204" s="309">
        <v>0</v>
      </c>
      <c r="AD204" s="309">
        <v>0</v>
      </c>
      <c r="AE204" s="309">
        <v>0</v>
      </c>
      <c r="AF204" s="309">
        <v>0</v>
      </c>
      <c r="AG204" s="309">
        <v>0</v>
      </c>
      <c r="AH204" s="309">
        <v>0</v>
      </c>
      <c r="AI204" s="309">
        <v>0</v>
      </c>
      <c r="AJ204" s="309">
        <v>0</v>
      </c>
      <c r="AK204" s="309">
        <v>0</v>
      </c>
      <c r="AL204" s="309">
        <v>0</v>
      </c>
      <c r="AM204" s="309">
        <v>0</v>
      </c>
      <c r="AN204" s="309">
        <v>0</v>
      </c>
      <c r="AO204" s="309">
        <v>0</v>
      </c>
      <c r="AP204" s="309">
        <v>0</v>
      </c>
      <c r="AQ204" s="309">
        <v>0</v>
      </c>
      <c r="AR204" s="309">
        <v>0</v>
      </c>
      <c r="AS204" s="309">
        <v>0</v>
      </c>
      <c r="AT204" s="309">
        <v>0</v>
      </c>
      <c r="AU204" s="309">
        <v>0</v>
      </c>
      <c r="AV204" s="309">
        <v>5023.7890204089899</v>
      </c>
      <c r="AW204" s="309">
        <v>0</v>
      </c>
      <c r="AX204" s="309">
        <v>0</v>
      </c>
      <c r="AY204" s="309">
        <v>0</v>
      </c>
      <c r="AZ204" s="309">
        <v>0</v>
      </c>
      <c r="BA204" s="309">
        <v>0</v>
      </c>
      <c r="BB204" s="309">
        <v>0</v>
      </c>
      <c r="BC204" s="309">
        <v>0</v>
      </c>
      <c r="BD204" s="309">
        <v>0</v>
      </c>
      <c r="BE204" s="309">
        <v>0</v>
      </c>
      <c r="BF204" s="309">
        <v>0</v>
      </c>
    </row>
    <row r="205" spans="1:58" x14ac:dyDescent="0.2">
      <c r="A205" s="307" t="s">
        <v>648</v>
      </c>
      <c r="B205" s="309">
        <v>0</v>
      </c>
      <c r="C205" s="309">
        <v>0</v>
      </c>
      <c r="D205" s="309">
        <v>0</v>
      </c>
      <c r="E205" s="309">
        <v>0</v>
      </c>
      <c r="F205" s="309">
        <v>0</v>
      </c>
      <c r="G205" s="309">
        <v>0</v>
      </c>
      <c r="H205" s="309">
        <v>0</v>
      </c>
      <c r="I205" s="309">
        <v>0</v>
      </c>
      <c r="J205" s="309">
        <v>0</v>
      </c>
      <c r="K205" s="309">
        <v>0</v>
      </c>
      <c r="L205" s="309">
        <v>0</v>
      </c>
      <c r="M205" s="309">
        <v>0</v>
      </c>
      <c r="N205" s="309">
        <v>0</v>
      </c>
      <c r="O205" s="309">
        <v>0</v>
      </c>
      <c r="P205" s="309">
        <v>0</v>
      </c>
      <c r="Q205" s="309">
        <v>0</v>
      </c>
      <c r="R205" s="309">
        <v>0</v>
      </c>
      <c r="S205" s="309">
        <v>0</v>
      </c>
      <c r="T205" s="309">
        <v>0</v>
      </c>
      <c r="U205" s="309">
        <v>0</v>
      </c>
      <c r="V205" s="309">
        <v>0</v>
      </c>
      <c r="W205" s="309">
        <v>0</v>
      </c>
      <c r="X205" s="309">
        <v>0</v>
      </c>
      <c r="Y205" s="309">
        <v>0</v>
      </c>
      <c r="Z205" s="309">
        <v>0</v>
      </c>
      <c r="AA205" s="309">
        <v>0</v>
      </c>
      <c r="AB205" s="309">
        <v>0</v>
      </c>
      <c r="AC205" s="309">
        <v>0</v>
      </c>
      <c r="AD205" s="309">
        <v>0</v>
      </c>
      <c r="AE205" s="309">
        <v>0</v>
      </c>
      <c r="AF205" s="309">
        <v>0</v>
      </c>
      <c r="AG205" s="309">
        <v>0</v>
      </c>
      <c r="AH205" s="309">
        <v>0</v>
      </c>
      <c r="AI205" s="309">
        <v>0</v>
      </c>
      <c r="AJ205" s="309">
        <v>0</v>
      </c>
      <c r="AK205" s="309">
        <v>0</v>
      </c>
      <c r="AL205" s="309">
        <v>0</v>
      </c>
      <c r="AM205" s="309">
        <v>0</v>
      </c>
      <c r="AN205" s="309">
        <v>0</v>
      </c>
      <c r="AO205" s="309">
        <v>0</v>
      </c>
      <c r="AP205" s="309">
        <v>0</v>
      </c>
      <c r="AQ205" s="309">
        <v>0</v>
      </c>
      <c r="AR205" s="309">
        <v>0</v>
      </c>
      <c r="AS205" s="309">
        <v>0</v>
      </c>
      <c r="AT205" s="309">
        <v>0</v>
      </c>
      <c r="AU205" s="309">
        <v>0</v>
      </c>
      <c r="AV205" s="309">
        <v>0</v>
      </c>
      <c r="AW205" s="309">
        <v>0</v>
      </c>
      <c r="AX205" s="309">
        <v>0</v>
      </c>
      <c r="AY205" s="309">
        <v>0</v>
      </c>
      <c r="AZ205" s="309">
        <v>82.091627997489695</v>
      </c>
      <c r="BA205" s="309">
        <v>0</v>
      </c>
      <c r="BB205" s="309">
        <v>0</v>
      </c>
      <c r="BC205" s="309">
        <v>0</v>
      </c>
      <c r="BD205" s="309">
        <v>0</v>
      </c>
      <c r="BE205" s="309">
        <v>0</v>
      </c>
      <c r="BF205" s="309">
        <v>0</v>
      </c>
    </row>
    <row r="206" spans="1:58" x14ac:dyDescent="0.2">
      <c r="A206" s="307" t="s">
        <v>649</v>
      </c>
      <c r="B206" s="309">
        <v>0</v>
      </c>
      <c r="C206" s="309">
        <v>0</v>
      </c>
      <c r="D206" s="309">
        <v>0</v>
      </c>
      <c r="E206" s="309">
        <v>0</v>
      </c>
      <c r="F206" s="309">
        <v>0</v>
      </c>
      <c r="G206" s="309">
        <v>0</v>
      </c>
      <c r="H206" s="309">
        <v>0</v>
      </c>
      <c r="I206" s="309">
        <v>0</v>
      </c>
      <c r="J206" s="309">
        <v>0</v>
      </c>
      <c r="K206" s="309">
        <v>0</v>
      </c>
      <c r="L206" s="309">
        <v>0</v>
      </c>
      <c r="M206" s="309">
        <v>0</v>
      </c>
      <c r="N206" s="309">
        <v>0</v>
      </c>
      <c r="O206" s="309">
        <v>0</v>
      </c>
      <c r="P206" s="309">
        <v>0</v>
      </c>
      <c r="Q206" s="309">
        <v>0</v>
      </c>
      <c r="R206" s="309">
        <v>0</v>
      </c>
      <c r="S206" s="309">
        <v>0</v>
      </c>
      <c r="T206" s="309">
        <v>0</v>
      </c>
      <c r="U206" s="309">
        <v>0</v>
      </c>
      <c r="V206" s="309">
        <v>0</v>
      </c>
      <c r="W206" s="309">
        <v>0</v>
      </c>
      <c r="X206" s="309">
        <v>0</v>
      </c>
      <c r="Y206" s="309">
        <v>0</v>
      </c>
      <c r="Z206" s="309">
        <v>0</v>
      </c>
      <c r="AA206" s="309">
        <v>0</v>
      </c>
      <c r="AB206" s="309">
        <v>0</v>
      </c>
      <c r="AC206" s="309">
        <v>0</v>
      </c>
      <c r="AD206" s="309">
        <v>0</v>
      </c>
      <c r="AE206" s="309">
        <v>0</v>
      </c>
      <c r="AF206" s="309">
        <v>0</v>
      </c>
      <c r="AG206" s="309">
        <v>0</v>
      </c>
      <c r="AH206" s="309">
        <v>0</v>
      </c>
      <c r="AI206" s="309">
        <v>0</v>
      </c>
      <c r="AJ206" s="309">
        <v>0</v>
      </c>
      <c r="AK206" s="309">
        <v>0</v>
      </c>
      <c r="AL206" s="309">
        <v>0</v>
      </c>
      <c r="AM206" s="309">
        <v>0</v>
      </c>
      <c r="AN206" s="309">
        <v>0</v>
      </c>
      <c r="AO206" s="309">
        <v>0</v>
      </c>
      <c r="AP206" s="309">
        <v>0</v>
      </c>
      <c r="AQ206" s="309">
        <v>0</v>
      </c>
      <c r="AR206" s="309">
        <v>0</v>
      </c>
      <c r="AS206" s="309">
        <v>0</v>
      </c>
      <c r="AT206" s="309">
        <v>0</v>
      </c>
      <c r="AU206" s="309">
        <v>0</v>
      </c>
      <c r="AV206" s="309">
        <v>0</v>
      </c>
      <c r="AW206" s="309">
        <v>0</v>
      </c>
      <c r="AX206" s="309">
        <v>0</v>
      </c>
      <c r="AY206" s="309">
        <v>0</v>
      </c>
      <c r="AZ206" s="309">
        <v>0</v>
      </c>
      <c r="BA206" s="309">
        <v>0</v>
      </c>
      <c r="BB206" s="309">
        <v>0</v>
      </c>
      <c r="BC206" s="309">
        <v>0</v>
      </c>
      <c r="BD206" s="309">
        <v>0</v>
      </c>
      <c r="BE206" s="309">
        <v>43.206119998678503</v>
      </c>
      <c r="BF206" s="309">
        <v>0</v>
      </c>
    </row>
    <row r="207" spans="1:58" x14ac:dyDescent="0.2">
      <c r="A207" s="307" t="s">
        <v>76</v>
      </c>
      <c r="B207" s="309">
        <v>0</v>
      </c>
      <c r="C207" s="309">
        <v>0</v>
      </c>
      <c r="D207" s="309">
        <v>0</v>
      </c>
      <c r="E207" s="309">
        <v>0</v>
      </c>
      <c r="F207" s="309">
        <v>6684057.4589463603</v>
      </c>
      <c r="G207" s="309">
        <v>0</v>
      </c>
      <c r="H207" s="309">
        <v>0</v>
      </c>
      <c r="I207" s="309">
        <v>0</v>
      </c>
      <c r="J207" s="309">
        <v>0</v>
      </c>
      <c r="K207" s="309">
        <v>0</v>
      </c>
      <c r="L207" s="309">
        <v>0</v>
      </c>
      <c r="M207" s="309">
        <v>0</v>
      </c>
      <c r="N207" s="309">
        <v>0</v>
      </c>
      <c r="O207" s="309">
        <v>0</v>
      </c>
      <c r="P207" s="309">
        <v>0</v>
      </c>
      <c r="Q207" s="309">
        <v>0</v>
      </c>
      <c r="R207" s="309">
        <v>0</v>
      </c>
      <c r="S207" s="309">
        <v>0</v>
      </c>
      <c r="T207" s="309">
        <v>0</v>
      </c>
      <c r="U207" s="309">
        <v>0</v>
      </c>
      <c r="V207" s="309">
        <v>0</v>
      </c>
      <c r="W207" s="309">
        <v>0</v>
      </c>
      <c r="X207" s="309">
        <v>0</v>
      </c>
      <c r="Y207" s="309">
        <v>0</v>
      </c>
      <c r="Z207" s="309">
        <v>0</v>
      </c>
      <c r="AA207" s="309">
        <v>0</v>
      </c>
      <c r="AB207" s="309">
        <v>0</v>
      </c>
      <c r="AC207" s="309">
        <v>0</v>
      </c>
      <c r="AD207" s="309">
        <v>0</v>
      </c>
      <c r="AE207" s="309">
        <v>0</v>
      </c>
      <c r="AF207" s="309">
        <v>0</v>
      </c>
      <c r="AG207" s="309">
        <v>0</v>
      </c>
      <c r="AH207" s="309">
        <v>0</v>
      </c>
      <c r="AI207" s="309">
        <v>0</v>
      </c>
      <c r="AJ207" s="309">
        <v>0</v>
      </c>
      <c r="AK207" s="309">
        <v>0</v>
      </c>
      <c r="AL207" s="309">
        <v>0</v>
      </c>
      <c r="AM207" s="309">
        <v>0</v>
      </c>
      <c r="AN207" s="309">
        <v>0</v>
      </c>
      <c r="AO207" s="309">
        <v>0</v>
      </c>
      <c r="AP207" s="309">
        <v>0</v>
      </c>
      <c r="AQ207" s="309">
        <v>0</v>
      </c>
      <c r="AR207" s="309">
        <v>0</v>
      </c>
      <c r="AS207" s="309">
        <v>0</v>
      </c>
      <c r="AT207" s="309">
        <v>0</v>
      </c>
      <c r="AU207" s="309">
        <v>0</v>
      </c>
      <c r="AV207" s="309">
        <v>0</v>
      </c>
      <c r="AW207" s="309">
        <v>0</v>
      </c>
      <c r="AX207" s="309">
        <v>0</v>
      </c>
      <c r="AY207" s="309">
        <v>0</v>
      </c>
      <c r="AZ207" s="309">
        <v>0</v>
      </c>
      <c r="BA207" s="309">
        <v>0</v>
      </c>
      <c r="BB207" s="309">
        <v>0</v>
      </c>
      <c r="BC207" s="309">
        <v>0</v>
      </c>
      <c r="BD207" s="309">
        <v>0</v>
      </c>
      <c r="BE207" s="309">
        <v>0</v>
      </c>
      <c r="BF207" s="309">
        <v>0</v>
      </c>
    </row>
    <row r="208" spans="1:58" x14ac:dyDescent="0.2">
      <c r="A208" s="307" t="s">
        <v>650</v>
      </c>
      <c r="B208" s="309">
        <v>0</v>
      </c>
      <c r="C208" s="309">
        <v>0</v>
      </c>
      <c r="D208" s="309">
        <v>0</v>
      </c>
      <c r="E208" s="309">
        <v>0</v>
      </c>
      <c r="F208" s="309">
        <v>0</v>
      </c>
      <c r="G208" s="309">
        <v>0</v>
      </c>
      <c r="H208" s="309">
        <v>0</v>
      </c>
      <c r="I208" s="309">
        <v>0</v>
      </c>
      <c r="J208" s="309">
        <v>0</v>
      </c>
      <c r="K208" s="309">
        <v>0</v>
      </c>
      <c r="L208" s="309">
        <v>0</v>
      </c>
      <c r="M208" s="309">
        <v>0</v>
      </c>
      <c r="N208" s="309">
        <v>0</v>
      </c>
      <c r="O208" s="309">
        <v>0</v>
      </c>
      <c r="P208" s="309">
        <v>0</v>
      </c>
      <c r="Q208" s="309">
        <v>0</v>
      </c>
      <c r="R208" s="309">
        <v>0</v>
      </c>
      <c r="S208" s="309">
        <v>0</v>
      </c>
      <c r="T208" s="309">
        <v>0</v>
      </c>
      <c r="U208" s="309">
        <v>0</v>
      </c>
      <c r="V208" s="309">
        <v>0</v>
      </c>
      <c r="W208" s="309">
        <v>0</v>
      </c>
      <c r="X208" s="309">
        <v>0</v>
      </c>
      <c r="Y208" s="309">
        <v>0</v>
      </c>
      <c r="Z208" s="309">
        <v>0</v>
      </c>
      <c r="AA208" s="309">
        <v>0</v>
      </c>
      <c r="AB208" s="309">
        <v>0</v>
      </c>
      <c r="AC208" s="309">
        <v>0</v>
      </c>
      <c r="AD208" s="309">
        <v>0</v>
      </c>
      <c r="AE208" s="309">
        <v>0</v>
      </c>
      <c r="AF208" s="309">
        <v>0</v>
      </c>
      <c r="AG208" s="309">
        <v>0</v>
      </c>
      <c r="AH208" s="309">
        <v>0</v>
      </c>
      <c r="AI208" s="309">
        <v>0</v>
      </c>
      <c r="AJ208" s="309">
        <v>0</v>
      </c>
      <c r="AK208" s="309">
        <v>3749358.3680556798</v>
      </c>
      <c r="AL208" s="309">
        <v>0</v>
      </c>
      <c r="AM208" s="309">
        <v>0</v>
      </c>
      <c r="AN208" s="309">
        <v>0</v>
      </c>
      <c r="AO208" s="309">
        <v>0</v>
      </c>
      <c r="AP208" s="309">
        <v>0</v>
      </c>
      <c r="AQ208" s="309">
        <v>0</v>
      </c>
      <c r="AR208" s="309">
        <v>0</v>
      </c>
      <c r="AS208" s="309">
        <v>0</v>
      </c>
      <c r="AT208" s="309">
        <v>0</v>
      </c>
      <c r="AU208" s="309">
        <v>0</v>
      </c>
      <c r="AV208" s="309">
        <v>0</v>
      </c>
      <c r="AW208" s="309">
        <v>0</v>
      </c>
      <c r="AX208" s="309">
        <v>0</v>
      </c>
      <c r="AY208" s="309">
        <v>0</v>
      </c>
      <c r="AZ208" s="309">
        <v>0</v>
      </c>
      <c r="BA208" s="309">
        <v>0</v>
      </c>
      <c r="BB208" s="309">
        <v>0</v>
      </c>
      <c r="BC208" s="309">
        <v>0</v>
      </c>
      <c r="BD208" s="309">
        <v>0</v>
      </c>
      <c r="BE208" s="309">
        <v>0</v>
      </c>
      <c r="BF208" s="309">
        <v>0</v>
      </c>
    </row>
    <row r="209" spans="1:58" x14ac:dyDescent="0.2">
      <c r="A209" s="307" t="s">
        <v>651</v>
      </c>
      <c r="B209" s="309">
        <v>0</v>
      </c>
      <c r="C209" s="309">
        <v>0</v>
      </c>
      <c r="D209" s="309">
        <v>0</v>
      </c>
      <c r="E209" s="309">
        <v>0</v>
      </c>
      <c r="F209" s="309">
        <v>0</v>
      </c>
      <c r="G209" s="309">
        <v>0</v>
      </c>
      <c r="H209" s="309">
        <v>0</v>
      </c>
      <c r="I209" s="309">
        <v>0</v>
      </c>
      <c r="J209" s="309">
        <v>0</v>
      </c>
      <c r="K209" s="309">
        <v>0</v>
      </c>
      <c r="L209" s="309">
        <v>0</v>
      </c>
      <c r="M209" s="309">
        <v>0</v>
      </c>
      <c r="N209" s="309">
        <v>0</v>
      </c>
      <c r="O209" s="309">
        <v>0</v>
      </c>
      <c r="P209" s="309">
        <v>0</v>
      </c>
      <c r="Q209" s="309">
        <v>0</v>
      </c>
      <c r="R209" s="309">
        <v>0</v>
      </c>
      <c r="S209" s="309">
        <v>0</v>
      </c>
      <c r="T209" s="309">
        <v>60946.554310340602</v>
      </c>
      <c r="U209" s="309">
        <v>0</v>
      </c>
      <c r="V209" s="309">
        <v>0</v>
      </c>
      <c r="W209" s="309">
        <v>0</v>
      </c>
      <c r="X209" s="309">
        <v>0</v>
      </c>
      <c r="Y209" s="309">
        <v>0</v>
      </c>
      <c r="Z209" s="309">
        <v>0</v>
      </c>
      <c r="AA209" s="309">
        <v>0</v>
      </c>
      <c r="AB209" s="309">
        <v>0</v>
      </c>
      <c r="AC209" s="309">
        <v>0</v>
      </c>
      <c r="AD209" s="309">
        <v>0</v>
      </c>
      <c r="AE209" s="309">
        <v>0</v>
      </c>
      <c r="AF209" s="309">
        <v>0</v>
      </c>
      <c r="AG209" s="309">
        <v>0</v>
      </c>
      <c r="AH209" s="309">
        <v>0</v>
      </c>
      <c r="AI209" s="309">
        <v>0</v>
      </c>
      <c r="AJ209" s="309">
        <v>0</v>
      </c>
      <c r="AK209" s="309">
        <v>0</v>
      </c>
      <c r="AL209" s="309">
        <v>0</v>
      </c>
      <c r="AM209" s="309">
        <v>0</v>
      </c>
      <c r="AN209" s="309">
        <v>0</v>
      </c>
      <c r="AO209" s="309">
        <v>0</v>
      </c>
      <c r="AP209" s="309">
        <v>0</v>
      </c>
      <c r="AQ209" s="309">
        <v>0</v>
      </c>
      <c r="AR209" s="309">
        <v>0</v>
      </c>
      <c r="AS209" s="309">
        <v>0</v>
      </c>
      <c r="AT209" s="309">
        <v>0</v>
      </c>
      <c r="AU209" s="309">
        <v>0</v>
      </c>
      <c r="AV209" s="309">
        <v>0</v>
      </c>
      <c r="AW209" s="309">
        <v>0</v>
      </c>
      <c r="AX209" s="309">
        <v>0</v>
      </c>
      <c r="AY209" s="309">
        <v>0</v>
      </c>
      <c r="AZ209" s="309">
        <v>0</v>
      </c>
      <c r="BA209" s="309">
        <v>0</v>
      </c>
      <c r="BB209" s="309">
        <v>0</v>
      </c>
      <c r="BC209" s="309">
        <v>0</v>
      </c>
      <c r="BD209" s="309">
        <v>0</v>
      </c>
      <c r="BE209" s="309">
        <v>0</v>
      </c>
      <c r="BF209" s="309">
        <v>0</v>
      </c>
    </row>
    <row r="210" spans="1:58" x14ac:dyDescent="0.2">
      <c r="A210" s="307" t="s">
        <v>652</v>
      </c>
      <c r="B210" s="309">
        <v>0</v>
      </c>
      <c r="C210" s="309">
        <v>0</v>
      </c>
      <c r="D210" s="309">
        <v>0</v>
      </c>
      <c r="E210" s="309">
        <v>0</v>
      </c>
      <c r="F210" s="309">
        <v>0</v>
      </c>
      <c r="G210" s="309">
        <v>0</v>
      </c>
      <c r="H210" s="309">
        <v>0</v>
      </c>
      <c r="I210" s="309">
        <v>0</v>
      </c>
      <c r="J210" s="309">
        <v>0</v>
      </c>
      <c r="K210" s="309">
        <v>0</v>
      </c>
      <c r="L210" s="309">
        <v>0</v>
      </c>
      <c r="M210" s="309">
        <v>0</v>
      </c>
      <c r="N210" s="309">
        <v>0</v>
      </c>
      <c r="O210" s="309">
        <v>0</v>
      </c>
      <c r="P210" s="309">
        <v>0</v>
      </c>
      <c r="Q210" s="309">
        <v>0</v>
      </c>
      <c r="R210" s="309">
        <v>290.15291867903898</v>
      </c>
      <c r="S210" s="309">
        <v>0</v>
      </c>
      <c r="T210" s="309">
        <v>0</v>
      </c>
      <c r="U210" s="309">
        <v>0</v>
      </c>
      <c r="V210" s="309">
        <v>0</v>
      </c>
      <c r="W210" s="309">
        <v>0</v>
      </c>
      <c r="X210" s="309">
        <v>0</v>
      </c>
      <c r="Y210" s="309">
        <v>0</v>
      </c>
      <c r="Z210" s="309">
        <v>0</v>
      </c>
      <c r="AA210" s="309">
        <v>0</v>
      </c>
      <c r="AB210" s="309">
        <v>0</v>
      </c>
      <c r="AC210" s="309">
        <v>0</v>
      </c>
      <c r="AD210" s="309">
        <v>0</v>
      </c>
      <c r="AE210" s="309">
        <v>0</v>
      </c>
      <c r="AF210" s="309">
        <v>0</v>
      </c>
      <c r="AG210" s="309">
        <v>0</v>
      </c>
      <c r="AH210" s="309">
        <v>0</v>
      </c>
      <c r="AI210" s="309">
        <v>0</v>
      </c>
      <c r="AJ210" s="309">
        <v>0</v>
      </c>
      <c r="AK210" s="309">
        <v>0</v>
      </c>
      <c r="AL210" s="309">
        <v>0</v>
      </c>
      <c r="AM210" s="309">
        <v>668.84165319492104</v>
      </c>
      <c r="AN210" s="309">
        <v>0</v>
      </c>
      <c r="AO210" s="309">
        <v>0</v>
      </c>
      <c r="AP210" s="309">
        <v>0</v>
      </c>
      <c r="AQ210" s="309">
        <v>0</v>
      </c>
      <c r="AR210" s="309">
        <v>0</v>
      </c>
      <c r="AS210" s="309">
        <v>0</v>
      </c>
      <c r="AT210" s="309">
        <v>0</v>
      </c>
      <c r="AU210" s="309">
        <v>0</v>
      </c>
      <c r="AV210" s="309">
        <v>0</v>
      </c>
      <c r="AW210" s="309">
        <v>0</v>
      </c>
      <c r="AX210" s="309">
        <v>0</v>
      </c>
      <c r="AY210" s="309">
        <v>0</v>
      </c>
      <c r="AZ210" s="309">
        <v>0</v>
      </c>
      <c r="BA210" s="309">
        <v>0</v>
      </c>
      <c r="BB210" s="309">
        <v>0</v>
      </c>
      <c r="BC210" s="309">
        <v>0</v>
      </c>
      <c r="BD210" s="309">
        <v>0</v>
      </c>
      <c r="BE210" s="309">
        <v>0</v>
      </c>
      <c r="BF210" s="309">
        <v>0</v>
      </c>
    </row>
    <row r="211" spans="1:58" x14ac:dyDescent="0.2">
      <c r="A211" s="307" t="s">
        <v>653</v>
      </c>
      <c r="B211" s="309">
        <v>0</v>
      </c>
      <c r="C211" s="309">
        <v>0</v>
      </c>
      <c r="D211" s="309">
        <v>0</v>
      </c>
      <c r="E211" s="309">
        <v>0</v>
      </c>
      <c r="F211" s="309">
        <v>0</v>
      </c>
      <c r="G211" s="309">
        <v>0</v>
      </c>
      <c r="H211" s="309">
        <v>0</v>
      </c>
      <c r="I211" s="309">
        <v>0</v>
      </c>
      <c r="J211" s="309">
        <v>0</v>
      </c>
      <c r="K211" s="309">
        <v>0</v>
      </c>
      <c r="L211" s="309">
        <v>0</v>
      </c>
      <c r="M211" s="309">
        <v>0</v>
      </c>
      <c r="N211" s="309">
        <v>0</v>
      </c>
      <c r="O211" s="309">
        <v>0</v>
      </c>
      <c r="P211" s="309">
        <v>0</v>
      </c>
      <c r="Q211" s="309">
        <v>0</v>
      </c>
      <c r="R211" s="309">
        <v>0</v>
      </c>
      <c r="S211" s="309">
        <v>0</v>
      </c>
      <c r="T211" s="309">
        <v>0</v>
      </c>
      <c r="U211" s="309">
        <v>27606.454518918301</v>
      </c>
      <c r="V211" s="309">
        <v>60240.419732123897</v>
      </c>
      <c r="W211" s="309">
        <v>0</v>
      </c>
      <c r="X211" s="309">
        <v>0</v>
      </c>
      <c r="Y211" s="309">
        <v>0</v>
      </c>
      <c r="Z211" s="309">
        <v>0</v>
      </c>
      <c r="AA211" s="309">
        <v>0</v>
      </c>
      <c r="AB211" s="309">
        <v>0</v>
      </c>
      <c r="AC211" s="309">
        <v>0</v>
      </c>
      <c r="AD211" s="309">
        <v>0</v>
      </c>
      <c r="AE211" s="309">
        <v>0</v>
      </c>
      <c r="AF211" s="309">
        <v>0</v>
      </c>
      <c r="AG211" s="309">
        <v>0</v>
      </c>
      <c r="AH211" s="309">
        <v>0</v>
      </c>
      <c r="AI211" s="309">
        <v>0</v>
      </c>
      <c r="AJ211" s="309">
        <v>13.9069217450983</v>
      </c>
      <c r="AK211" s="309">
        <v>0</v>
      </c>
      <c r="AL211" s="309">
        <v>0</v>
      </c>
      <c r="AM211" s="309">
        <v>0</v>
      </c>
      <c r="AN211" s="309">
        <v>0</v>
      </c>
      <c r="AO211" s="309">
        <v>0</v>
      </c>
      <c r="AP211" s="309">
        <v>0</v>
      </c>
      <c r="AQ211" s="309">
        <v>0</v>
      </c>
      <c r="AR211" s="309">
        <v>0</v>
      </c>
      <c r="AS211" s="309">
        <v>0</v>
      </c>
      <c r="AT211" s="309">
        <v>0</v>
      </c>
      <c r="AU211" s="309">
        <v>0</v>
      </c>
      <c r="AV211" s="309">
        <v>0</v>
      </c>
      <c r="AW211" s="309">
        <v>0</v>
      </c>
      <c r="AX211" s="309">
        <v>0</v>
      </c>
      <c r="AY211" s="309">
        <v>4306.0802326205903</v>
      </c>
      <c r="AZ211" s="309">
        <v>0</v>
      </c>
      <c r="BA211" s="309">
        <v>0</v>
      </c>
      <c r="BB211" s="309">
        <v>0</v>
      </c>
      <c r="BC211" s="309">
        <v>0</v>
      </c>
      <c r="BD211" s="309">
        <v>0</v>
      </c>
      <c r="BE211" s="309">
        <v>0</v>
      </c>
      <c r="BF211" s="309">
        <v>0</v>
      </c>
    </row>
    <row r="212" spans="1:58" x14ac:dyDescent="0.2">
      <c r="A212" s="307" t="s">
        <v>349</v>
      </c>
      <c r="B212" s="309">
        <v>0</v>
      </c>
      <c r="C212" s="309">
        <v>0</v>
      </c>
      <c r="D212" s="309">
        <v>0</v>
      </c>
      <c r="E212" s="309">
        <v>0</v>
      </c>
      <c r="F212" s="309">
        <v>0</v>
      </c>
      <c r="G212" s="309">
        <v>0</v>
      </c>
      <c r="H212" s="309">
        <v>0</v>
      </c>
      <c r="I212" s="309">
        <v>0</v>
      </c>
      <c r="J212" s="309">
        <v>0</v>
      </c>
      <c r="K212" s="309">
        <v>0</v>
      </c>
      <c r="L212" s="309">
        <v>0</v>
      </c>
      <c r="M212" s="309">
        <v>0</v>
      </c>
      <c r="N212" s="309">
        <v>0</v>
      </c>
      <c r="O212" s="309">
        <v>0</v>
      </c>
      <c r="P212" s="309">
        <v>0</v>
      </c>
      <c r="Q212" s="309">
        <v>0</v>
      </c>
      <c r="R212" s="309">
        <v>0</v>
      </c>
      <c r="S212" s="309">
        <v>0</v>
      </c>
      <c r="T212" s="309">
        <v>0</v>
      </c>
      <c r="U212" s="309">
        <v>0</v>
      </c>
      <c r="V212" s="309">
        <v>0</v>
      </c>
      <c r="W212" s="309">
        <v>0</v>
      </c>
      <c r="X212" s="309">
        <v>0</v>
      </c>
      <c r="Y212" s="309">
        <v>0</v>
      </c>
      <c r="Z212" s="309">
        <v>0</v>
      </c>
      <c r="AA212" s="309">
        <v>0</v>
      </c>
      <c r="AB212" s="309">
        <v>0</v>
      </c>
      <c r="AC212" s="309">
        <v>0</v>
      </c>
      <c r="AD212" s="309">
        <v>87222.135331413898</v>
      </c>
      <c r="AE212" s="309">
        <v>0</v>
      </c>
      <c r="AF212" s="309">
        <v>0</v>
      </c>
      <c r="AG212" s="309">
        <v>0</v>
      </c>
      <c r="AH212" s="309">
        <v>0</v>
      </c>
      <c r="AI212" s="309">
        <v>7739.25118007116</v>
      </c>
      <c r="AJ212" s="309">
        <v>0</v>
      </c>
      <c r="AK212" s="309">
        <v>0</v>
      </c>
      <c r="AL212" s="309">
        <v>0</v>
      </c>
      <c r="AM212" s="309">
        <v>0</v>
      </c>
      <c r="AN212" s="309">
        <v>0</v>
      </c>
      <c r="AO212" s="309">
        <v>0</v>
      </c>
      <c r="AP212" s="309">
        <v>0</v>
      </c>
      <c r="AQ212" s="309">
        <v>0</v>
      </c>
      <c r="AR212" s="309">
        <v>0</v>
      </c>
      <c r="AS212" s="309">
        <v>0</v>
      </c>
      <c r="AT212" s="309">
        <v>0</v>
      </c>
      <c r="AU212" s="309">
        <v>0</v>
      </c>
      <c r="AV212" s="309">
        <v>0</v>
      </c>
      <c r="AW212" s="309">
        <v>0</v>
      </c>
      <c r="AX212" s="309">
        <v>242016.07607977401</v>
      </c>
      <c r="AY212" s="309">
        <v>0</v>
      </c>
      <c r="AZ212" s="309">
        <v>0</v>
      </c>
      <c r="BA212" s="309">
        <v>0</v>
      </c>
      <c r="BB212" s="309">
        <v>0</v>
      </c>
      <c r="BC212" s="309">
        <v>0</v>
      </c>
      <c r="BD212" s="309">
        <v>0</v>
      </c>
      <c r="BE212" s="309">
        <v>0</v>
      </c>
      <c r="BF212" s="309">
        <v>0</v>
      </c>
    </row>
    <row r="213" spans="1:58" x14ac:dyDescent="0.2">
      <c r="A213" s="307" t="s">
        <v>654</v>
      </c>
      <c r="B213" s="309">
        <v>0</v>
      </c>
      <c r="C213" s="309">
        <v>0</v>
      </c>
      <c r="D213" s="309">
        <v>0</v>
      </c>
      <c r="E213" s="309">
        <v>0</v>
      </c>
      <c r="F213" s="309">
        <v>0</v>
      </c>
      <c r="G213" s="309">
        <v>0</v>
      </c>
      <c r="H213" s="309">
        <v>0</v>
      </c>
      <c r="I213" s="309">
        <v>0</v>
      </c>
      <c r="J213" s="309">
        <v>0</v>
      </c>
      <c r="K213" s="309">
        <v>0</v>
      </c>
      <c r="L213" s="309">
        <v>0</v>
      </c>
      <c r="M213" s="309">
        <v>0</v>
      </c>
      <c r="N213" s="309">
        <v>0</v>
      </c>
      <c r="O213" s="309">
        <v>0</v>
      </c>
      <c r="P213" s="309">
        <v>0</v>
      </c>
      <c r="Q213" s="309">
        <v>0</v>
      </c>
      <c r="R213" s="309">
        <v>0</v>
      </c>
      <c r="S213" s="309">
        <v>0</v>
      </c>
      <c r="T213" s="309">
        <v>0</v>
      </c>
      <c r="U213" s="309">
        <v>0</v>
      </c>
      <c r="V213" s="309">
        <v>23202.895864865601</v>
      </c>
      <c r="W213" s="309">
        <v>0</v>
      </c>
      <c r="X213" s="309">
        <v>0</v>
      </c>
      <c r="Y213" s="309">
        <v>0</v>
      </c>
      <c r="Z213" s="309">
        <v>0</v>
      </c>
      <c r="AA213" s="309">
        <v>0</v>
      </c>
      <c r="AB213" s="309">
        <v>0</v>
      </c>
      <c r="AC213" s="309">
        <v>0</v>
      </c>
      <c r="AD213" s="309">
        <v>0</v>
      </c>
      <c r="AE213" s="309">
        <v>0</v>
      </c>
      <c r="AF213" s="309">
        <v>0</v>
      </c>
      <c r="AG213" s="309">
        <v>0</v>
      </c>
      <c r="AH213" s="309">
        <v>0</v>
      </c>
      <c r="AI213" s="309">
        <v>0</v>
      </c>
      <c r="AJ213" s="309">
        <v>5.54621255405754</v>
      </c>
      <c r="AK213" s="309">
        <v>0</v>
      </c>
      <c r="AL213" s="309">
        <v>0</v>
      </c>
      <c r="AM213" s="309">
        <v>0</v>
      </c>
      <c r="AN213" s="309">
        <v>0</v>
      </c>
      <c r="AO213" s="309">
        <v>0</v>
      </c>
      <c r="AP213" s="309">
        <v>0</v>
      </c>
      <c r="AQ213" s="309">
        <v>0</v>
      </c>
      <c r="AR213" s="309">
        <v>0</v>
      </c>
      <c r="AS213" s="309">
        <v>0</v>
      </c>
      <c r="AT213" s="309">
        <v>0</v>
      </c>
      <c r="AU213" s="309">
        <v>0</v>
      </c>
      <c r="AV213" s="309">
        <v>0</v>
      </c>
      <c r="AW213" s="309">
        <v>0</v>
      </c>
      <c r="AX213" s="309">
        <v>0</v>
      </c>
      <c r="AY213" s="309">
        <v>0</v>
      </c>
      <c r="AZ213" s="309">
        <v>0</v>
      </c>
      <c r="BA213" s="309">
        <v>0</v>
      </c>
      <c r="BB213" s="309">
        <v>0</v>
      </c>
      <c r="BC213" s="309">
        <v>0</v>
      </c>
      <c r="BD213" s="309">
        <v>0</v>
      </c>
      <c r="BE213" s="309">
        <v>0</v>
      </c>
      <c r="BF213" s="309">
        <v>0</v>
      </c>
    </row>
    <row r="214" spans="1:58" x14ac:dyDescent="0.2">
      <c r="B214" s="432" t="s">
        <v>329</v>
      </c>
      <c r="C214" s="433"/>
      <c r="D214" s="433"/>
      <c r="E214" s="433"/>
      <c r="F214" s="433"/>
      <c r="G214" s="433"/>
      <c r="H214" s="433"/>
      <c r="I214" s="433"/>
      <c r="J214" s="433"/>
      <c r="K214" s="433"/>
      <c r="L214" s="433"/>
      <c r="M214" s="433"/>
      <c r="N214" s="433"/>
      <c r="O214" s="433"/>
      <c r="P214" s="433"/>
      <c r="Q214" s="433"/>
      <c r="R214" s="433"/>
      <c r="S214" s="433"/>
      <c r="T214" s="433"/>
      <c r="U214" s="433"/>
      <c r="V214" s="433"/>
      <c r="W214" s="433"/>
      <c r="X214" s="433"/>
      <c r="Y214" s="433"/>
      <c r="Z214" s="433"/>
      <c r="AA214" s="433"/>
      <c r="AB214" s="433"/>
      <c r="AC214" s="433"/>
      <c r="AD214" s="433"/>
      <c r="AE214" s="433"/>
      <c r="AF214" s="433"/>
      <c r="AG214" s="433"/>
      <c r="AH214" s="433"/>
      <c r="AI214" s="433"/>
      <c r="AJ214" s="433"/>
      <c r="AK214" s="433"/>
      <c r="AL214" s="433"/>
      <c r="AM214" s="433"/>
      <c r="AN214" s="433"/>
      <c r="AO214" s="433"/>
      <c r="AP214" s="433"/>
      <c r="AQ214" s="433"/>
      <c r="AR214" s="433"/>
      <c r="AS214" s="433"/>
      <c r="AT214" s="433"/>
      <c r="AU214" s="433"/>
      <c r="AV214" s="433"/>
      <c r="AW214" s="433"/>
      <c r="AX214" s="433"/>
      <c r="AY214" s="433"/>
      <c r="AZ214" s="433"/>
      <c r="BA214" s="433"/>
      <c r="BB214" s="433"/>
      <c r="BC214" s="433"/>
      <c r="BD214" s="433"/>
      <c r="BE214" s="433"/>
      <c r="BF214" s="433"/>
    </row>
    <row r="217" spans="1:58" ht="236" x14ac:dyDescent="0.2">
      <c r="B217" s="308" t="s">
        <v>484</v>
      </c>
      <c r="C217" s="308" t="s">
        <v>673</v>
      </c>
      <c r="D217" s="308" t="s">
        <v>421</v>
      </c>
      <c r="E217" s="308" t="s">
        <v>447</v>
      </c>
      <c r="F217" s="308" t="s">
        <v>445</v>
      </c>
      <c r="G217" s="308" t="s">
        <v>456</v>
      </c>
      <c r="H217" s="308" t="s">
        <v>430</v>
      </c>
      <c r="I217" s="308" t="s">
        <v>433</v>
      </c>
      <c r="J217" s="308" t="s">
        <v>336</v>
      </c>
      <c r="K217" s="308" t="s">
        <v>422</v>
      </c>
      <c r="L217" s="308" t="s">
        <v>674</v>
      </c>
      <c r="M217" s="308" t="s">
        <v>355</v>
      </c>
      <c r="N217" s="308" t="s">
        <v>416</v>
      </c>
      <c r="O217" s="308" t="s">
        <v>423</v>
      </c>
      <c r="P217" s="308" t="s">
        <v>409</v>
      </c>
      <c r="Q217" s="308" t="s">
        <v>437</v>
      </c>
      <c r="R217" s="308" t="s">
        <v>675</v>
      </c>
      <c r="S217" s="308" t="s">
        <v>676</v>
      </c>
      <c r="T217" s="308" t="s">
        <v>342</v>
      </c>
      <c r="U217" s="308" t="s">
        <v>448</v>
      </c>
      <c r="V217" s="308" t="s">
        <v>462</v>
      </c>
      <c r="W217" s="308" t="s">
        <v>677</v>
      </c>
      <c r="X217" s="308" t="s">
        <v>678</v>
      </c>
      <c r="Y217" s="308" t="s">
        <v>439</v>
      </c>
      <c r="Z217" s="308" t="s">
        <v>442</v>
      </c>
      <c r="AA217" s="308" t="s">
        <v>441</v>
      </c>
      <c r="AB217" s="308" t="s">
        <v>333</v>
      </c>
      <c r="AC217" s="308" t="s">
        <v>438</v>
      </c>
      <c r="AD217" s="308" t="s">
        <v>426</v>
      </c>
      <c r="AE217" s="308" t="s">
        <v>424</v>
      </c>
      <c r="AF217" s="308" t="s">
        <v>412</v>
      </c>
      <c r="AG217" s="308" t="s">
        <v>436</v>
      </c>
      <c r="AH217" s="308" t="s">
        <v>335</v>
      </c>
      <c r="AI217" s="308" t="s">
        <v>427</v>
      </c>
      <c r="AJ217" s="308" t="s">
        <v>463</v>
      </c>
      <c r="AK217" s="308" t="s">
        <v>343</v>
      </c>
      <c r="AL217" s="308" t="s">
        <v>679</v>
      </c>
      <c r="AM217" s="308" t="s">
        <v>680</v>
      </c>
      <c r="AN217" s="308" t="s">
        <v>681</v>
      </c>
      <c r="AO217" s="308" t="s">
        <v>682</v>
      </c>
      <c r="AP217" s="308" t="s">
        <v>683</v>
      </c>
      <c r="AQ217" s="308" t="s">
        <v>684</v>
      </c>
      <c r="AR217" s="308" t="s">
        <v>685</v>
      </c>
      <c r="AS217" s="308" t="s">
        <v>686</v>
      </c>
      <c r="AT217" s="308" t="s">
        <v>446</v>
      </c>
      <c r="AU217" s="308" t="s">
        <v>457</v>
      </c>
      <c r="AV217" s="308" t="s">
        <v>687</v>
      </c>
      <c r="AW217" s="308" t="s">
        <v>688</v>
      </c>
      <c r="AX217" s="308" t="s">
        <v>425</v>
      </c>
      <c r="AY217" s="308" t="s">
        <v>689</v>
      </c>
      <c r="AZ217" s="308" t="s">
        <v>690</v>
      </c>
      <c r="BA217" s="308" t="s">
        <v>691</v>
      </c>
      <c r="BB217" s="308" t="s">
        <v>552</v>
      </c>
      <c r="BC217" s="308" t="s">
        <v>517</v>
      </c>
      <c r="BD217" s="308" t="s">
        <v>515</v>
      </c>
      <c r="BE217" s="308" t="s">
        <v>692</v>
      </c>
      <c r="BF217" s="308" t="s">
        <v>693</v>
      </c>
    </row>
    <row r="218" spans="1:58" x14ac:dyDescent="0.2">
      <c r="A218" s="307" t="s">
        <v>712</v>
      </c>
      <c r="B218" s="306">
        <v>0</v>
      </c>
      <c r="C218" s="306">
        <v>0</v>
      </c>
      <c r="D218" s="306">
        <v>0</v>
      </c>
      <c r="E218" s="306">
        <v>0</v>
      </c>
      <c r="F218" s="306">
        <v>0</v>
      </c>
      <c r="G218" s="306">
        <v>0</v>
      </c>
      <c r="H218" s="306">
        <v>0</v>
      </c>
      <c r="I218" s="306">
        <v>0</v>
      </c>
      <c r="J218" s="306">
        <v>0</v>
      </c>
      <c r="K218" s="306">
        <v>0</v>
      </c>
      <c r="L218" s="306">
        <v>0</v>
      </c>
      <c r="M218" s="306">
        <v>0</v>
      </c>
      <c r="N218" s="306">
        <v>0</v>
      </c>
      <c r="O218" s="306">
        <v>0</v>
      </c>
      <c r="P218" s="306">
        <v>0</v>
      </c>
      <c r="Q218" s="306">
        <v>0</v>
      </c>
      <c r="R218" s="306">
        <v>82025.350859294602</v>
      </c>
      <c r="S218" s="306">
        <v>0</v>
      </c>
      <c r="T218" s="306">
        <v>0</v>
      </c>
      <c r="U218" s="306">
        <v>0</v>
      </c>
      <c r="V218" s="306">
        <v>0</v>
      </c>
      <c r="W218" s="306">
        <v>0</v>
      </c>
      <c r="X218" s="306">
        <v>0</v>
      </c>
      <c r="Y218" s="306">
        <v>0</v>
      </c>
      <c r="Z218" s="306">
        <v>0</v>
      </c>
      <c r="AA218" s="306">
        <v>0</v>
      </c>
      <c r="AB218" s="306">
        <v>0</v>
      </c>
      <c r="AC218" s="306">
        <v>0</v>
      </c>
      <c r="AD218" s="306">
        <v>0</v>
      </c>
      <c r="AE218" s="306">
        <v>0</v>
      </c>
      <c r="AF218" s="306">
        <v>0</v>
      </c>
      <c r="AG218" s="306">
        <v>0</v>
      </c>
      <c r="AH218" s="306">
        <v>0</v>
      </c>
      <c r="AI218" s="306">
        <v>0</v>
      </c>
      <c r="AJ218" s="306">
        <v>0</v>
      </c>
      <c r="AK218" s="306">
        <v>0</v>
      </c>
      <c r="AL218" s="306">
        <v>0</v>
      </c>
      <c r="AM218" s="306">
        <v>0</v>
      </c>
      <c r="AN218" s="306">
        <v>0</v>
      </c>
      <c r="AO218" s="306">
        <v>0</v>
      </c>
      <c r="AP218" s="306">
        <v>0</v>
      </c>
      <c r="AQ218" s="306">
        <v>0</v>
      </c>
      <c r="AR218" s="306">
        <v>0</v>
      </c>
      <c r="AS218" s="306">
        <v>0</v>
      </c>
      <c r="AT218" s="306">
        <v>0</v>
      </c>
      <c r="AU218" s="306">
        <v>0</v>
      </c>
      <c r="AV218" s="306">
        <v>0</v>
      </c>
      <c r="AW218" s="306">
        <v>0</v>
      </c>
      <c r="AX218" s="306">
        <v>0</v>
      </c>
      <c r="AY218" s="306">
        <v>0</v>
      </c>
      <c r="AZ218" s="306">
        <v>0</v>
      </c>
      <c r="BA218" s="306">
        <v>0</v>
      </c>
      <c r="BB218" s="306">
        <v>0</v>
      </c>
      <c r="BC218" s="306">
        <v>0</v>
      </c>
      <c r="BD218" s="306">
        <v>0</v>
      </c>
      <c r="BE218" s="306">
        <v>0</v>
      </c>
      <c r="BF218" s="306">
        <v>0</v>
      </c>
    </row>
    <row r="219" spans="1:58" x14ac:dyDescent="0.2">
      <c r="A219" s="307" t="s">
        <v>713</v>
      </c>
      <c r="B219" s="306">
        <v>0</v>
      </c>
      <c r="C219" s="306">
        <v>0</v>
      </c>
      <c r="D219" s="306">
        <v>0</v>
      </c>
      <c r="E219" s="306">
        <v>0</v>
      </c>
      <c r="F219" s="306">
        <v>0</v>
      </c>
      <c r="G219" s="306">
        <v>0</v>
      </c>
      <c r="H219" s="306">
        <v>0</v>
      </c>
      <c r="I219" s="306">
        <v>0</v>
      </c>
      <c r="J219" s="306">
        <v>0</v>
      </c>
      <c r="K219" s="306">
        <v>0</v>
      </c>
      <c r="L219" s="306">
        <v>0</v>
      </c>
      <c r="M219" s="306">
        <v>0</v>
      </c>
      <c r="N219" s="306">
        <v>0</v>
      </c>
      <c r="O219" s="306">
        <v>0</v>
      </c>
      <c r="P219" s="306">
        <v>0</v>
      </c>
      <c r="Q219" s="306">
        <v>0</v>
      </c>
      <c r="R219" s="306">
        <v>0</v>
      </c>
      <c r="S219" s="306">
        <v>0</v>
      </c>
      <c r="T219" s="306">
        <v>40734.729934752402</v>
      </c>
      <c r="U219" s="306">
        <v>0</v>
      </c>
      <c r="V219" s="306">
        <v>0</v>
      </c>
      <c r="W219" s="306">
        <v>0</v>
      </c>
      <c r="X219" s="306">
        <v>0</v>
      </c>
      <c r="Y219" s="306">
        <v>0</v>
      </c>
      <c r="Z219" s="306">
        <v>0</v>
      </c>
      <c r="AA219" s="306">
        <v>0</v>
      </c>
      <c r="AB219" s="306">
        <v>0</v>
      </c>
      <c r="AC219" s="306">
        <v>0</v>
      </c>
      <c r="AD219" s="306">
        <v>0</v>
      </c>
      <c r="AE219" s="306">
        <v>0</v>
      </c>
      <c r="AF219" s="306">
        <v>0</v>
      </c>
      <c r="AG219" s="306">
        <v>0</v>
      </c>
      <c r="AH219" s="306">
        <v>0</v>
      </c>
      <c r="AI219" s="306">
        <v>0</v>
      </c>
      <c r="AJ219" s="306">
        <v>0</v>
      </c>
      <c r="AK219" s="306">
        <v>0</v>
      </c>
      <c r="AL219" s="306">
        <v>0</v>
      </c>
      <c r="AM219" s="306">
        <v>0</v>
      </c>
      <c r="AN219" s="306">
        <v>0</v>
      </c>
      <c r="AO219" s="306">
        <v>0</v>
      </c>
      <c r="AP219" s="306">
        <v>0</v>
      </c>
      <c r="AQ219" s="306">
        <v>0</v>
      </c>
      <c r="AR219" s="306">
        <v>0</v>
      </c>
      <c r="AS219" s="306">
        <v>0</v>
      </c>
      <c r="AT219" s="306">
        <v>0</v>
      </c>
      <c r="AU219" s="306">
        <v>0</v>
      </c>
      <c r="AV219" s="306">
        <v>0</v>
      </c>
      <c r="AW219" s="306">
        <v>0</v>
      </c>
      <c r="AX219" s="306">
        <v>0</v>
      </c>
      <c r="AY219" s="306">
        <v>0</v>
      </c>
      <c r="AZ219" s="306">
        <v>0</v>
      </c>
      <c r="BA219" s="306">
        <v>0</v>
      </c>
      <c r="BB219" s="306">
        <v>0</v>
      </c>
      <c r="BC219" s="306">
        <v>0</v>
      </c>
      <c r="BD219" s="306">
        <v>0</v>
      </c>
      <c r="BE219" s="306">
        <v>0</v>
      </c>
      <c r="BF219" s="306">
        <v>0</v>
      </c>
    </row>
    <row r="220" spans="1:58" x14ac:dyDescent="0.2">
      <c r="A220" s="307" t="s">
        <v>714</v>
      </c>
      <c r="B220" s="306">
        <v>0</v>
      </c>
      <c r="C220" s="306">
        <v>0</v>
      </c>
      <c r="D220" s="306">
        <v>0</v>
      </c>
      <c r="E220" s="306">
        <v>0</v>
      </c>
      <c r="F220" s="306">
        <v>0</v>
      </c>
      <c r="G220" s="306">
        <v>0</v>
      </c>
      <c r="H220" s="306">
        <v>0</v>
      </c>
      <c r="I220" s="306">
        <v>0</v>
      </c>
      <c r="J220" s="306">
        <v>0</v>
      </c>
      <c r="K220" s="306">
        <v>0</v>
      </c>
      <c r="L220" s="306">
        <v>0</v>
      </c>
      <c r="M220" s="306">
        <v>0</v>
      </c>
      <c r="N220" s="306">
        <v>0</v>
      </c>
      <c r="O220" s="306">
        <v>0</v>
      </c>
      <c r="P220" s="306">
        <v>0</v>
      </c>
      <c r="Q220" s="306">
        <v>0</v>
      </c>
      <c r="R220" s="306">
        <v>0</v>
      </c>
      <c r="S220" s="306">
        <v>0</v>
      </c>
      <c r="T220" s="306">
        <v>0</v>
      </c>
      <c r="U220" s="306">
        <v>872.21663759437695</v>
      </c>
      <c r="V220" s="306">
        <v>0</v>
      </c>
      <c r="W220" s="306">
        <v>0</v>
      </c>
      <c r="X220" s="306">
        <v>0</v>
      </c>
      <c r="Y220" s="306">
        <v>0</v>
      </c>
      <c r="Z220" s="306">
        <v>0</v>
      </c>
      <c r="AA220" s="306">
        <v>0</v>
      </c>
      <c r="AB220" s="306">
        <v>0</v>
      </c>
      <c r="AC220" s="306">
        <v>0</v>
      </c>
      <c r="AD220" s="306">
        <v>0</v>
      </c>
      <c r="AE220" s="306">
        <v>0</v>
      </c>
      <c r="AF220" s="306">
        <v>0</v>
      </c>
      <c r="AG220" s="306">
        <v>0</v>
      </c>
      <c r="AH220" s="306">
        <v>0</v>
      </c>
      <c r="AI220" s="306">
        <v>0</v>
      </c>
      <c r="AJ220" s="306">
        <v>0</v>
      </c>
      <c r="AK220" s="306">
        <v>0</v>
      </c>
      <c r="AL220" s="306">
        <v>0</v>
      </c>
      <c r="AM220" s="306">
        <v>0</v>
      </c>
      <c r="AN220" s="306">
        <v>0</v>
      </c>
      <c r="AO220" s="306">
        <v>0</v>
      </c>
      <c r="AP220" s="306">
        <v>0</v>
      </c>
      <c r="AQ220" s="306">
        <v>0</v>
      </c>
      <c r="AR220" s="306">
        <v>0</v>
      </c>
      <c r="AS220" s="306">
        <v>0</v>
      </c>
      <c r="AT220" s="306">
        <v>0</v>
      </c>
      <c r="AU220" s="306">
        <v>0</v>
      </c>
      <c r="AV220" s="306">
        <v>0</v>
      </c>
      <c r="AW220" s="306">
        <v>0</v>
      </c>
      <c r="AX220" s="306">
        <v>0</v>
      </c>
      <c r="AY220" s="306">
        <v>0</v>
      </c>
      <c r="AZ220" s="306">
        <v>0</v>
      </c>
      <c r="BA220" s="306">
        <v>0</v>
      </c>
      <c r="BB220" s="306">
        <v>0</v>
      </c>
      <c r="BC220" s="306">
        <v>0</v>
      </c>
      <c r="BD220" s="306">
        <v>0</v>
      </c>
      <c r="BE220" s="306">
        <v>0</v>
      </c>
      <c r="BF220" s="306">
        <v>0</v>
      </c>
    </row>
    <row r="221" spans="1:58" x14ac:dyDescent="0.2">
      <c r="A221" s="307" t="s">
        <v>715</v>
      </c>
      <c r="B221" s="306">
        <v>0</v>
      </c>
      <c r="C221" s="306">
        <v>0</v>
      </c>
      <c r="D221" s="306">
        <v>0</v>
      </c>
      <c r="E221" s="306">
        <v>0</v>
      </c>
      <c r="F221" s="306">
        <v>0</v>
      </c>
      <c r="G221" s="306">
        <v>0</v>
      </c>
      <c r="H221" s="306">
        <v>0</v>
      </c>
      <c r="I221" s="306">
        <v>0</v>
      </c>
      <c r="J221" s="306">
        <v>0</v>
      </c>
      <c r="K221" s="306">
        <v>0</v>
      </c>
      <c r="L221" s="306">
        <v>0</v>
      </c>
      <c r="M221" s="306">
        <v>0</v>
      </c>
      <c r="N221" s="306">
        <v>0</v>
      </c>
      <c r="O221" s="306">
        <v>0</v>
      </c>
      <c r="P221" s="306">
        <v>0</v>
      </c>
      <c r="Q221" s="306">
        <v>0</v>
      </c>
      <c r="R221" s="306">
        <v>0</v>
      </c>
      <c r="S221" s="306">
        <v>0</v>
      </c>
      <c r="T221" s="306">
        <v>0</v>
      </c>
      <c r="U221" s="306">
        <v>0</v>
      </c>
      <c r="V221" s="306">
        <v>36781.329005505002</v>
      </c>
      <c r="W221" s="306">
        <v>0</v>
      </c>
      <c r="X221" s="306">
        <v>0</v>
      </c>
      <c r="Y221" s="306">
        <v>0</v>
      </c>
      <c r="Z221" s="306">
        <v>0</v>
      </c>
      <c r="AA221" s="306">
        <v>0</v>
      </c>
      <c r="AB221" s="306">
        <v>0</v>
      </c>
      <c r="AC221" s="306">
        <v>0</v>
      </c>
      <c r="AD221" s="306">
        <v>0</v>
      </c>
      <c r="AE221" s="306">
        <v>0</v>
      </c>
      <c r="AF221" s="306">
        <v>0</v>
      </c>
      <c r="AG221" s="306">
        <v>0</v>
      </c>
      <c r="AH221" s="306">
        <v>0</v>
      </c>
      <c r="AI221" s="306">
        <v>0</v>
      </c>
      <c r="AJ221" s="306">
        <v>0</v>
      </c>
      <c r="AK221" s="306">
        <v>0</v>
      </c>
      <c r="AL221" s="306">
        <v>0</v>
      </c>
      <c r="AM221" s="306">
        <v>0</v>
      </c>
      <c r="AN221" s="306">
        <v>0</v>
      </c>
      <c r="AO221" s="306">
        <v>0</v>
      </c>
      <c r="AP221" s="306">
        <v>0</v>
      </c>
      <c r="AQ221" s="306">
        <v>0</v>
      </c>
      <c r="AR221" s="306">
        <v>0</v>
      </c>
      <c r="AS221" s="306">
        <v>0</v>
      </c>
      <c r="AT221" s="306">
        <v>0</v>
      </c>
      <c r="AU221" s="306">
        <v>0</v>
      </c>
      <c r="AV221" s="306">
        <v>0</v>
      </c>
      <c r="AW221" s="306">
        <v>0</v>
      </c>
      <c r="AX221" s="306">
        <v>0</v>
      </c>
      <c r="AY221" s="306">
        <v>0</v>
      </c>
      <c r="AZ221" s="306">
        <v>0</v>
      </c>
      <c r="BA221" s="306">
        <v>0</v>
      </c>
      <c r="BB221" s="306">
        <v>0</v>
      </c>
      <c r="BC221" s="306">
        <v>0</v>
      </c>
      <c r="BD221" s="306">
        <v>0</v>
      </c>
      <c r="BE221" s="306">
        <v>0</v>
      </c>
      <c r="BF221" s="306">
        <v>0</v>
      </c>
    </row>
    <row r="222" spans="1:58" x14ac:dyDescent="0.2">
      <c r="A222" s="307" t="s">
        <v>716</v>
      </c>
      <c r="B222" s="306">
        <v>0</v>
      </c>
      <c r="C222" s="306">
        <v>0</v>
      </c>
      <c r="D222" s="306">
        <v>0</v>
      </c>
      <c r="E222" s="306">
        <v>0</v>
      </c>
      <c r="F222" s="306">
        <v>0</v>
      </c>
      <c r="G222" s="306">
        <v>0</v>
      </c>
      <c r="H222" s="306">
        <v>0</v>
      </c>
      <c r="I222" s="306">
        <v>0</v>
      </c>
      <c r="J222" s="306">
        <v>0</v>
      </c>
      <c r="K222" s="306">
        <v>0</v>
      </c>
      <c r="L222" s="306">
        <v>0</v>
      </c>
      <c r="M222" s="306">
        <v>0</v>
      </c>
      <c r="N222" s="306">
        <v>0</v>
      </c>
      <c r="O222" s="306">
        <v>0</v>
      </c>
      <c r="P222" s="306">
        <v>0</v>
      </c>
      <c r="Q222" s="306">
        <v>0</v>
      </c>
      <c r="R222" s="306">
        <v>0</v>
      </c>
      <c r="S222" s="306">
        <v>0</v>
      </c>
      <c r="T222" s="306">
        <v>0</v>
      </c>
      <c r="U222" s="306">
        <v>0</v>
      </c>
      <c r="V222" s="306">
        <v>0</v>
      </c>
      <c r="W222" s="306">
        <v>0</v>
      </c>
      <c r="X222" s="306">
        <v>0</v>
      </c>
      <c r="Y222" s="306">
        <v>0</v>
      </c>
      <c r="Z222" s="306">
        <v>0</v>
      </c>
      <c r="AA222" s="306">
        <v>0</v>
      </c>
      <c r="AB222" s="306">
        <v>0</v>
      </c>
      <c r="AC222" s="306">
        <v>0</v>
      </c>
      <c r="AD222" s="306">
        <v>0</v>
      </c>
      <c r="AE222" s="306">
        <v>0</v>
      </c>
      <c r="AF222" s="306">
        <v>0</v>
      </c>
      <c r="AG222" s="306">
        <v>0</v>
      </c>
      <c r="AH222" s="306">
        <v>0</v>
      </c>
      <c r="AI222" s="306">
        <v>0</v>
      </c>
      <c r="AJ222" s="306">
        <v>2.7994452863509598</v>
      </c>
      <c r="AK222" s="306">
        <v>0</v>
      </c>
      <c r="AL222" s="306">
        <v>0</v>
      </c>
      <c r="AM222" s="306">
        <v>0</v>
      </c>
      <c r="AN222" s="306">
        <v>0</v>
      </c>
      <c r="AO222" s="306">
        <v>0</v>
      </c>
      <c r="AP222" s="306">
        <v>0</v>
      </c>
      <c r="AQ222" s="306">
        <v>0</v>
      </c>
      <c r="AR222" s="306">
        <v>0</v>
      </c>
      <c r="AS222" s="306">
        <v>0</v>
      </c>
      <c r="AT222" s="306">
        <v>0</v>
      </c>
      <c r="AU222" s="306">
        <v>0</v>
      </c>
      <c r="AV222" s="306">
        <v>0</v>
      </c>
      <c r="AW222" s="306">
        <v>0</v>
      </c>
      <c r="AX222" s="306">
        <v>0</v>
      </c>
      <c r="AY222" s="306">
        <v>0</v>
      </c>
      <c r="AZ222" s="306">
        <v>0</v>
      </c>
      <c r="BA222" s="306">
        <v>0</v>
      </c>
      <c r="BB222" s="306">
        <v>0</v>
      </c>
      <c r="BC222" s="306">
        <v>0</v>
      </c>
      <c r="BD222" s="306">
        <v>0</v>
      </c>
      <c r="BE222" s="306">
        <v>0</v>
      </c>
      <c r="BF222" s="306">
        <v>0</v>
      </c>
    </row>
    <row r="223" spans="1:58" x14ac:dyDescent="0.2">
      <c r="A223" s="307" t="s">
        <v>717</v>
      </c>
      <c r="B223" s="306">
        <v>0</v>
      </c>
      <c r="C223" s="306">
        <v>0</v>
      </c>
      <c r="D223" s="306">
        <v>0</v>
      </c>
      <c r="E223" s="306">
        <v>0</v>
      </c>
      <c r="F223" s="306">
        <v>0</v>
      </c>
      <c r="G223" s="306">
        <v>0</v>
      </c>
      <c r="H223" s="306">
        <v>0</v>
      </c>
      <c r="I223" s="306">
        <v>0</v>
      </c>
      <c r="J223" s="306">
        <v>0</v>
      </c>
      <c r="K223" s="306">
        <v>0</v>
      </c>
      <c r="L223" s="306">
        <v>0</v>
      </c>
      <c r="M223" s="306">
        <v>0</v>
      </c>
      <c r="N223" s="306">
        <v>0</v>
      </c>
      <c r="O223" s="306">
        <v>0</v>
      </c>
      <c r="P223" s="306">
        <v>0</v>
      </c>
      <c r="Q223" s="306">
        <v>0</v>
      </c>
      <c r="R223" s="306">
        <v>0</v>
      </c>
      <c r="S223" s="306">
        <v>0</v>
      </c>
      <c r="T223" s="306">
        <v>0</v>
      </c>
      <c r="U223" s="306">
        <v>0</v>
      </c>
      <c r="V223" s="306">
        <v>0</v>
      </c>
      <c r="W223" s="306">
        <v>0</v>
      </c>
      <c r="X223" s="306">
        <v>0</v>
      </c>
      <c r="Y223" s="306">
        <v>0</v>
      </c>
      <c r="Z223" s="306">
        <v>0</v>
      </c>
      <c r="AA223" s="306">
        <v>0</v>
      </c>
      <c r="AB223" s="306">
        <v>0</v>
      </c>
      <c r="AC223" s="306">
        <v>0</v>
      </c>
      <c r="AD223" s="306">
        <v>0</v>
      </c>
      <c r="AE223" s="306">
        <v>0</v>
      </c>
      <c r="AF223" s="306">
        <v>0</v>
      </c>
      <c r="AG223" s="306">
        <v>0</v>
      </c>
      <c r="AH223" s="306">
        <v>0</v>
      </c>
      <c r="AI223" s="306">
        <v>0</v>
      </c>
      <c r="AJ223" s="306">
        <v>0</v>
      </c>
      <c r="AK223" s="306">
        <v>11125349.8339001</v>
      </c>
      <c r="AL223" s="306">
        <v>0</v>
      </c>
      <c r="AM223" s="306">
        <v>0</v>
      </c>
      <c r="AN223" s="306">
        <v>0</v>
      </c>
      <c r="AO223" s="306">
        <v>0</v>
      </c>
      <c r="AP223" s="306">
        <v>0</v>
      </c>
      <c r="AQ223" s="306">
        <v>0</v>
      </c>
      <c r="AR223" s="306">
        <v>0</v>
      </c>
      <c r="AS223" s="306">
        <v>0</v>
      </c>
      <c r="AT223" s="306">
        <v>0</v>
      </c>
      <c r="AU223" s="306">
        <v>0</v>
      </c>
      <c r="AV223" s="306">
        <v>0</v>
      </c>
      <c r="AW223" s="306">
        <v>0</v>
      </c>
      <c r="AX223" s="306">
        <v>0</v>
      </c>
      <c r="AY223" s="306">
        <v>0</v>
      </c>
      <c r="AZ223" s="306">
        <v>0</v>
      </c>
      <c r="BA223" s="306">
        <v>0</v>
      </c>
      <c r="BB223" s="306">
        <v>0</v>
      </c>
      <c r="BC223" s="306">
        <v>0</v>
      </c>
      <c r="BD223" s="306">
        <v>0</v>
      </c>
      <c r="BE223" s="306">
        <v>0</v>
      </c>
      <c r="BF223" s="306">
        <v>0</v>
      </c>
    </row>
    <row r="224" spans="1:58" x14ac:dyDescent="0.2">
      <c r="A224" s="307" t="s">
        <v>718</v>
      </c>
      <c r="B224" s="306">
        <v>0</v>
      </c>
      <c r="C224" s="306">
        <v>0</v>
      </c>
      <c r="D224" s="306">
        <v>0</v>
      </c>
      <c r="E224" s="306">
        <v>0</v>
      </c>
      <c r="F224" s="306">
        <v>0</v>
      </c>
      <c r="G224" s="306">
        <v>0</v>
      </c>
      <c r="H224" s="306">
        <v>0</v>
      </c>
      <c r="I224" s="306">
        <v>0</v>
      </c>
      <c r="J224" s="306">
        <v>0</v>
      </c>
      <c r="K224" s="306">
        <v>0</v>
      </c>
      <c r="L224" s="306">
        <v>0</v>
      </c>
      <c r="M224" s="306">
        <v>0</v>
      </c>
      <c r="N224" s="306">
        <v>0</v>
      </c>
      <c r="O224" s="306">
        <v>0</v>
      </c>
      <c r="P224" s="306">
        <v>0</v>
      </c>
      <c r="Q224" s="306">
        <v>0</v>
      </c>
      <c r="R224" s="306">
        <v>0</v>
      </c>
      <c r="S224" s="306">
        <v>0</v>
      </c>
      <c r="T224" s="306">
        <v>0</v>
      </c>
      <c r="U224" s="306">
        <v>0</v>
      </c>
      <c r="V224" s="306">
        <v>0</v>
      </c>
      <c r="W224" s="306">
        <v>0</v>
      </c>
      <c r="X224" s="306">
        <v>0</v>
      </c>
      <c r="Y224" s="306">
        <v>0</v>
      </c>
      <c r="Z224" s="306">
        <v>0</v>
      </c>
      <c r="AA224" s="306">
        <v>0</v>
      </c>
      <c r="AB224" s="306">
        <v>0</v>
      </c>
      <c r="AC224" s="306">
        <v>0</v>
      </c>
      <c r="AD224" s="306">
        <v>0</v>
      </c>
      <c r="AE224" s="306">
        <v>0</v>
      </c>
      <c r="AF224" s="306">
        <v>0</v>
      </c>
      <c r="AG224" s="306">
        <v>0</v>
      </c>
      <c r="AH224" s="306">
        <v>0</v>
      </c>
      <c r="AI224" s="306">
        <v>0</v>
      </c>
      <c r="AJ224" s="306">
        <v>0</v>
      </c>
      <c r="AK224" s="306">
        <v>0</v>
      </c>
      <c r="AL224" s="306">
        <v>0</v>
      </c>
      <c r="AM224" s="306">
        <v>0</v>
      </c>
      <c r="AN224" s="306">
        <v>0</v>
      </c>
      <c r="AO224" s="306">
        <v>0</v>
      </c>
      <c r="AP224" s="306">
        <v>0</v>
      </c>
      <c r="AQ224" s="306">
        <v>0</v>
      </c>
      <c r="AR224" s="306">
        <v>0</v>
      </c>
      <c r="AS224" s="306">
        <v>0</v>
      </c>
      <c r="AT224" s="306">
        <v>0</v>
      </c>
      <c r="AU224" s="306">
        <v>0</v>
      </c>
      <c r="AV224" s="306">
        <v>24.966118436670801</v>
      </c>
      <c r="AW224" s="306">
        <v>0</v>
      </c>
      <c r="AX224" s="306">
        <v>0</v>
      </c>
      <c r="AY224" s="306">
        <v>0</v>
      </c>
      <c r="AZ224" s="306">
        <v>0</v>
      </c>
      <c r="BA224" s="306">
        <v>0</v>
      </c>
      <c r="BB224" s="306">
        <v>0</v>
      </c>
      <c r="BC224" s="306">
        <v>0</v>
      </c>
      <c r="BD224" s="306">
        <v>0</v>
      </c>
      <c r="BE224" s="306">
        <v>0</v>
      </c>
      <c r="BF224" s="306">
        <v>0</v>
      </c>
    </row>
    <row r="225" spans="1:58" x14ac:dyDescent="0.2">
      <c r="A225" s="307" t="s">
        <v>719</v>
      </c>
      <c r="B225" s="306">
        <v>0</v>
      </c>
      <c r="C225" s="306">
        <v>45017.590801780199</v>
      </c>
      <c r="D225" s="306">
        <v>0</v>
      </c>
      <c r="E225" s="306">
        <v>0</v>
      </c>
      <c r="F225" s="306">
        <v>0</v>
      </c>
      <c r="G225" s="306">
        <v>0</v>
      </c>
      <c r="H225" s="306">
        <v>0</v>
      </c>
      <c r="I225" s="306">
        <v>0</v>
      </c>
      <c r="J225" s="306">
        <v>0</v>
      </c>
      <c r="K225" s="306">
        <v>0</v>
      </c>
      <c r="L225" s="306">
        <v>0</v>
      </c>
      <c r="M225" s="306">
        <v>0</v>
      </c>
      <c r="N225" s="306">
        <v>0</v>
      </c>
      <c r="O225" s="306">
        <v>0</v>
      </c>
      <c r="P225" s="306">
        <v>0</v>
      </c>
      <c r="Q225" s="306">
        <v>0</v>
      </c>
      <c r="R225" s="306">
        <v>0</v>
      </c>
      <c r="S225" s="306">
        <v>0</v>
      </c>
      <c r="T225" s="306">
        <v>0</v>
      </c>
      <c r="U225" s="306">
        <v>0</v>
      </c>
      <c r="V225" s="306">
        <v>0</v>
      </c>
      <c r="W225" s="306">
        <v>0</v>
      </c>
      <c r="X225" s="306">
        <v>0</v>
      </c>
      <c r="Y225" s="306">
        <v>0</v>
      </c>
      <c r="Z225" s="306">
        <v>0</v>
      </c>
      <c r="AA225" s="306">
        <v>0</v>
      </c>
      <c r="AB225" s="306">
        <v>0</v>
      </c>
      <c r="AC225" s="306">
        <v>0</v>
      </c>
      <c r="AD225" s="306">
        <v>0</v>
      </c>
      <c r="AE225" s="306">
        <v>0</v>
      </c>
      <c r="AF225" s="306">
        <v>0</v>
      </c>
      <c r="AG225" s="306">
        <v>0</v>
      </c>
      <c r="AH225" s="306">
        <v>0</v>
      </c>
      <c r="AI225" s="306">
        <v>0</v>
      </c>
      <c r="AJ225" s="306">
        <v>0</v>
      </c>
      <c r="AK225" s="306">
        <v>0</v>
      </c>
      <c r="AL225" s="306">
        <v>0</v>
      </c>
      <c r="AM225" s="306">
        <v>0</v>
      </c>
      <c r="AN225" s="306">
        <v>0</v>
      </c>
      <c r="AO225" s="306">
        <v>0</v>
      </c>
      <c r="AP225" s="306">
        <v>0</v>
      </c>
      <c r="AQ225" s="306">
        <v>0</v>
      </c>
      <c r="AR225" s="306">
        <v>0</v>
      </c>
      <c r="AS225" s="306">
        <v>0</v>
      </c>
      <c r="AT225" s="306">
        <v>0</v>
      </c>
      <c r="AU225" s="306">
        <v>0</v>
      </c>
      <c r="AV225" s="306">
        <v>0</v>
      </c>
      <c r="AW225" s="306">
        <v>0</v>
      </c>
      <c r="AX225" s="306">
        <v>0</v>
      </c>
      <c r="AY225" s="306">
        <v>0</v>
      </c>
      <c r="AZ225" s="306">
        <v>0</v>
      </c>
      <c r="BA225" s="306">
        <v>0</v>
      </c>
      <c r="BB225" s="306">
        <v>0</v>
      </c>
      <c r="BC225" s="306">
        <v>0</v>
      </c>
      <c r="BD225" s="306">
        <v>0</v>
      </c>
      <c r="BE225" s="306">
        <v>0</v>
      </c>
      <c r="BF225" s="306">
        <v>0</v>
      </c>
    </row>
    <row r="226" spans="1:58" x14ac:dyDescent="0.2">
      <c r="A226" s="307" t="s">
        <v>356</v>
      </c>
      <c r="B226" s="306">
        <v>0</v>
      </c>
      <c r="C226" s="306">
        <v>0</v>
      </c>
      <c r="D226" s="306">
        <v>0</v>
      </c>
      <c r="E226" s="306">
        <v>0</v>
      </c>
      <c r="F226" s="306">
        <v>0</v>
      </c>
      <c r="G226" s="306">
        <v>0</v>
      </c>
      <c r="H226" s="306">
        <v>0</v>
      </c>
      <c r="I226" s="306">
        <v>0</v>
      </c>
      <c r="J226" s="306">
        <v>8850991.3601140399</v>
      </c>
      <c r="K226" s="306">
        <v>0</v>
      </c>
      <c r="L226" s="306">
        <v>0</v>
      </c>
      <c r="M226" s="306">
        <v>0</v>
      </c>
      <c r="N226" s="306">
        <v>0</v>
      </c>
      <c r="O226" s="306">
        <v>0</v>
      </c>
      <c r="P226" s="306">
        <v>0</v>
      </c>
      <c r="Q226" s="306">
        <v>0</v>
      </c>
      <c r="R226" s="306">
        <v>0</v>
      </c>
      <c r="S226" s="306">
        <v>0</v>
      </c>
      <c r="T226" s="306">
        <v>0</v>
      </c>
      <c r="U226" s="306">
        <v>0</v>
      </c>
      <c r="V226" s="306">
        <v>0</v>
      </c>
      <c r="W226" s="306">
        <v>0</v>
      </c>
      <c r="X226" s="306">
        <v>0</v>
      </c>
      <c r="Y226" s="306">
        <v>0</v>
      </c>
      <c r="Z226" s="306">
        <v>0</v>
      </c>
      <c r="AA226" s="306">
        <v>0</v>
      </c>
      <c r="AB226" s="306">
        <v>0</v>
      </c>
      <c r="AC226" s="306">
        <v>0</v>
      </c>
      <c r="AD226" s="306">
        <v>0</v>
      </c>
      <c r="AE226" s="306">
        <v>0</v>
      </c>
      <c r="AF226" s="306">
        <v>0</v>
      </c>
      <c r="AG226" s="306">
        <v>0</v>
      </c>
      <c r="AH226" s="306">
        <v>0</v>
      </c>
      <c r="AI226" s="306">
        <v>0</v>
      </c>
      <c r="AJ226" s="306">
        <v>0</v>
      </c>
      <c r="AK226" s="306">
        <v>0</v>
      </c>
      <c r="AL226" s="306">
        <v>0</v>
      </c>
      <c r="AM226" s="306">
        <v>0</v>
      </c>
      <c r="AN226" s="306">
        <v>0</v>
      </c>
      <c r="AO226" s="306">
        <v>0</v>
      </c>
      <c r="AP226" s="306">
        <v>0</v>
      </c>
      <c r="AQ226" s="306">
        <v>0</v>
      </c>
      <c r="AR226" s="306">
        <v>0</v>
      </c>
      <c r="AS226" s="306">
        <v>0</v>
      </c>
      <c r="AT226" s="306">
        <v>0</v>
      </c>
      <c r="AU226" s="306">
        <v>0</v>
      </c>
      <c r="AV226" s="306">
        <v>0</v>
      </c>
      <c r="AW226" s="306">
        <v>0</v>
      </c>
      <c r="AX226" s="306">
        <v>0</v>
      </c>
      <c r="AY226" s="306">
        <v>0</v>
      </c>
      <c r="AZ226" s="306">
        <v>0</v>
      </c>
      <c r="BA226" s="306">
        <v>0</v>
      </c>
      <c r="BB226" s="306">
        <v>0</v>
      </c>
      <c r="BC226" s="306">
        <v>0</v>
      </c>
      <c r="BD226" s="306">
        <v>0</v>
      </c>
      <c r="BE226" s="306">
        <v>0</v>
      </c>
      <c r="BF226" s="306">
        <v>0</v>
      </c>
    </row>
    <row r="227" spans="1:58" x14ac:dyDescent="0.2">
      <c r="A227" s="307" t="s">
        <v>720</v>
      </c>
      <c r="B227" s="306">
        <v>0</v>
      </c>
      <c r="C227" s="306">
        <v>0</v>
      </c>
      <c r="D227" s="306">
        <v>0</v>
      </c>
      <c r="E227" s="306">
        <v>0</v>
      </c>
      <c r="F227" s="306">
        <v>0</v>
      </c>
      <c r="G227" s="306">
        <v>0</v>
      </c>
      <c r="H227" s="306">
        <v>0</v>
      </c>
      <c r="I227" s="306">
        <v>0</v>
      </c>
      <c r="J227" s="306">
        <v>0</v>
      </c>
      <c r="K227" s="306">
        <v>0</v>
      </c>
      <c r="L227" s="306">
        <v>66251.174567632304</v>
      </c>
      <c r="M227" s="306">
        <v>0</v>
      </c>
      <c r="N227" s="306">
        <v>0</v>
      </c>
      <c r="O227" s="306">
        <v>0</v>
      </c>
      <c r="P227" s="306">
        <v>0</v>
      </c>
      <c r="Q227" s="306">
        <v>0</v>
      </c>
      <c r="R227" s="306">
        <v>0</v>
      </c>
      <c r="S227" s="306">
        <v>0</v>
      </c>
      <c r="T227" s="306">
        <v>0</v>
      </c>
      <c r="U227" s="306">
        <v>0</v>
      </c>
      <c r="V227" s="306">
        <v>0</v>
      </c>
      <c r="W227" s="306">
        <v>0</v>
      </c>
      <c r="X227" s="306">
        <v>0</v>
      </c>
      <c r="Y227" s="306">
        <v>0</v>
      </c>
      <c r="Z227" s="306">
        <v>0</v>
      </c>
      <c r="AA227" s="306">
        <v>0</v>
      </c>
      <c r="AB227" s="306">
        <v>0</v>
      </c>
      <c r="AC227" s="306">
        <v>0</v>
      </c>
      <c r="AD227" s="306">
        <v>0</v>
      </c>
      <c r="AE227" s="306">
        <v>0</v>
      </c>
      <c r="AF227" s="306">
        <v>0</v>
      </c>
      <c r="AG227" s="306">
        <v>0</v>
      </c>
      <c r="AH227" s="306">
        <v>0</v>
      </c>
      <c r="AI227" s="306">
        <v>0</v>
      </c>
      <c r="AJ227" s="306">
        <v>0</v>
      </c>
      <c r="AK227" s="306">
        <v>0</v>
      </c>
      <c r="AL227" s="306">
        <v>0</v>
      </c>
      <c r="AM227" s="306">
        <v>0</v>
      </c>
      <c r="AN227" s="306">
        <v>0</v>
      </c>
      <c r="AO227" s="306">
        <v>0</v>
      </c>
      <c r="AP227" s="306">
        <v>0</v>
      </c>
      <c r="AQ227" s="306">
        <v>0</v>
      </c>
      <c r="AR227" s="306">
        <v>0</v>
      </c>
      <c r="AS227" s="306">
        <v>0</v>
      </c>
      <c r="AT227" s="306">
        <v>0</v>
      </c>
      <c r="AU227" s="306">
        <v>0</v>
      </c>
      <c r="AV227" s="306">
        <v>0</v>
      </c>
      <c r="AW227" s="306">
        <v>0</v>
      </c>
      <c r="AX227" s="306">
        <v>0</v>
      </c>
      <c r="AY227" s="306">
        <v>0</v>
      </c>
      <c r="AZ227" s="306">
        <v>0</v>
      </c>
      <c r="BA227" s="306">
        <v>0</v>
      </c>
      <c r="BB227" s="306">
        <v>0</v>
      </c>
      <c r="BC227" s="306">
        <v>0</v>
      </c>
      <c r="BD227" s="306">
        <v>0</v>
      </c>
      <c r="BE227" s="306">
        <v>0</v>
      </c>
      <c r="BF227" s="306">
        <v>0</v>
      </c>
    </row>
    <row r="228" spans="1:58" x14ac:dyDescent="0.2">
      <c r="A228" s="307" t="s">
        <v>380</v>
      </c>
      <c r="B228" s="306">
        <v>0</v>
      </c>
      <c r="C228" s="306">
        <v>0</v>
      </c>
      <c r="D228" s="306">
        <v>0</v>
      </c>
      <c r="E228" s="306">
        <v>0</v>
      </c>
      <c r="F228" s="306">
        <v>0</v>
      </c>
      <c r="G228" s="306">
        <v>0</v>
      </c>
      <c r="H228" s="306">
        <v>0</v>
      </c>
      <c r="I228" s="306">
        <v>0</v>
      </c>
      <c r="J228" s="306">
        <v>0</v>
      </c>
      <c r="K228" s="306">
        <v>0</v>
      </c>
      <c r="L228" s="306">
        <v>0</v>
      </c>
      <c r="M228" s="306">
        <v>29146.460466184501</v>
      </c>
      <c r="N228" s="306">
        <v>0</v>
      </c>
      <c r="O228" s="306">
        <v>0</v>
      </c>
      <c r="P228" s="306">
        <v>0</v>
      </c>
      <c r="Q228" s="306">
        <v>0</v>
      </c>
      <c r="R228" s="306">
        <v>0</v>
      </c>
      <c r="S228" s="306">
        <v>0</v>
      </c>
      <c r="T228" s="306">
        <v>0</v>
      </c>
      <c r="U228" s="306">
        <v>0</v>
      </c>
      <c r="V228" s="306">
        <v>0</v>
      </c>
      <c r="W228" s="306">
        <v>0</v>
      </c>
      <c r="X228" s="306">
        <v>0</v>
      </c>
      <c r="Y228" s="306">
        <v>0</v>
      </c>
      <c r="Z228" s="306">
        <v>0</v>
      </c>
      <c r="AA228" s="306">
        <v>0</v>
      </c>
      <c r="AB228" s="306">
        <v>0</v>
      </c>
      <c r="AC228" s="306">
        <v>0</v>
      </c>
      <c r="AD228" s="306">
        <v>0</v>
      </c>
      <c r="AE228" s="306">
        <v>0</v>
      </c>
      <c r="AF228" s="306">
        <v>0</v>
      </c>
      <c r="AG228" s="306">
        <v>0</v>
      </c>
      <c r="AH228" s="306">
        <v>0</v>
      </c>
      <c r="AI228" s="306">
        <v>0</v>
      </c>
      <c r="AJ228" s="306">
        <v>0</v>
      </c>
      <c r="AK228" s="306">
        <v>0</v>
      </c>
      <c r="AL228" s="306">
        <v>0</v>
      </c>
      <c r="AM228" s="306">
        <v>0</v>
      </c>
      <c r="AN228" s="306">
        <v>0</v>
      </c>
      <c r="AO228" s="306">
        <v>0</v>
      </c>
      <c r="AP228" s="306">
        <v>0</v>
      </c>
      <c r="AQ228" s="306">
        <v>0</v>
      </c>
      <c r="AR228" s="306">
        <v>0</v>
      </c>
      <c r="AS228" s="306">
        <v>0</v>
      </c>
      <c r="AT228" s="306">
        <v>0</v>
      </c>
      <c r="AU228" s="306">
        <v>0</v>
      </c>
      <c r="AV228" s="306">
        <v>0</v>
      </c>
      <c r="AW228" s="306">
        <v>0</v>
      </c>
      <c r="AX228" s="306">
        <v>0</v>
      </c>
      <c r="AY228" s="306">
        <v>0</v>
      </c>
      <c r="AZ228" s="306">
        <v>0</v>
      </c>
      <c r="BA228" s="306">
        <v>0</v>
      </c>
      <c r="BB228" s="306">
        <v>0</v>
      </c>
      <c r="BC228" s="306">
        <v>0</v>
      </c>
      <c r="BD228" s="306">
        <v>0</v>
      </c>
      <c r="BE228" s="306">
        <v>0</v>
      </c>
      <c r="BF228" s="306">
        <v>0</v>
      </c>
    </row>
    <row r="229" spans="1:58" x14ac:dyDescent="0.2">
      <c r="A229" s="307" t="s">
        <v>721</v>
      </c>
      <c r="B229" s="306">
        <v>0</v>
      </c>
      <c r="C229" s="306">
        <v>0</v>
      </c>
      <c r="D229" s="306">
        <v>0</v>
      </c>
      <c r="E229" s="306">
        <v>0</v>
      </c>
      <c r="F229" s="306">
        <v>0</v>
      </c>
      <c r="G229" s="306">
        <v>0</v>
      </c>
      <c r="H229" s="306">
        <v>0</v>
      </c>
      <c r="I229" s="306">
        <v>0</v>
      </c>
      <c r="J229" s="306">
        <v>0</v>
      </c>
      <c r="K229" s="306">
        <v>0</v>
      </c>
      <c r="L229" s="306">
        <v>0</v>
      </c>
      <c r="M229" s="306">
        <v>0</v>
      </c>
      <c r="N229" s="306">
        <v>0</v>
      </c>
      <c r="O229" s="306">
        <v>0</v>
      </c>
      <c r="P229" s="306">
        <v>0</v>
      </c>
      <c r="Q229" s="306">
        <v>0</v>
      </c>
      <c r="R229" s="306">
        <v>0</v>
      </c>
      <c r="S229" s="306">
        <v>290.15291867903898</v>
      </c>
      <c r="T229" s="306">
        <v>0</v>
      </c>
      <c r="U229" s="306">
        <v>0</v>
      </c>
      <c r="V229" s="306">
        <v>0</v>
      </c>
      <c r="W229" s="306">
        <v>0</v>
      </c>
      <c r="X229" s="306">
        <v>0</v>
      </c>
      <c r="Y229" s="306">
        <v>0</v>
      </c>
      <c r="Z229" s="306">
        <v>0</v>
      </c>
      <c r="AA229" s="306">
        <v>0</v>
      </c>
      <c r="AB229" s="306">
        <v>0</v>
      </c>
      <c r="AC229" s="306">
        <v>0</v>
      </c>
      <c r="AD229" s="306">
        <v>0</v>
      </c>
      <c r="AE229" s="306">
        <v>0</v>
      </c>
      <c r="AF229" s="306">
        <v>0</v>
      </c>
      <c r="AG229" s="306">
        <v>0</v>
      </c>
      <c r="AH229" s="306">
        <v>0</v>
      </c>
      <c r="AI229" s="306">
        <v>0</v>
      </c>
      <c r="AJ229" s="306">
        <v>0</v>
      </c>
      <c r="AK229" s="306">
        <v>0</v>
      </c>
      <c r="AL229" s="306">
        <v>0</v>
      </c>
      <c r="AM229" s="306">
        <v>0</v>
      </c>
      <c r="AN229" s="306">
        <v>0</v>
      </c>
      <c r="AO229" s="306">
        <v>0</v>
      </c>
      <c r="AP229" s="306">
        <v>0</v>
      </c>
      <c r="AQ229" s="306">
        <v>0</v>
      </c>
      <c r="AR229" s="306">
        <v>0</v>
      </c>
      <c r="AS229" s="306">
        <v>0</v>
      </c>
      <c r="AT229" s="306">
        <v>0</v>
      </c>
      <c r="AU229" s="306">
        <v>0</v>
      </c>
      <c r="AV229" s="306">
        <v>0</v>
      </c>
      <c r="AW229" s="306">
        <v>0</v>
      </c>
      <c r="AX229" s="306">
        <v>0</v>
      </c>
      <c r="AY229" s="306">
        <v>0</v>
      </c>
      <c r="AZ229" s="306">
        <v>0</v>
      </c>
      <c r="BA229" s="306">
        <v>0</v>
      </c>
      <c r="BB229" s="306">
        <v>0</v>
      </c>
      <c r="BC229" s="306">
        <v>0</v>
      </c>
      <c r="BD229" s="306">
        <v>0</v>
      </c>
      <c r="BE229" s="306">
        <v>0</v>
      </c>
      <c r="BF229" s="306">
        <v>0</v>
      </c>
    </row>
    <row r="230" spans="1:58" x14ac:dyDescent="0.2">
      <c r="A230" s="307" t="s">
        <v>722</v>
      </c>
      <c r="B230" s="306">
        <v>0</v>
      </c>
      <c r="C230" s="306">
        <v>0</v>
      </c>
      <c r="D230" s="306">
        <v>0</v>
      </c>
      <c r="E230" s="306">
        <v>0</v>
      </c>
      <c r="F230" s="306">
        <v>0</v>
      </c>
      <c r="G230" s="306">
        <v>0</v>
      </c>
      <c r="H230" s="306">
        <v>0</v>
      </c>
      <c r="I230" s="306">
        <v>0</v>
      </c>
      <c r="J230" s="306">
        <v>0</v>
      </c>
      <c r="K230" s="306">
        <v>0</v>
      </c>
      <c r="L230" s="306">
        <v>0</v>
      </c>
      <c r="M230" s="306">
        <v>0</v>
      </c>
      <c r="N230" s="306">
        <v>0</v>
      </c>
      <c r="O230" s="306">
        <v>0</v>
      </c>
      <c r="P230" s="306">
        <v>0</v>
      </c>
      <c r="Q230" s="306">
        <v>0</v>
      </c>
      <c r="R230" s="306">
        <v>0</v>
      </c>
      <c r="S230" s="306">
        <v>0</v>
      </c>
      <c r="T230" s="306">
        <v>0</v>
      </c>
      <c r="U230" s="306">
        <v>0</v>
      </c>
      <c r="V230" s="306">
        <v>0</v>
      </c>
      <c r="W230" s="306">
        <v>0</v>
      </c>
      <c r="X230" s="306">
        <v>4830.4442158522497</v>
      </c>
      <c r="Y230" s="306">
        <v>0</v>
      </c>
      <c r="Z230" s="306">
        <v>0</v>
      </c>
      <c r="AA230" s="306">
        <v>0</v>
      </c>
      <c r="AB230" s="306">
        <v>0</v>
      </c>
      <c r="AC230" s="306">
        <v>0</v>
      </c>
      <c r="AD230" s="306">
        <v>0</v>
      </c>
      <c r="AE230" s="306">
        <v>0</v>
      </c>
      <c r="AF230" s="306">
        <v>0</v>
      </c>
      <c r="AG230" s="306">
        <v>0</v>
      </c>
      <c r="AH230" s="306">
        <v>0</v>
      </c>
      <c r="AI230" s="306">
        <v>0</v>
      </c>
      <c r="AJ230" s="306">
        <v>0</v>
      </c>
      <c r="AK230" s="306">
        <v>0</v>
      </c>
      <c r="AL230" s="306">
        <v>0</v>
      </c>
      <c r="AM230" s="306">
        <v>0</v>
      </c>
      <c r="AN230" s="306">
        <v>0</v>
      </c>
      <c r="AO230" s="306">
        <v>0</v>
      </c>
      <c r="AP230" s="306">
        <v>0</v>
      </c>
      <c r="AQ230" s="306">
        <v>0</v>
      </c>
      <c r="AR230" s="306">
        <v>0</v>
      </c>
      <c r="AS230" s="306">
        <v>0</v>
      </c>
      <c r="AT230" s="306">
        <v>0</v>
      </c>
      <c r="AU230" s="306">
        <v>0</v>
      </c>
      <c r="AV230" s="306">
        <v>0</v>
      </c>
      <c r="AW230" s="306">
        <v>0</v>
      </c>
      <c r="AX230" s="306">
        <v>0</v>
      </c>
      <c r="AY230" s="306">
        <v>0</v>
      </c>
      <c r="AZ230" s="306">
        <v>0</v>
      </c>
      <c r="BA230" s="306">
        <v>0</v>
      </c>
      <c r="BB230" s="306">
        <v>0</v>
      </c>
      <c r="BC230" s="306">
        <v>0</v>
      </c>
      <c r="BD230" s="306">
        <v>0</v>
      </c>
      <c r="BE230" s="306">
        <v>0</v>
      </c>
      <c r="BF230" s="306">
        <v>0</v>
      </c>
    </row>
    <row r="231" spans="1:58" x14ac:dyDescent="0.2">
      <c r="A231" s="307" t="s">
        <v>332</v>
      </c>
      <c r="B231" s="306">
        <v>0</v>
      </c>
      <c r="C231" s="306">
        <v>0</v>
      </c>
      <c r="D231" s="306">
        <v>0</v>
      </c>
      <c r="E231" s="306">
        <v>0</v>
      </c>
      <c r="F231" s="306">
        <v>0</v>
      </c>
      <c r="G231" s="306">
        <v>0</v>
      </c>
      <c r="H231" s="306">
        <v>0</v>
      </c>
      <c r="I231" s="306">
        <v>0</v>
      </c>
      <c r="J231" s="306">
        <v>0</v>
      </c>
      <c r="K231" s="306">
        <v>0</v>
      </c>
      <c r="L231" s="306">
        <v>0</v>
      </c>
      <c r="M231" s="306">
        <v>0</v>
      </c>
      <c r="N231" s="306">
        <v>0</v>
      </c>
      <c r="O231" s="306">
        <v>0</v>
      </c>
      <c r="P231" s="306">
        <v>0</v>
      </c>
      <c r="Q231" s="306">
        <v>0</v>
      </c>
      <c r="R231" s="306">
        <v>0</v>
      </c>
      <c r="S231" s="306">
        <v>0</v>
      </c>
      <c r="T231" s="306">
        <v>0</v>
      </c>
      <c r="U231" s="306">
        <v>0</v>
      </c>
      <c r="V231" s="306">
        <v>0</v>
      </c>
      <c r="W231" s="306">
        <v>0</v>
      </c>
      <c r="X231" s="306">
        <v>0</v>
      </c>
      <c r="Y231" s="306">
        <v>0</v>
      </c>
      <c r="Z231" s="306">
        <v>0</v>
      </c>
      <c r="AA231" s="306">
        <v>0</v>
      </c>
      <c r="AB231" s="306">
        <v>108184.85967288</v>
      </c>
      <c r="AC231" s="306">
        <v>0</v>
      </c>
      <c r="AD231" s="306">
        <v>0</v>
      </c>
      <c r="AE231" s="306">
        <v>0</v>
      </c>
      <c r="AF231" s="306">
        <v>0</v>
      </c>
      <c r="AG231" s="306">
        <v>0</v>
      </c>
      <c r="AH231" s="306">
        <v>0</v>
      </c>
      <c r="AI231" s="306">
        <v>0</v>
      </c>
      <c r="AJ231" s="306">
        <v>0</v>
      </c>
      <c r="AK231" s="306">
        <v>0</v>
      </c>
      <c r="AL231" s="306">
        <v>0</v>
      </c>
      <c r="AM231" s="306">
        <v>0</v>
      </c>
      <c r="AN231" s="306">
        <v>0</v>
      </c>
      <c r="AO231" s="306">
        <v>0</v>
      </c>
      <c r="AP231" s="306">
        <v>0</v>
      </c>
      <c r="AQ231" s="306">
        <v>0</v>
      </c>
      <c r="AR231" s="306">
        <v>0</v>
      </c>
      <c r="AS231" s="306">
        <v>0</v>
      </c>
      <c r="AT231" s="306">
        <v>0</v>
      </c>
      <c r="AU231" s="306">
        <v>0</v>
      </c>
      <c r="AV231" s="306">
        <v>0</v>
      </c>
      <c r="AW231" s="306">
        <v>0</v>
      </c>
      <c r="AX231" s="306">
        <v>0</v>
      </c>
      <c r="AY231" s="306">
        <v>0</v>
      </c>
      <c r="AZ231" s="306">
        <v>0</v>
      </c>
      <c r="BA231" s="306">
        <v>0</v>
      </c>
      <c r="BB231" s="306">
        <v>0</v>
      </c>
      <c r="BC231" s="306">
        <v>0</v>
      </c>
      <c r="BD231" s="306">
        <v>0</v>
      </c>
      <c r="BE231" s="306">
        <v>0</v>
      </c>
      <c r="BF231" s="306">
        <v>0</v>
      </c>
    </row>
    <row r="232" spans="1:58" x14ac:dyDescent="0.2">
      <c r="A232" s="307" t="s">
        <v>413</v>
      </c>
      <c r="B232" s="306">
        <v>0</v>
      </c>
      <c r="C232" s="306">
        <v>0</v>
      </c>
      <c r="D232" s="306">
        <v>0</v>
      </c>
      <c r="E232" s="306">
        <v>0</v>
      </c>
      <c r="F232" s="306">
        <v>0</v>
      </c>
      <c r="G232" s="306">
        <v>0</v>
      </c>
      <c r="H232" s="306">
        <v>0</v>
      </c>
      <c r="I232" s="306">
        <v>0</v>
      </c>
      <c r="J232" s="306">
        <v>0</v>
      </c>
      <c r="K232" s="306">
        <v>0</v>
      </c>
      <c r="L232" s="306">
        <v>0</v>
      </c>
      <c r="M232" s="306">
        <v>0</v>
      </c>
      <c r="N232" s="306">
        <v>0</v>
      </c>
      <c r="O232" s="306">
        <v>0</v>
      </c>
      <c r="P232" s="306">
        <v>0</v>
      </c>
      <c r="Q232" s="306">
        <v>0</v>
      </c>
      <c r="R232" s="306">
        <v>0</v>
      </c>
      <c r="S232" s="306">
        <v>0</v>
      </c>
      <c r="T232" s="306">
        <v>0</v>
      </c>
      <c r="U232" s="306">
        <v>0</v>
      </c>
      <c r="V232" s="306">
        <v>0</v>
      </c>
      <c r="W232" s="306">
        <v>0</v>
      </c>
      <c r="X232" s="306">
        <v>0</v>
      </c>
      <c r="Y232" s="306">
        <v>0</v>
      </c>
      <c r="Z232" s="306">
        <v>0</v>
      </c>
      <c r="AA232" s="306">
        <v>0</v>
      </c>
      <c r="AB232" s="306">
        <v>0</v>
      </c>
      <c r="AC232" s="306">
        <v>0</v>
      </c>
      <c r="AD232" s="306">
        <v>0</v>
      </c>
      <c r="AE232" s="306">
        <v>0</v>
      </c>
      <c r="AF232" s="306">
        <v>0</v>
      </c>
      <c r="AG232" s="306">
        <v>0</v>
      </c>
      <c r="AH232" s="306">
        <v>25297.051877142199</v>
      </c>
      <c r="AI232" s="306">
        <v>0</v>
      </c>
      <c r="AJ232" s="306">
        <v>0</v>
      </c>
      <c r="AK232" s="306">
        <v>0</v>
      </c>
      <c r="AL232" s="306">
        <v>0</v>
      </c>
      <c r="AM232" s="306">
        <v>0</v>
      </c>
      <c r="AN232" s="306">
        <v>0</v>
      </c>
      <c r="AO232" s="306">
        <v>0</v>
      </c>
      <c r="AP232" s="306">
        <v>0</v>
      </c>
      <c r="AQ232" s="306">
        <v>0</v>
      </c>
      <c r="AR232" s="306">
        <v>0</v>
      </c>
      <c r="AS232" s="306">
        <v>0</v>
      </c>
      <c r="AT232" s="306">
        <v>0</v>
      </c>
      <c r="AU232" s="306">
        <v>0</v>
      </c>
      <c r="AV232" s="306">
        <v>0</v>
      </c>
      <c r="AW232" s="306">
        <v>0</v>
      </c>
      <c r="AX232" s="306">
        <v>0</v>
      </c>
      <c r="AY232" s="306">
        <v>0</v>
      </c>
      <c r="AZ232" s="306">
        <v>0</v>
      </c>
      <c r="BA232" s="306">
        <v>0</v>
      </c>
      <c r="BB232" s="306">
        <v>0</v>
      </c>
      <c r="BC232" s="306">
        <v>0</v>
      </c>
      <c r="BD232" s="306">
        <v>0</v>
      </c>
      <c r="BE232" s="306">
        <v>0</v>
      </c>
      <c r="BF232" s="306">
        <v>0</v>
      </c>
    </row>
    <row r="233" spans="1:58" x14ac:dyDescent="0.2">
      <c r="A233" s="307" t="s">
        <v>723</v>
      </c>
      <c r="B233" s="306">
        <v>0</v>
      </c>
      <c r="C233" s="306">
        <v>0</v>
      </c>
      <c r="D233" s="306">
        <v>0</v>
      </c>
      <c r="E233" s="306">
        <v>0</v>
      </c>
      <c r="F233" s="306">
        <v>0</v>
      </c>
      <c r="G233" s="306">
        <v>0</v>
      </c>
      <c r="H233" s="306">
        <v>0</v>
      </c>
      <c r="I233" s="306">
        <v>0</v>
      </c>
      <c r="J233" s="306">
        <v>0</v>
      </c>
      <c r="K233" s="306">
        <v>0</v>
      </c>
      <c r="L233" s="306">
        <v>0</v>
      </c>
      <c r="M233" s="306">
        <v>0</v>
      </c>
      <c r="N233" s="306">
        <v>0</v>
      </c>
      <c r="O233" s="306">
        <v>0</v>
      </c>
      <c r="P233" s="306">
        <v>0</v>
      </c>
      <c r="Q233" s="306">
        <v>0</v>
      </c>
      <c r="R233" s="306">
        <v>0</v>
      </c>
      <c r="S233" s="306">
        <v>0</v>
      </c>
      <c r="T233" s="306">
        <v>0</v>
      </c>
      <c r="U233" s="306">
        <v>0</v>
      </c>
      <c r="V233" s="306">
        <v>0</v>
      </c>
      <c r="W233" s="306">
        <v>0</v>
      </c>
      <c r="X233" s="306">
        <v>0</v>
      </c>
      <c r="Y233" s="306">
        <v>0</v>
      </c>
      <c r="Z233" s="306">
        <v>0</v>
      </c>
      <c r="AA233" s="306">
        <v>0</v>
      </c>
      <c r="AB233" s="306">
        <v>0</v>
      </c>
      <c r="AC233" s="306">
        <v>0</v>
      </c>
      <c r="AD233" s="306">
        <v>0</v>
      </c>
      <c r="AE233" s="306">
        <v>0</v>
      </c>
      <c r="AF233" s="306">
        <v>0</v>
      </c>
      <c r="AG233" s="306">
        <v>0</v>
      </c>
      <c r="AH233" s="306">
        <v>0</v>
      </c>
      <c r="AI233" s="306">
        <v>0</v>
      </c>
      <c r="AJ233" s="306">
        <v>0</v>
      </c>
      <c r="AK233" s="306">
        <v>0</v>
      </c>
      <c r="AL233" s="306">
        <v>0</v>
      </c>
      <c r="AM233" s="306">
        <v>0</v>
      </c>
      <c r="AN233" s="306">
        <v>668.84165319492104</v>
      </c>
      <c r="AO233" s="306">
        <v>0</v>
      </c>
      <c r="AP233" s="306">
        <v>0</v>
      </c>
      <c r="AQ233" s="306">
        <v>0</v>
      </c>
      <c r="AR233" s="306">
        <v>0</v>
      </c>
      <c r="AS233" s="306">
        <v>0</v>
      </c>
      <c r="AT233" s="306">
        <v>0</v>
      </c>
      <c r="AU233" s="306">
        <v>0</v>
      </c>
      <c r="AV233" s="306">
        <v>0</v>
      </c>
      <c r="AW233" s="306">
        <v>0</v>
      </c>
      <c r="AX233" s="306">
        <v>0</v>
      </c>
      <c r="AY233" s="306">
        <v>0</v>
      </c>
      <c r="AZ233" s="306">
        <v>0</v>
      </c>
      <c r="BA233" s="306">
        <v>0</v>
      </c>
      <c r="BB233" s="306">
        <v>0</v>
      </c>
      <c r="BC233" s="306">
        <v>0</v>
      </c>
      <c r="BD233" s="306">
        <v>0</v>
      </c>
      <c r="BE233" s="306">
        <v>0</v>
      </c>
      <c r="BF233" s="306">
        <v>0</v>
      </c>
    </row>
    <row r="234" spans="1:58" x14ac:dyDescent="0.2">
      <c r="A234" s="307" t="s">
        <v>724</v>
      </c>
      <c r="B234" s="306">
        <v>0</v>
      </c>
      <c r="C234" s="306">
        <v>0</v>
      </c>
      <c r="D234" s="306">
        <v>0</v>
      </c>
      <c r="E234" s="306">
        <v>0</v>
      </c>
      <c r="F234" s="306">
        <v>0</v>
      </c>
      <c r="G234" s="306">
        <v>0</v>
      </c>
      <c r="H234" s="306">
        <v>0</v>
      </c>
      <c r="I234" s="306">
        <v>0</v>
      </c>
      <c r="J234" s="306">
        <v>0</v>
      </c>
      <c r="K234" s="306">
        <v>0</v>
      </c>
      <c r="L234" s="306">
        <v>0</v>
      </c>
      <c r="M234" s="306">
        <v>0</v>
      </c>
      <c r="N234" s="306">
        <v>0</v>
      </c>
      <c r="O234" s="306">
        <v>0</v>
      </c>
      <c r="P234" s="306">
        <v>0</v>
      </c>
      <c r="Q234" s="306">
        <v>0</v>
      </c>
      <c r="R234" s="306">
        <v>0</v>
      </c>
      <c r="S234" s="306">
        <v>0</v>
      </c>
      <c r="T234" s="306">
        <v>0</v>
      </c>
      <c r="U234" s="306">
        <v>0</v>
      </c>
      <c r="V234" s="306">
        <v>0</v>
      </c>
      <c r="W234" s="306">
        <v>0</v>
      </c>
      <c r="X234" s="306">
        <v>0</v>
      </c>
      <c r="Y234" s="306">
        <v>0</v>
      </c>
      <c r="Z234" s="306">
        <v>0</v>
      </c>
      <c r="AA234" s="306">
        <v>0</v>
      </c>
      <c r="AB234" s="306">
        <v>0</v>
      </c>
      <c r="AC234" s="306">
        <v>0</v>
      </c>
      <c r="AD234" s="306">
        <v>0</v>
      </c>
      <c r="AE234" s="306">
        <v>0</v>
      </c>
      <c r="AF234" s="306">
        <v>0</v>
      </c>
      <c r="AG234" s="306">
        <v>0</v>
      </c>
      <c r="AH234" s="306">
        <v>0</v>
      </c>
      <c r="AI234" s="306">
        <v>0</v>
      </c>
      <c r="AJ234" s="306">
        <v>0</v>
      </c>
      <c r="AK234" s="306">
        <v>0</v>
      </c>
      <c r="AL234" s="306">
        <v>3749358.3680556798</v>
      </c>
      <c r="AM234" s="306">
        <v>0</v>
      </c>
      <c r="AN234" s="306">
        <v>0</v>
      </c>
      <c r="AO234" s="306">
        <v>0</v>
      </c>
      <c r="AP234" s="306">
        <v>0</v>
      </c>
      <c r="AQ234" s="306">
        <v>0</v>
      </c>
      <c r="AR234" s="306">
        <v>0</v>
      </c>
      <c r="AS234" s="306">
        <v>0</v>
      </c>
      <c r="AT234" s="306">
        <v>0</v>
      </c>
      <c r="AU234" s="306">
        <v>0</v>
      </c>
      <c r="AV234" s="306">
        <v>0</v>
      </c>
      <c r="AW234" s="306">
        <v>0</v>
      </c>
      <c r="AX234" s="306">
        <v>0</v>
      </c>
      <c r="AY234" s="306">
        <v>0</v>
      </c>
      <c r="AZ234" s="306">
        <v>0</v>
      </c>
      <c r="BA234" s="306">
        <v>0</v>
      </c>
      <c r="BB234" s="306">
        <v>0</v>
      </c>
      <c r="BC234" s="306">
        <v>0</v>
      </c>
      <c r="BD234" s="306">
        <v>0</v>
      </c>
      <c r="BE234" s="306">
        <v>0</v>
      </c>
      <c r="BF234" s="306">
        <v>0</v>
      </c>
    </row>
    <row r="235" spans="1:58" x14ac:dyDescent="0.2">
      <c r="A235" s="307" t="s">
        <v>725</v>
      </c>
      <c r="B235" s="306">
        <v>0</v>
      </c>
      <c r="C235" s="306">
        <v>0</v>
      </c>
      <c r="D235" s="306">
        <v>0</v>
      </c>
      <c r="E235" s="306">
        <v>0</v>
      </c>
      <c r="F235" s="306">
        <v>0</v>
      </c>
      <c r="G235" s="306">
        <v>0</v>
      </c>
      <c r="H235" s="306">
        <v>0</v>
      </c>
      <c r="I235" s="306">
        <v>0</v>
      </c>
      <c r="J235" s="306">
        <v>0</v>
      </c>
      <c r="K235" s="306">
        <v>0</v>
      </c>
      <c r="L235" s="306">
        <v>0</v>
      </c>
      <c r="M235" s="306">
        <v>0</v>
      </c>
      <c r="N235" s="306">
        <v>0</v>
      </c>
      <c r="O235" s="306">
        <v>0</v>
      </c>
      <c r="P235" s="306">
        <v>0</v>
      </c>
      <c r="Q235" s="306">
        <v>0</v>
      </c>
      <c r="R235" s="306">
        <v>0</v>
      </c>
      <c r="S235" s="306">
        <v>0</v>
      </c>
      <c r="T235" s="306">
        <v>0</v>
      </c>
      <c r="U235" s="306">
        <v>0</v>
      </c>
      <c r="V235" s="306">
        <v>0</v>
      </c>
      <c r="W235" s="306">
        <v>0</v>
      </c>
      <c r="X235" s="306">
        <v>0</v>
      </c>
      <c r="Y235" s="306">
        <v>0</v>
      </c>
      <c r="Z235" s="306">
        <v>0</v>
      </c>
      <c r="AA235" s="306">
        <v>0</v>
      </c>
      <c r="AB235" s="306">
        <v>0</v>
      </c>
      <c r="AC235" s="306">
        <v>0</v>
      </c>
      <c r="AD235" s="306">
        <v>0</v>
      </c>
      <c r="AE235" s="306">
        <v>0</v>
      </c>
      <c r="AF235" s="306">
        <v>0</v>
      </c>
      <c r="AG235" s="306">
        <v>0</v>
      </c>
      <c r="AH235" s="306">
        <v>0</v>
      </c>
      <c r="AI235" s="306">
        <v>0</v>
      </c>
      <c r="AJ235" s="306">
        <v>0</v>
      </c>
      <c r="AK235" s="306">
        <v>0</v>
      </c>
      <c r="AL235" s="306">
        <v>0</v>
      </c>
      <c r="AM235" s="306">
        <v>0</v>
      </c>
      <c r="AN235" s="306">
        <v>0</v>
      </c>
      <c r="AO235" s="306">
        <v>0</v>
      </c>
      <c r="AP235" s="306">
        <v>184686.52821315001</v>
      </c>
      <c r="AQ235" s="306">
        <v>0</v>
      </c>
      <c r="AR235" s="306">
        <v>0</v>
      </c>
      <c r="AS235" s="306">
        <v>0</v>
      </c>
      <c r="AT235" s="306">
        <v>0</v>
      </c>
      <c r="AU235" s="306">
        <v>0</v>
      </c>
      <c r="AV235" s="306">
        <v>0</v>
      </c>
      <c r="AW235" s="306">
        <v>0</v>
      </c>
      <c r="AX235" s="306">
        <v>0</v>
      </c>
      <c r="AY235" s="306">
        <v>0</v>
      </c>
      <c r="AZ235" s="306">
        <v>0</v>
      </c>
      <c r="BA235" s="306">
        <v>0</v>
      </c>
      <c r="BB235" s="306">
        <v>0</v>
      </c>
      <c r="BC235" s="306">
        <v>0</v>
      </c>
      <c r="BD235" s="306">
        <v>0</v>
      </c>
      <c r="BE235" s="306">
        <v>0</v>
      </c>
      <c r="BF235" s="306">
        <v>0</v>
      </c>
    </row>
    <row r="236" spans="1:58" x14ac:dyDescent="0.2">
      <c r="A236" s="307" t="s">
        <v>726</v>
      </c>
      <c r="B236" s="306">
        <v>0</v>
      </c>
      <c r="C236" s="306">
        <v>0</v>
      </c>
      <c r="D236" s="306">
        <v>0</v>
      </c>
      <c r="E236" s="306">
        <v>0</v>
      </c>
      <c r="F236" s="306">
        <v>0</v>
      </c>
      <c r="G236" s="306">
        <v>0</v>
      </c>
      <c r="H236" s="306">
        <v>0</v>
      </c>
      <c r="I236" s="306">
        <v>0</v>
      </c>
      <c r="J236" s="306">
        <v>0</v>
      </c>
      <c r="K236" s="306">
        <v>0</v>
      </c>
      <c r="L236" s="306">
        <v>0</v>
      </c>
      <c r="M236" s="306">
        <v>0</v>
      </c>
      <c r="N236" s="306">
        <v>0</v>
      </c>
      <c r="O236" s="306">
        <v>0</v>
      </c>
      <c r="P236" s="306">
        <v>0</v>
      </c>
      <c r="Q236" s="306">
        <v>0</v>
      </c>
      <c r="R236" s="306">
        <v>0</v>
      </c>
      <c r="S236" s="306">
        <v>0</v>
      </c>
      <c r="T236" s="306">
        <v>0</v>
      </c>
      <c r="U236" s="306">
        <v>0</v>
      </c>
      <c r="V236" s="306">
        <v>0</v>
      </c>
      <c r="W236" s="306">
        <v>0</v>
      </c>
      <c r="X236" s="306">
        <v>0</v>
      </c>
      <c r="Y236" s="306">
        <v>0</v>
      </c>
      <c r="Z236" s="306">
        <v>0</v>
      </c>
      <c r="AA236" s="306">
        <v>0</v>
      </c>
      <c r="AB236" s="306">
        <v>0</v>
      </c>
      <c r="AC236" s="306">
        <v>0</v>
      </c>
      <c r="AD236" s="306">
        <v>0</v>
      </c>
      <c r="AE236" s="306">
        <v>0</v>
      </c>
      <c r="AF236" s="306">
        <v>0</v>
      </c>
      <c r="AG236" s="306">
        <v>0</v>
      </c>
      <c r="AH236" s="306">
        <v>0</v>
      </c>
      <c r="AI236" s="306">
        <v>0</v>
      </c>
      <c r="AJ236" s="306">
        <v>0</v>
      </c>
      <c r="AK236" s="306">
        <v>0</v>
      </c>
      <c r="AL236" s="306">
        <v>0</v>
      </c>
      <c r="AM236" s="306">
        <v>0</v>
      </c>
      <c r="AN236" s="306">
        <v>0</v>
      </c>
      <c r="AO236" s="306">
        <v>0</v>
      </c>
      <c r="AP236" s="306">
        <v>0</v>
      </c>
      <c r="AQ236" s="306">
        <v>0</v>
      </c>
      <c r="AR236" s="306">
        <v>3090735.3644190198</v>
      </c>
      <c r="AS236" s="306">
        <v>0</v>
      </c>
      <c r="AT236" s="306">
        <v>0</v>
      </c>
      <c r="AU236" s="306">
        <v>0</v>
      </c>
      <c r="AV236" s="306">
        <v>0</v>
      </c>
      <c r="AW236" s="306">
        <v>0</v>
      </c>
      <c r="AX236" s="306">
        <v>0</v>
      </c>
      <c r="AY236" s="306">
        <v>0</v>
      </c>
      <c r="AZ236" s="306">
        <v>0</v>
      </c>
      <c r="BA236" s="306">
        <v>0</v>
      </c>
      <c r="BB236" s="306">
        <v>0</v>
      </c>
      <c r="BC236" s="306">
        <v>0</v>
      </c>
      <c r="BD236" s="306">
        <v>0</v>
      </c>
      <c r="BE236" s="306">
        <v>0</v>
      </c>
      <c r="BF236" s="306">
        <v>0</v>
      </c>
    </row>
    <row r="237" spans="1:58" x14ac:dyDescent="0.2">
      <c r="A237" s="307" t="s">
        <v>727</v>
      </c>
      <c r="B237" s="306">
        <v>0</v>
      </c>
      <c r="C237" s="306">
        <v>0</v>
      </c>
      <c r="D237" s="306">
        <v>0</v>
      </c>
      <c r="E237" s="306">
        <v>0</v>
      </c>
      <c r="F237" s="306">
        <v>0</v>
      </c>
      <c r="G237" s="306">
        <v>0</v>
      </c>
      <c r="H237" s="306">
        <v>0</v>
      </c>
      <c r="I237" s="306">
        <v>0</v>
      </c>
      <c r="J237" s="306">
        <v>0</v>
      </c>
      <c r="K237" s="306">
        <v>0</v>
      </c>
      <c r="L237" s="306">
        <v>0</v>
      </c>
      <c r="M237" s="306">
        <v>0</v>
      </c>
      <c r="N237" s="306">
        <v>0</v>
      </c>
      <c r="O237" s="306">
        <v>0</v>
      </c>
      <c r="P237" s="306">
        <v>0</v>
      </c>
      <c r="Q237" s="306">
        <v>0</v>
      </c>
      <c r="R237" s="306">
        <v>0</v>
      </c>
      <c r="S237" s="306">
        <v>0</v>
      </c>
      <c r="T237" s="306">
        <v>0</v>
      </c>
      <c r="U237" s="306">
        <v>0</v>
      </c>
      <c r="V237" s="306">
        <v>0</v>
      </c>
      <c r="W237" s="306">
        <v>0</v>
      </c>
      <c r="X237" s="306">
        <v>0</v>
      </c>
      <c r="Y237" s="306">
        <v>0</v>
      </c>
      <c r="Z237" s="306">
        <v>0</v>
      </c>
      <c r="AA237" s="306">
        <v>0</v>
      </c>
      <c r="AB237" s="306">
        <v>0</v>
      </c>
      <c r="AC237" s="306">
        <v>0</v>
      </c>
      <c r="AD237" s="306">
        <v>0</v>
      </c>
      <c r="AE237" s="306">
        <v>0</v>
      </c>
      <c r="AF237" s="306">
        <v>0</v>
      </c>
      <c r="AG237" s="306">
        <v>0</v>
      </c>
      <c r="AH237" s="306">
        <v>0</v>
      </c>
      <c r="AI237" s="306">
        <v>0</v>
      </c>
      <c r="AJ237" s="306">
        <v>0</v>
      </c>
      <c r="AK237" s="306">
        <v>0</v>
      </c>
      <c r="AL237" s="306">
        <v>0</v>
      </c>
      <c r="AM237" s="306">
        <v>0</v>
      </c>
      <c r="AN237" s="306">
        <v>0</v>
      </c>
      <c r="AO237" s="306">
        <v>0</v>
      </c>
      <c r="AP237" s="306">
        <v>0</v>
      </c>
      <c r="AQ237" s="306">
        <v>0</v>
      </c>
      <c r="AR237" s="306">
        <v>0</v>
      </c>
      <c r="AS237" s="306">
        <v>0</v>
      </c>
      <c r="AT237" s="306">
        <v>0</v>
      </c>
      <c r="AU237" s="306">
        <v>0</v>
      </c>
      <c r="AV237" s="306">
        <v>0</v>
      </c>
      <c r="AW237" s="306">
        <v>5023.7890204089899</v>
      </c>
      <c r="AX237" s="306">
        <v>0</v>
      </c>
      <c r="AY237" s="306">
        <v>0</v>
      </c>
      <c r="AZ237" s="306">
        <v>0</v>
      </c>
      <c r="BA237" s="306">
        <v>0</v>
      </c>
      <c r="BB237" s="306">
        <v>0</v>
      </c>
      <c r="BC237" s="306">
        <v>0</v>
      </c>
      <c r="BD237" s="306">
        <v>0</v>
      </c>
      <c r="BE237" s="306">
        <v>0</v>
      </c>
      <c r="BF237" s="306">
        <v>0</v>
      </c>
    </row>
    <row r="238" spans="1:58" x14ac:dyDescent="0.2">
      <c r="A238" s="307" t="s">
        <v>728</v>
      </c>
      <c r="B238" s="306">
        <v>0</v>
      </c>
      <c r="C238" s="306">
        <v>0</v>
      </c>
      <c r="D238" s="306">
        <v>0</v>
      </c>
      <c r="E238" s="306">
        <v>0</v>
      </c>
      <c r="F238" s="306">
        <v>0</v>
      </c>
      <c r="G238" s="306">
        <v>0</v>
      </c>
      <c r="H238" s="306">
        <v>0</v>
      </c>
      <c r="I238" s="306">
        <v>0</v>
      </c>
      <c r="J238" s="306">
        <v>0</v>
      </c>
      <c r="K238" s="306">
        <v>0</v>
      </c>
      <c r="L238" s="306">
        <v>0</v>
      </c>
      <c r="M238" s="306">
        <v>0</v>
      </c>
      <c r="N238" s="306">
        <v>0</v>
      </c>
      <c r="O238" s="306">
        <v>0</v>
      </c>
      <c r="P238" s="306">
        <v>0</v>
      </c>
      <c r="Q238" s="306">
        <v>0</v>
      </c>
      <c r="R238" s="306">
        <v>0</v>
      </c>
      <c r="S238" s="306">
        <v>0</v>
      </c>
      <c r="T238" s="306">
        <v>0</v>
      </c>
      <c r="U238" s="306">
        <v>0</v>
      </c>
      <c r="V238" s="306">
        <v>0</v>
      </c>
      <c r="W238" s="306">
        <v>0</v>
      </c>
      <c r="X238" s="306">
        <v>0</v>
      </c>
      <c r="Y238" s="306">
        <v>0</v>
      </c>
      <c r="Z238" s="306">
        <v>0</v>
      </c>
      <c r="AA238" s="306">
        <v>0</v>
      </c>
      <c r="AB238" s="306">
        <v>0</v>
      </c>
      <c r="AC238" s="306">
        <v>0</v>
      </c>
      <c r="AD238" s="306">
        <v>0</v>
      </c>
      <c r="AE238" s="306">
        <v>0</v>
      </c>
      <c r="AF238" s="306">
        <v>0</v>
      </c>
      <c r="AG238" s="306">
        <v>0</v>
      </c>
      <c r="AH238" s="306">
        <v>0</v>
      </c>
      <c r="AI238" s="306">
        <v>0</v>
      </c>
      <c r="AJ238" s="306">
        <v>0</v>
      </c>
      <c r="AK238" s="306">
        <v>0</v>
      </c>
      <c r="AL238" s="306">
        <v>0</v>
      </c>
      <c r="AM238" s="306">
        <v>0</v>
      </c>
      <c r="AN238" s="306">
        <v>0</v>
      </c>
      <c r="AO238" s="306">
        <v>0</v>
      </c>
      <c r="AP238" s="306">
        <v>0</v>
      </c>
      <c r="AQ238" s="306">
        <v>0</v>
      </c>
      <c r="AR238" s="306">
        <v>0</v>
      </c>
      <c r="AS238" s="306">
        <v>0</v>
      </c>
      <c r="AT238" s="306">
        <v>0</v>
      </c>
      <c r="AU238" s="306">
        <v>0</v>
      </c>
      <c r="AV238" s="306">
        <v>0</v>
      </c>
      <c r="AW238" s="306">
        <v>0</v>
      </c>
      <c r="AX238" s="306">
        <v>0</v>
      </c>
      <c r="AY238" s="306">
        <v>0</v>
      </c>
      <c r="AZ238" s="306">
        <v>0</v>
      </c>
      <c r="BA238" s="306">
        <v>82.091627997489695</v>
      </c>
      <c r="BB238" s="306">
        <v>0</v>
      </c>
      <c r="BC238" s="306">
        <v>0</v>
      </c>
      <c r="BD238" s="306">
        <v>0</v>
      </c>
      <c r="BE238" s="306">
        <v>0</v>
      </c>
      <c r="BF238" s="306">
        <v>0</v>
      </c>
    </row>
    <row r="239" spans="1:58" x14ac:dyDescent="0.2">
      <c r="A239" s="307" t="s">
        <v>729</v>
      </c>
      <c r="B239" s="306">
        <v>0</v>
      </c>
      <c r="C239" s="306">
        <v>0</v>
      </c>
      <c r="D239" s="306">
        <v>0</v>
      </c>
      <c r="E239" s="306">
        <v>0</v>
      </c>
      <c r="F239" s="306">
        <v>0</v>
      </c>
      <c r="G239" s="306">
        <v>0</v>
      </c>
      <c r="H239" s="306">
        <v>0</v>
      </c>
      <c r="I239" s="306">
        <v>0</v>
      </c>
      <c r="J239" s="306">
        <v>0</v>
      </c>
      <c r="K239" s="306">
        <v>0</v>
      </c>
      <c r="L239" s="306">
        <v>0</v>
      </c>
      <c r="M239" s="306">
        <v>0</v>
      </c>
      <c r="N239" s="306">
        <v>0</v>
      </c>
      <c r="O239" s="306">
        <v>0</v>
      </c>
      <c r="P239" s="306">
        <v>0</v>
      </c>
      <c r="Q239" s="306">
        <v>0</v>
      </c>
      <c r="R239" s="306">
        <v>0</v>
      </c>
      <c r="S239" s="306">
        <v>0</v>
      </c>
      <c r="T239" s="306">
        <v>0</v>
      </c>
      <c r="U239" s="306">
        <v>0</v>
      </c>
      <c r="V239" s="306">
        <v>0</v>
      </c>
      <c r="W239" s="306">
        <v>0</v>
      </c>
      <c r="X239" s="306">
        <v>0</v>
      </c>
      <c r="Y239" s="306">
        <v>0</v>
      </c>
      <c r="Z239" s="306">
        <v>0</v>
      </c>
      <c r="AA239" s="306">
        <v>0</v>
      </c>
      <c r="AB239" s="306">
        <v>0</v>
      </c>
      <c r="AC239" s="306">
        <v>0</v>
      </c>
      <c r="AD239" s="306">
        <v>0</v>
      </c>
      <c r="AE239" s="306">
        <v>0</v>
      </c>
      <c r="AF239" s="306">
        <v>0</v>
      </c>
      <c r="AG239" s="306">
        <v>0</v>
      </c>
      <c r="AH239" s="306">
        <v>0</v>
      </c>
      <c r="AI239" s="306">
        <v>0</v>
      </c>
      <c r="AJ239" s="306">
        <v>0</v>
      </c>
      <c r="AK239" s="306">
        <v>0</v>
      </c>
      <c r="AL239" s="306">
        <v>0</v>
      </c>
      <c r="AM239" s="306">
        <v>0</v>
      </c>
      <c r="AN239" s="306">
        <v>0</v>
      </c>
      <c r="AO239" s="306">
        <v>0</v>
      </c>
      <c r="AP239" s="306">
        <v>0</v>
      </c>
      <c r="AQ239" s="306">
        <v>0</v>
      </c>
      <c r="AR239" s="306">
        <v>0</v>
      </c>
      <c r="AS239" s="306">
        <v>0</v>
      </c>
      <c r="AT239" s="306">
        <v>0</v>
      </c>
      <c r="AU239" s="306">
        <v>0</v>
      </c>
      <c r="AV239" s="306">
        <v>0</v>
      </c>
      <c r="AW239" s="306">
        <v>0</v>
      </c>
      <c r="AX239" s="306">
        <v>0</v>
      </c>
      <c r="AY239" s="306">
        <v>0</v>
      </c>
      <c r="AZ239" s="306">
        <v>0</v>
      </c>
      <c r="BA239" s="306">
        <v>0</v>
      </c>
      <c r="BB239" s="306">
        <v>0</v>
      </c>
      <c r="BC239" s="306">
        <v>0</v>
      </c>
      <c r="BD239" s="306">
        <v>0</v>
      </c>
      <c r="BE239" s="306">
        <v>0</v>
      </c>
      <c r="BF239" s="306">
        <v>43.206119998678503</v>
      </c>
    </row>
    <row r="240" spans="1:58" x14ac:dyDescent="0.2">
      <c r="A240" s="307" t="s">
        <v>730</v>
      </c>
      <c r="B240" s="306">
        <v>0</v>
      </c>
      <c r="C240" s="306">
        <v>0</v>
      </c>
      <c r="D240" s="306">
        <v>0</v>
      </c>
      <c r="E240" s="306">
        <v>0</v>
      </c>
      <c r="F240" s="306">
        <v>0</v>
      </c>
      <c r="G240" s="306">
        <v>0</v>
      </c>
      <c r="H240" s="306">
        <v>0</v>
      </c>
      <c r="I240" s="306">
        <v>0</v>
      </c>
      <c r="J240" s="306">
        <v>0</v>
      </c>
      <c r="K240" s="306">
        <v>0</v>
      </c>
      <c r="L240" s="306">
        <v>0</v>
      </c>
      <c r="M240" s="306">
        <v>0</v>
      </c>
      <c r="N240" s="306">
        <v>0</v>
      </c>
      <c r="O240" s="306">
        <v>0</v>
      </c>
      <c r="P240" s="306">
        <v>0</v>
      </c>
      <c r="Q240" s="306">
        <v>0</v>
      </c>
      <c r="R240" s="306">
        <v>8889.2303268031592</v>
      </c>
      <c r="S240" s="306">
        <v>0</v>
      </c>
      <c r="T240" s="306">
        <v>0</v>
      </c>
      <c r="U240" s="306">
        <v>633.59233329487495</v>
      </c>
      <c r="V240" s="306">
        <v>0</v>
      </c>
      <c r="W240" s="306">
        <v>0</v>
      </c>
      <c r="X240" s="306">
        <v>0</v>
      </c>
      <c r="Y240" s="306">
        <v>0</v>
      </c>
      <c r="Z240" s="306">
        <v>0</v>
      </c>
      <c r="AA240" s="306">
        <v>0</v>
      </c>
      <c r="AB240" s="306">
        <v>0</v>
      </c>
      <c r="AC240" s="306">
        <v>0</v>
      </c>
      <c r="AD240" s="306">
        <v>0</v>
      </c>
      <c r="AE240" s="306">
        <v>0</v>
      </c>
      <c r="AF240" s="306">
        <v>0</v>
      </c>
      <c r="AG240" s="306">
        <v>0</v>
      </c>
      <c r="AH240" s="306">
        <v>0</v>
      </c>
      <c r="AI240" s="306">
        <v>0</v>
      </c>
      <c r="AJ240" s="306">
        <v>1.82365383204162</v>
      </c>
      <c r="AK240" s="306">
        <v>0</v>
      </c>
      <c r="AL240" s="306">
        <v>0</v>
      </c>
      <c r="AM240" s="306">
        <v>0</v>
      </c>
      <c r="AN240" s="306">
        <v>0</v>
      </c>
      <c r="AO240" s="306">
        <v>0</v>
      </c>
      <c r="AP240" s="306">
        <v>0</v>
      </c>
      <c r="AQ240" s="306">
        <v>82605.805246579795</v>
      </c>
      <c r="AR240" s="306">
        <v>0</v>
      </c>
      <c r="AS240" s="306">
        <v>0</v>
      </c>
      <c r="AT240" s="306">
        <v>0</v>
      </c>
      <c r="AU240" s="306">
        <v>0</v>
      </c>
      <c r="AV240" s="306">
        <v>0</v>
      </c>
      <c r="AW240" s="306">
        <v>0</v>
      </c>
      <c r="AX240" s="306">
        <v>0</v>
      </c>
      <c r="AY240" s="306">
        <v>0</v>
      </c>
      <c r="AZ240" s="306">
        <v>0</v>
      </c>
      <c r="BA240" s="306">
        <v>0</v>
      </c>
      <c r="BB240" s="306">
        <v>0</v>
      </c>
      <c r="BC240" s="306">
        <v>0</v>
      </c>
      <c r="BD240" s="306">
        <v>0</v>
      </c>
      <c r="BE240" s="306">
        <v>0</v>
      </c>
      <c r="BF240" s="306">
        <v>0</v>
      </c>
    </row>
    <row r="241" spans="1:58" x14ac:dyDescent="0.2">
      <c r="A241" s="307" t="s">
        <v>731</v>
      </c>
      <c r="B241" s="306">
        <v>0</v>
      </c>
      <c r="C241" s="306">
        <v>0</v>
      </c>
      <c r="D241" s="306">
        <v>0</v>
      </c>
      <c r="E241" s="306">
        <v>0</v>
      </c>
      <c r="F241" s="306">
        <v>0</v>
      </c>
      <c r="G241" s="306">
        <v>0</v>
      </c>
      <c r="H241" s="306">
        <v>0</v>
      </c>
      <c r="I241" s="306">
        <v>0</v>
      </c>
      <c r="J241" s="306">
        <v>0</v>
      </c>
      <c r="K241" s="306">
        <v>0</v>
      </c>
      <c r="L241" s="306">
        <v>0</v>
      </c>
      <c r="M241" s="306">
        <v>0</v>
      </c>
      <c r="N241" s="306">
        <v>0</v>
      </c>
      <c r="O241" s="306">
        <v>0</v>
      </c>
      <c r="P241" s="306">
        <v>0</v>
      </c>
      <c r="Q241" s="306">
        <v>0</v>
      </c>
      <c r="R241" s="306">
        <v>633.060913481537</v>
      </c>
      <c r="S241" s="306">
        <v>0</v>
      </c>
      <c r="T241" s="306">
        <v>0</v>
      </c>
      <c r="U241" s="306">
        <v>0</v>
      </c>
      <c r="V241" s="306">
        <v>0</v>
      </c>
      <c r="W241" s="306">
        <v>0</v>
      </c>
      <c r="X241" s="306">
        <v>0</v>
      </c>
      <c r="Y241" s="306">
        <v>0</v>
      </c>
      <c r="Z241" s="306">
        <v>0</v>
      </c>
      <c r="AA241" s="306">
        <v>0</v>
      </c>
      <c r="AB241" s="306">
        <v>0</v>
      </c>
      <c r="AC241" s="306">
        <v>0</v>
      </c>
      <c r="AD241" s="306">
        <v>0</v>
      </c>
      <c r="AE241" s="306">
        <v>0</v>
      </c>
      <c r="AF241" s="306">
        <v>0</v>
      </c>
      <c r="AG241" s="306">
        <v>0</v>
      </c>
      <c r="AH241" s="306">
        <v>0</v>
      </c>
      <c r="AI241" s="306">
        <v>0</v>
      </c>
      <c r="AJ241" s="306">
        <v>0</v>
      </c>
      <c r="AK241" s="306">
        <v>0</v>
      </c>
      <c r="AL241" s="306">
        <v>0</v>
      </c>
      <c r="AM241" s="306">
        <v>0</v>
      </c>
      <c r="AN241" s="306">
        <v>0</v>
      </c>
      <c r="AO241" s="306">
        <v>0</v>
      </c>
      <c r="AP241" s="306">
        <v>0</v>
      </c>
      <c r="AQ241" s="306">
        <v>0</v>
      </c>
      <c r="AR241" s="306">
        <v>0</v>
      </c>
      <c r="AS241" s="306">
        <v>0</v>
      </c>
      <c r="AT241" s="306">
        <v>0</v>
      </c>
      <c r="AU241" s="306">
        <v>0</v>
      </c>
      <c r="AV241" s="306">
        <v>0</v>
      </c>
      <c r="AW241" s="306">
        <v>0</v>
      </c>
      <c r="AX241" s="306">
        <v>0</v>
      </c>
      <c r="AY241" s="306">
        <v>0</v>
      </c>
      <c r="AZ241" s="306">
        <v>0</v>
      </c>
      <c r="BA241" s="306">
        <v>0</v>
      </c>
      <c r="BB241" s="306">
        <v>0</v>
      </c>
      <c r="BC241" s="306">
        <v>0</v>
      </c>
      <c r="BD241" s="306">
        <v>0</v>
      </c>
      <c r="BE241" s="306">
        <v>0</v>
      </c>
      <c r="BF241" s="306">
        <v>0</v>
      </c>
    </row>
    <row r="242" spans="1:58" x14ac:dyDescent="0.2">
      <c r="B242" s="432" t="s">
        <v>56</v>
      </c>
      <c r="C242" s="433"/>
      <c r="D242" s="433"/>
      <c r="E242" s="433"/>
      <c r="F242" s="433"/>
      <c r="G242" s="433"/>
      <c r="H242" s="433"/>
      <c r="I242" s="433"/>
      <c r="J242" s="433"/>
      <c r="K242" s="433"/>
      <c r="L242" s="433"/>
      <c r="M242" s="433"/>
      <c r="N242" s="433"/>
      <c r="O242" s="433"/>
      <c r="P242" s="433"/>
      <c r="Q242" s="433"/>
      <c r="R242" s="433"/>
      <c r="S242" s="433"/>
      <c r="T242" s="433"/>
      <c r="U242" s="433"/>
      <c r="V242" s="433"/>
      <c r="W242" s="433"/>
      <c r="X242" s="433"/>
      <c r="Y242" s="433"/>
      <c r="Z242" s="433"/>
      <c r="AA242" s="433"/>
      <c r="AB242" s="433"/>
      <c r="AC242" s="433"/>
      <c r="AD242" s="433"/>
      <c r="AE242" s="433"/>
      <c r="AF242" s="433"/>
      <c r="AG242" s="433"/>
      <c r="AH242" s="433"/>
      <c r="AI242" s="433"/>
      <c r="AJ242" s="433"/>
      <c r="AK242" s="433"/>
      <c r="AL242" s="433"/>
      <c r="AM242" s="433"/>
      <c r="AN242" s="433"/>
      <c r="AO242" s="433"/>
      <c r="AP242" s="433"/>
      <c r="AQ242" s="433"/>
      <c r="AR242" s="433"/>
      <c r="AS242" s="433"/>
      <c r="AT242" s="433"/>
      <c r="AU242" s="433"/>
      <c r="AV242" s="433"/>
      <c r="AW242" s="433"/>
      <c r="AX242" s="433"/>
      <c r="AY242" s="433"/>
      <c r="AZ242" s="433"/>
      <c r="BA242" s="433"/>
      <c r="BB242" s="433"/>
      <c r="BC242" s="433"/>
      <c r="BD242" s="433"/>
      <c r="BE242" s="433"/>
      <c r="BF242" s="433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479</vt:i4>
      </vt:variant>
    </vt:vector>
  </HeadingPairs>
  <TitlesOfParts>
    <vt:vector size="498" baseType="lpstr">
      <vt:lpstr>Read me</vt:lpstr>
      <vt:lpstr>Constants</vt:lpstr>
      <vt:lpstr>Calculators</vt:lpstr>
      <vt:lpstr>Energy X</vt:lpstr>
      <vt:lpstr>MCC_B_RUVY_matrices_mat_level</vt:lpstr>
      <vt:lpstr>MX_I_Test</vt:lpstr>
      <vt:lpstr>MCC_M_RUVY_matrices_mat_level</vt:lpstr>
      <vt:lpstr>MCC_phi_RUVY_matrices_mat_level</vt:lpstr>
      <vt:lpstr>MCC_h_RUVY_matrices_mat_level</vt:lpstr>
      <vt:lpstr>MCC_MW_RUVY_matrices_mat_level</vt:lpstr>
      <vt:lpstr>MCC_Q_RUVY_matrices_mat_level </vt:lpstr>
      <vt:lpstr>Ore_to_PI</vt:lpstr>
      <vt:lpstr>Waste</vt:lpstr>
      <vt:lpstr>Appx_exergy_account</vt:lpstr>
      <vt:lpstr>Tables for Paper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I_BXCC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MCC_phi_RUVY_matrices_mat_level!R__MCC_M_RUVY_matrices_mat_level</vt:lpstr>
      <vt:lpstr>MX_I_Test!R__MCC_M_RUVY_matrices_mat_level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MCC_phi_RUVY_matrices_mat_level!r_EIOU__MCC_M_RUVY_matrices_mat_level</vt:lpstr>
      <vt:lpstr>MX_I_Test!r_EIOU__MCC_M_RUVY_matrices_mat_level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MCC_phi_RUVY_matrices_mat_level!S_units_M</vt:lpstr>
      <vt:lpstr>MX_I_Test!S_units_M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MCC_phi_RUVY_matrices_mat_level!U__MCC_M_RUVY_matrices_mat_level</vt:lpstr>
      <vt:lpstr>MX_I_Test!U__MCC_M_RUVY_matrices_mat_level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MCC_phi_RUVY_matrices_mat_level!U_EIOU__MCC_M_RUVY_matrices_mat_level</vt:lpstr>
      <vt:lpstr>MX_I_Test!U_EIOU__MCC_M_RUVY_matrices_mat_level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MCC_phi_RUVY_matrices_mat_level!U_feed__MCC_M_RUVY_matrices_mat_level</vt:lpstr>
      <vt:lpstr>MX_I_Test!U_feed__MCC_M_RUVY_matrices_mat_level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MCC_phi_RUVY_matrices_mat_level!V__MCC_M_RUVY_matrices_mat_level</vt:lpstr>
      <vt:lpstr>MX_I_Test!V__MCC_M_RUVY_matrices_mat_level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MCC_phi_RUVY_matrices_mat_level!Y__MCC_M_RUVY_matrices_mat_level</vt:lpstr>
      <vt:lpstr>MX_I_Test!Y__MCC_M_RUVY_matrices_mat_level</vt:lpstr>
      <vt:lpstr>Y__MCC_M_RUVY_matrices_mat_level</vt:lpstr>
      <vt:lpstr>y_Al2O3_from_Coal</vt:lpstr>
      <vt:lpstr>y_Al2O3_from_Coke_oven</vt:lpstr>
      <vt:lpstr>y_Al2O3_from_Iron_beneficiation</vt:lpstr>
      <vt:lpstr>y_Al2O3_from_Iron_ore</vt:lpstr>
      <vt:lpstr>y_Anthrocite_from_Coke_oven</vt:lpstr>
      <vt:lpstr>y_CaCO3</vt:lpstr>
      <vt:lpstr>y_CaCO3_from_Lime</vt:lpstr>
      <vt:lpstr>y_CaO_from_Coal</vt:lpstr>
      <vt:lpstr>y_CaO_from_Coke_oven</vt:lpstr>
      <vt:lpstr>y_CaO_from_Kiln</vt:lpstr>
      <vt:lpstr>y_CO2_from_Kiln</vt:lpstr>
      <vt:lpstr>y_Coal_from_Coal</vt:lpstr>
      <vt:lpstr>y_Fe2O3_from_Coal</vt:lpstr>
      <vt:lpstr>y_Fe2O3_from_Coke_oven</vt:lpstr>
      <vt:lpstr>y_Fe2O3_from_Iron_beneficiation</vt:lpstr>
      <vt:lpstr>y_Fe2O3_from_Iron_ore</vt:lpstr>
      <vt:lpstr>y_H2O_from_Kiln</vt:lpstr>
      <vt:lpstr>y_K2O_from_Coal</vt:lpstr>
      <vt:lpstr>y_K2O_from_Coke_oven</vt:lpstr>
      <vt:lpstr>y_K2O_from_Iron_beneficiation</vt:lpstr>
      <vt:lpstr>y_K2O_from_Iron_ore</vt:lpstr>
      <vt:lpstr>y_MgCO3</vt:lpstr>
      <vt:lpstr>y_MgCo3_from_Lime</vt:lpstr>
      <vt:lpstr>y_MgO_from_Coal</vt:lpstr>
      <vt:lpstr>y_MgO_from_Coke_oven</vt:lpstr>
      <vt:lpstr>y_MgO_from_Kiln</vt:lpstr>
      <vt:lpstr>y_N2_from_Kiln</vt:lpstr>
      <vt:lpstr>y_Na2O_from_Coal</vt:lpstr>
      <vt:lpstr>y_Na2O_from_Coke_oven</vt:lpstr>
      <vt:lpstr>y_P_from_Iron_beneficiation</vt:lpstr>
      <vt:lpstr>y_P_from_Iron_ore</vt:lpstr>
      <vt:lpstr>y_S_from_Iron_beneficiation</vt:lpstr>
      <vt:lpstr>y_S_from_Iron_ore</vt:lpstr>
      <vt:lpstr>y_SiO2_from_Coal</vt:lpstr>
      <vt:lpstr>y_SiO2_from_Coke_oven</vt:lpstr>
      <vt:lpstr>y_SiO2_from_Iron_beneficiation</vt:lpstr>
      <vt:lpstr>y_SiO2_from_Iron_ore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2026-01-29T19:56:42Z</dcterms:modified>
  <cp:category/>
  <cp:contentStatus/>
</cp:coreProperties>
</file>