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0C431F0-DA1E-3A48-B371-20EE2DF0C043}" xr6:coauthVersionLast="47" xr6:coauthVersionMax="47" xr10:uidLastSave="{00000000-0000-0000-0000-000000000000}"/>
  <bookViews>
    <workbookView xWindow="4080" yWindow="860" windowWidth="39220" windowHeight="26960" activeTab="6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p_CaCO3">Constants!$H$6</definedName>
    <definedName name="cp_MgCO3">Constants!$H$29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" i="25" l="1"/>
  <c r="D52" i="25"/>
  <c r="E52" i="25"/>
  <c r="F52" i="25"/>
  <c r="D57" i="25"/>
  <c r="C57" i="25"/>
  <c r="G52" i="25"/>
  <c r="H52" i="25"/>
  <c r="H51" i="25"/>
  <c r="H50" i="25"/>
  <c r="G51" i="25"/>
  <c r="G50" i="25"/>
  <c r="F51" i="25"/>
  <c r="F50" i="25"/>
  <c r="E51" i="25"/>
  <c r="E50" i="25"/>
  <c r="D51" i="25"/>
  <c r="D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G19" i="25"/>
  <c r="F19" i="25"/>
  <c r="G18" i="25"/>
  <c r="F18" i="25"/>
  <c r="E19" i="25"/>
  <c r="D18" i="25"/>
  <c r="D19" i="25"/>
  <c r="E18" i="25"/>
  <c r="C19" i="25"/>
  <c r="C18" i="25"/>
  <c r="H29" i="3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H30" i="25" l="1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<sst xmlns="http://schemas.openxmlformats.org/spreadsheetml/2006/main" count="6243" uniqueCount="729">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</sst>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5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2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zoomScale="173" workbookViewId="0">
      <selection activeCell="O5" sqref="O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697</v>
      </c>
      <c r="AI1" s="3" t="s">
        <v>697</v>
      </c>
    </row>
    <row r="2" spans="2:35" ht="17" x14ac:dyDescent="0.25">
      <c r="S2" s="322" t="s">
        <v>102</v>
      </c>
      <c r="T2" s="323"/>
      <c r="U2" s="322" t="s">
        <v>108</v>
      </c>
      <c r="V2" s="323"/>
      <c r="X2" s="324" t="s">
        <v>233</v>
      </c>
      <c r="Y2" s="324"/>
      <c r="Z2" s="13" t="s">
        <v>52</v>
      </c>
      <c r="AC2" s="3" t="s">
        <v>341</v>
      </c>
      <c r="AH2" s="3" t="s">
        <v>342</v>
      </c>
      <c r="AI2" s="3" t="s">
        <v>698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704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587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48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440</v>
      </c>
      <c r="AB5" s="61" t="s">
        <v>465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v>0.76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482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48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466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48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48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48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48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481"/>
      <c r="J12" s="13" t="s">
        <v>308</v>
      </c>
      <c r="K12" s="13">
        <v>794.3</v>
      </c>
      <c r="R12" s="325" t="s">
        <v>381</v>
      </c>
      <c r="S12" s="325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481"/>
      <c r="J13" s="92" t="s">
        <v>311</v>
      </c>
      <c r="K13" s="13">
        <v>124.2</v>
      </c>
      <c r="R13" s="128" t="s">
        <v>319</v>
      </c>
      <c r="S13" s="13" t="s">
        <v>382</v>
      </c>
      <c r="T13" s="13" t="s">
        <v>33</v>
      </c>
      <c r="U13" s="13" t="s">
        <v>34</v>
      </c>
      <c r="V13" s="13" t="s">
        <v>35</v>
      </c>
      <c r="W13" s="13" t="s">
        <v>692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48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48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481"/>
      <c r="J16" s="13" t="s">
        <v>180</v>
      </c>
      <c r="K16" s="13">
        <v>607.29999999999995</v>
      </c>
      <c r="R16" s="326" t="s">
        <v>669</v>
      </c>
      <c r="S16" s="326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481"/>
      <c r="J17" s="13" t="s">
        <v>315</v>
      </c>
      <c r="K17" s="13">
        <v>366.5</v>
      </c>
      <c r="R17" s="13" t="s">
        <v>382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48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48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48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48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48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48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48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48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48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48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48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76.19/1000</f>
        <v>7.6189999999999994E-2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48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48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48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48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48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48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48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48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481"/>
    </row>
    <row r="39" spans="1:8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481"/>
    </row>
    <row r="40" spans="1:8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481"/>
    </row>
    <row r="41" spans="1:8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481"/>
    </row>
    <row r="42" spans="1:8" ht="17" x14ac:dyDescent="0.25">
      <c r="A42" s="3" t="s">
        <v>656</v>
      </c>
      <c r="B42" s="3" t="s">
        <v>646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481"/>
    </row>
    <row r="43" spans="1:8" ht="17" x14ac:dyDescent="0.25">
      <c r="A43" s="3" t="s">
        <v>659</v>
      </c>
      <c r="B43" s="3" t="s">
        <v>647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481"/>
    </row>
    <row r="44" spans="1:8" ht="17" x14ac:dyDescent="0.25">
      <c r="A44" s="3" t="s">
        <v>660</v>
      </c>
      <c r="B44" s="3" t="s">
        <v>648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481"/>
    </row>
    <row r="45" spans="1:8" ht="17" x14ac:dyDescent="0.25">
      <c r="A45" s="3" t="s">
        <v>658</v>
      </c>
      <c r="B45" s="3" t="s">
        <v>657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481"/>
    </row>
    <row r="46" spans="1:8" ht="17" x14ac:dyDescent="0.25">
      <c r="A46" s="3" t="s">
        <v>661</v>
      </c>
      <c r="B46" s="3" t="s">
        <v>664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481"/>
    </row>
    <row r="47" spans="1:8" ht="17" x14ac:dyDescent="0.25">
      <c r="A47" s="3" t="s">
        <v>662</v>
      </c>
      <c r="B47" s="3" t="s">
        <v>666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481"/>
    </row>
    <row r="48" spans="1:8" ht="17" x14ac:dyDescent="0.25">
      <c r="A48" s="3" t="s">
        <v>663</v>
      </c>
      <c r="B48" s="4" t="s">
        <v>667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481"/>
    </row>
    <row r="49" spans="1:8" ht="18" x14ac:dyDescent="0.25">
      <c r="B49" s="1" t="s">
        <v>684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481"/>
    </row>
    <row r="50" spans="1:8" ht="17" x14ac:dyDescent="0.25">
      <c r="A50" s="3" t="s">
        <v>696</v>
      </c>
      <c r="B50" s="3" t="s">
        <v>695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48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382</v>
      </c>
      <c r="C63" s="16" t="s">
        <v>633</v>
      </c>
    </row>
    <row r="64" spans="1:8" x14ac:dyDescent="0.2">
      <c r="B64" s="128" t="s">
        <v>387</v>
      </c>
      <c r="C64" s="3" t="s">
        <v>389</v>
      </c>
    </row>
    <row r="65" spans="2:3" x14ac:dyDescent="0.2">
      <c r="B65" s="13" t="s">
        <v>693</v>
      </c>
      <c r="C65" s="446" t="s">
        <v>694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690</v>
      </c>
    </row>
    <row r="70" spans="2:3" x14ac:dyDescent="0.2">
      <c r="B70" s="13" t="s">
        <v>645</v>
      </c>
      <c r="C70" s="3" t="s">
        <v>665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-293.51958084724475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699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644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642</v>
      </c>
      <c r="G72" s="13" t="s">
        <v>643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640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641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670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645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680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654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651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675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671</v>
      </c>
      <c r="M91" s="19" t="s">
        <v>672</v>
      </c>
      <c r="N91" s="3" t="s">
        <v>682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677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691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650</v>
      </c>
      <c r="M96" s="3" t="s">
        <v>651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671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676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681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652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653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655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656</v>
      </c>
      <c r="B107" s="13" t="s">
        <v>646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674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659</v>
      </c>
      <c r="B108" s="13" t="s">
        <v>647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660</v>
      </c>
      <c r="B109" s="13" t="s">
        <v>648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658</v>
      </c>
      <c r="B110" s="13" t="s">
        <v>657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661</v>
      </c>
      <c r="B111" s="13" t="s">
        <v>664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662</v>
      </c>
      <c r="B112" s="13" t="s">
        <v>666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663</v>
      </c>
      <c r="B113" s="61" t="s">
        <v>667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649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668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678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679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683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685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687</v>
      </c>
      <c r="L191" s="320" t="s">
        <v>686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683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T116" zoomScale="150" zoomScaleNormal="120" workbookViewId="0">
      <selection activeCell="CE128" sqref="CE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703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703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703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703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606</v>
      </c>
      <c r="AA47" s="136">
        <f>($AO$42+AO63)/(V59+V72+$V$42)</f>
        <v>0.54544989987759507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606</v>
      </c>
      <c r="AT47" s="136">
        <f>BH42/(AU28+AO42)</f>
        <v>0.15068009543796188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606</v>
      </c>
      <c r="BM47" s="136">
        <f>(CA42+CA55)/(BN35+BH42)</f>
        <v>0.90881323958376325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395</v>
      </c>
      <c r="AA48" s="137">
        <f>$AO$46/(V59+V72+$V$42)</f>
        <v>0.45121172554462574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395</v>
      </c>
      <c r="AT48" s="137">
        <f>BH46/(AU28+AO42)</f>
        <v>0.12723325256465715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395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703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703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703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703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703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703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703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6682782.3361421349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703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703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703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703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703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703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703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606</v>
      </c>
      <c r="AA131" s="136">
        <f>($AP$126+AP142)/(SUM(V126,V140,V163,V151))</f>
        <v>0.98922076974338935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606</v>
      </c>
      <c r="AU131" s="136">
        <f>BI126/(AU113+AP126)</f>
        <v>0.89954868347015648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606</v>
      </c>
      <c r="BN131" s="136">
        <f>CB126/(BM113+BI126)</f>
        <v>0.99884664645418608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606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395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395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395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395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0.99174963463121601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606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1.0976920273227081E-2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395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703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703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703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703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703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703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683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638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703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703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703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638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703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8850991.3601140417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703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703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703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703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703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0.98899070789782728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606</v>
      </c>
      <c r="AU211" s="136">
        <f>BI206/(AP206+AU190)</f>
        <v>0.99996814295200787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606</v>
      </c>
      <c r="BN211" s="136">
        <f>CB206/(BM195+BI206)</f>
        <v>0.99999431358282376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606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395</v>
      </c>
      <c r="AB212" s="99">
        <f>$AP$210/($AC$195+V206+V222+V236)</f>
        <v>0.98839112692609699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395</v>
      </c>
      <c r="AU212" s="137">
        <f>BI210/(AP206+AU190)</f>
        <v>0.9994246250143145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395</v>
      </c>
      <c r="BN212" s="137">
        <f>CB210/(BM195+BI206)</f>
        <v>0.99945078142046995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395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649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649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649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649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703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703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649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703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500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4043367.3234254471</v>
      </c>
      <c r="DS233" s="357" t="s">
        <v>637</v>
      </c>
      <c r="DT233" s="357"/>
      <c r="DU233" s="357"/>
      <c r="DV233" s="357"/>
      <c r="DW233" s="357"/>
      <c r="EG233" s="3" t="s">
        <v>638</v>
      </c>
      <c r="EK233" s="50">
        <f>EA241</f>
        <v>46.099804713468714</v>
      </c>
      <c r="EL233" s="48">
        <f>EL241</f>
        <v>4043367.3234254471</v>
      </c>
      <c r="FA233" s="3" t="s">
        <v>638</v>
      </c>
      <c r="FF233" s="50">
        <f>EV241</f>
        <v>13.829941414040613</v>
      </c>
      <c r="FG233" s="48">
        <f>FG241</f>
        <v>1213010.1970276341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703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4026178.1360752485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703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703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703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30.954464502133519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529</v>
      </c>
      <c r="CM236" s="1" t="s">
        <v>530</v>
      </c>
      <c r="CN236" s="1" t="s">
        <v>703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65" t="s">
        <v>638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703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606</v>
      </c>
      <c r="DC238" s="136">
        <f>DQ233/(CW234+DD229)</f>
        <v>0.9960578434433518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395</v>
      </c>
      <c r="DC239" s="137">
        <f>DQ238/(CW234+DD229)</f>
        <v>0.18236833377116268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703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703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703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673</v>
      </c>
      <c r="CK271" s="17" t="s">
        <v>646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3"/>
      <c r="CK272" s="3" t="s">
        <v>647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3"/>
      <c r="CK273" s="3" t="s">
        <v>648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3"/>
      <c r="CK274" s="3" t="s">
        <v>657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3"/>
      <c r="CK275" s="3" t="s">
        <v>664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3"/>
      <c r="CK276" s="3" t="s">
        <v>666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3"/>
      <c r="CK277" s="4" t="s">
        <v>667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workbookViewId="0">
      <selection activeCell="M43" sqref="M43"/>
    </sheetView>
  </sheetViews>
  <sheetFormatPr baseColWidth="10" defaultRowHeight="15" x14ac:dyDescent="0.2"/>
  <cols>
    <col min="9" max="9" width="12.1640625" customWidth="1"/>
  </cols>
  <sheetData>
    <row r="3" spans="2:22" ht="18" x14ac:dyDescent="0.25">
      <c r="B3" s="4"/>
      <c r="C3" s="1" t="s">
        <v>529</v>
      </c>
      <c r="D3" s="1" t="s">
        <v>530</v>
      </c>
      <c r="E3" s="1" t="s">
        <v>703</v>
      </c>
      <c r="F3" s="1" t="s">
        <v>85</v>
      </c>
      <c r="G3" s="1" t="s">
        <v>629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531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381" t="s">
        <v>426</v>
      </c>
      <c r="S4" s="381"/>
      <c r="T4" s="381"/>
      <c r="U4" s="381"/>
      <c r="V4" s="381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1"/>
      <c r="S5" s="381"/>
      <c r="T5" s="381"/>
      <c r="U5" s="381"/>
      <c r="V5" s="381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630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482" t="s">
        <v>705</v>
      </c>
      <c r="D16" s="482" t="s">
        <v>706</v>
      </c>
      <c r="E16" s="483" t="s">
        <v>707</v>
      </c>
      <c r="F16" s="1" t="s">
        <v>708</v>
      </c>
      <c r="G16" s="1" t="s">
        <v>708</v>
      </c>
    </row>
    <row r="17" spans="2:9" ht="18" x14ac:dyDescent="0.25">
      <c r="B17" s="3"/>
      <c r="C17" s="482" t="s">
        <v>342</v>
      </c>
      <c r="D17" s="483" t="s">
        <v>342</v>
      </c>
      <c r="E17" s="483" t="s">
        <v>63</v>
      </c>
      <c r="F17" s="3" t="s">
        <v>342</v>
      </c>
      <c r="G17" s="2" t="s">
        <v>95</v>
      </c>
    </row>
    <row r="18" spans="2:9" ht="18" x14ac:dyDescent="0.25">
      <c r="B18" s="27" t="s">
        <v>324</v>
      </c>
      <c r="C18" s="17">
        <f>cp_CaCO3*(T8-Constants!O5)</f>
        <v>665.11400000000003</v>
      </c>
      <c r="D18" s="17">
        <f>cp_CaCO3*LN(T8/T_0)</f>
        <v>1.0414692157198475</v>
      </c>
      <c r="E18" s="17">
        <f>T_0</f>
        <v>298</v>
      </c>
      <c r="F18" s="17">
        <f>C18- D18*E18</f>
        <v>354.75617371548549</v>
      </c>
      <c r="G18" s="17">
        <f>F18*MW_CaCO3</f>
        <v>35.506552109896539</v>
      </c>
    </row>
    <row r="19" spans="2:9" ht="18" x14ac:dyDescent="0.25">
      <c r="B19" s="6" t="s">
        <v>327</v>
      </c>
      <c r="C19" s="483">
        <f>cp_MgCO3*(T8-T_0)</f>
        <v>66.677678499999999</v>
      </c>
      <c r="D19" s="483">
        <f>cp_MgCO3*LN(T8/T_0)</f>
        <v>0.1044072888759147</v>
      </c>
      <c r="E19" s="483">
        <f>T_0</f>
        <v>298</v>
      </c>
      <c r="F19" s="3">
        <f>C19- D19*E19</f>
        <v>35.564306414977416</v>
      </c>
      <c r="G19" s="3">
        <f>F19*MW_MgCO3</f>
        <v>2.998576043933689</v>
      </c>
    </row>
    <row r="20" spans="2:9" x14ac:dyDescent="0.2">
      <c r="B20" s="484"/>
      <c r="C20" s="484"/>
      <c r="D20" s="484"/>
      <c r="E20" s="484"/>
      <c r="F20" s="484"/>
      <c r="G20" s="48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484"/>
      <c r="C26" s="484"/>
    </row>
    <row r="28" spans="2:9" ht="18" x14ac:dyDescent="0.25">
      <c r="C28" s="1" t="s">
        <v>529</v>
      </c>
      <c r="D28" s="1" t="s">
        <v>530</v>
      </c>
      <c r="E28" s="1" t="s">
        <v>703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48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712</v>
      </c>
      <c r="D40" s="3" t="s">
        <v>714</v>
      </c>
      <c r="E40" s="3" t="s">
        <v>715</v>
      </c>
      <c r="F40" s="3" t="s">
        <v>718</v>
      </c>
      <c r="G40" s="3" t="s">
        <v>718</v>
      </c>
      <c r="H40" s="3" t="s">
        <v>717</v>
      </c>
      <c r="I40" s="3" t="s">
        <v>717</v>
      </c>
    </row>
    <row r="41" spans="2:9" ht="18" x14ac:dyDescent="0.25">
      <c r="B41" s="3"/>
      <c r="C41" s="3" t="s">
        <v>98</v>
      </c>
      <c r="D41" s="3" t="s">
        <v>720</v>
      </c>
      <c r="E41" s="3" t="s">
        <v>713</v>
      </c>
      <c r="F41" s="3" t="s">
        <v>716</v>
      </c>
      <c r="G41" s="3" t="s">
        <v>719</v>
      </c>
      <c r="H41" s="3" t="s">
        <v>342</v>
      </c>
      <c r="I41" s="48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721</v>
      </c>
      <c r="E48" s="1" t="s">
        <v>722</v>
      </c>
      <c r="F48" s="1" t="s">
        <v>723</v>
      </c>
      <c r="G48" s="1" t="s">
        <v>724</v>
      </c>
      <c r="H48" s="1" t="s">
        <v>725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G18*C50</f>
        <v>33.418636498178699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43.924926786354774</v>
      </c>
    </row>
    <row r="51" spans="2:8" ht="18" x14ac:dyDescent="0.25">
      <c r="B51" s="6" t="s">
        <v>327</v>
      </c>
      <c r="C51" s="6">
        <f>I6</f>
        <v>5.880367108739603E-2</v>
      </c>
      <c r="D51">
        <f>G19*C51</f>
        <v>0.17632727941802184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1.7269040199074299</v>
      </c>
    </row>
    <row r="52" spans="2:8" ht="16" x14ac:dyDescent="0.2">
      <c r="B52" s="484"/>
      <c r="C52" s="27">
        <f>SUM(C50:C51)</f>
        <v>1</v>
      </c>
      <c r="D52" s="27">
        <f t="shared" ref="D52:F52" si="0">SUM(D50:D51)</f>
        <v>33.594963777596725</v>
      </c>
      <c r="E52" s="27">
        <f t="shared" si="0"/>
        <v>12.581858402814841</v>
      </c>
      <c r="F52" s="27">
        <f t="shared" si="0"/>
        <v>-0.55605911350848669</v>
      </c>
      <c r="G52" s="484">
        <f>G50+G51</f>
        <v>3.1067739359130622E-2</v>
      </c>
      <c r="H52" s="484">
        <f>H50+H51</f>
        <v>45.651830806262204</v>
      </c>
    </row>
    <row r="55" spans="2:8" ht="18" x14ac:dyDescent="0.25">
      <c r="C55" s="1" t="s">
        <v>727</v>
      </c>
      <c r="D55" s="1" t="s">
        <v>725</v>
      </c>
      <c r="E55" s="1" t="s">
        <v>726</v>
      </c>
    </row>
    <row r="56" spans="2:8" ht="18" x14ac:dyDescent="0.25">
      <c r="C56" s="2" t="s">
        <v>94</v>
      </c>
      <c r="D56" s="2" t="s">
        <v>94</v>
      </c>
      <c r="E56" s="3" t="s">
        <v>728</v>
      </c>
    </row>
    <row r="57" spans="2:8" x14ac:dyDescent="0.2">
      <c r="C57" s="3">
        <f>G52</f>
        <v>3.1067739359130622E-2</v>
      </c>
      <c r="D57" s="3">
        <f>H52</f>
        <v>45.651830806262204</v>
      </c>
      <c r="E57" s="95">
        <f>(C57/D57)*100</f>
        <v>6.8053654827067656E-2</v>
      </c>
    </row>
    <row r="58" spans="2:8" x14ac:dyDescent="0.2">
      <c r="C58" s="484"/>
      <c r="D58" s="484"/>
      <c r="E58" s="48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abSelected="1" zoomScale="125" zoomScaleNormal="20" workbookViewId="0">
      <selection activeCell="H31" sqref="H31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637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637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 t="s">
        <v>673</v>
      </c>
      <c r="C29" s="280">
        <v>1</v>
      </c>
      <c r="AT29" s="249" t="s">
        <v>673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673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635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 t="s">
        <v>638</v>
      </c>
      <c r="C33" s="280">
        <v>1</v>
      </c>
      <c r="AT33" s="203" t="s">
        <v>638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638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637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673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638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637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673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673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638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673</v>
      </c>
      <c r="AH126" s="207" t="s">
        <v>501</v>
      </c>
      <c r="AI126" s="204" t="s">
        <v>503</v>
      </c>
      <c r="AJ126" s="207" t="s">
        <v>635</v>
      </c>
      <c r="AK126" s="207" t="s">
        <v>638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637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673</v>
      </c>
      <c r="AH155" s="207" t="s">
        <v>501</v>
      </c>
      <c r="AI155" s="204" t="s">
        <v>503</v>
      </c>
      <c r="AJ155" s="207" t="s">
        <v>635</v>
      </c>
      <c r="AK155" s="207" t="s">
        <v>638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8855804.320336977</v>
      </c>
      <c r="I187" s="169" t="s">
        <v>450</v>
      </c>
      <c r="J187" s="248">
        <f t="shared" si="55"/>
        <v>8855804.320336977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673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638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403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404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535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425</v>
      </c>
      <c r="F223" s="248">
        <v>25331.72997230629</v>
      </c>
      <c r="G223" s="169" t="s">
        <v>455</v>
      </c>
      <c r="H223" s="248">
        <f t="shared" si="59"/>
        <v>25297.051877142174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421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634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637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414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637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673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673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673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638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673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638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673</v>
      </c>
      <c r="AE123" s="207" t="s">
        <v>501</v>
      </c>
      <c r="AF123" s="204" t="s">
        <v>503</v>
      </c>
      <c r="AG123" s="207" t="s">
        <v>635</v>
      </c>
      <c r="AH123" s="207" t="s">
        <v>638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637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673</v>
      </c>
      <c r="AE152" s="207" t="s">
        <v>501</v>
      </c>
      <c r="AF152" s="204" t="s">
        <v>503</v>
      </c>
      <c r="AG152" s="207" t="s">
        <v>635</v>
      </c>
      <c r="AH152" s="207" t="s">
        <v>638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673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638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637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637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673</v>
      </c>
      <c r="C29" s="280">
        <v>1</v>
      </c>
      <c r="AQ29" s="249" t="s">
        <v>673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673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638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673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638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673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638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673</v>
      </c>
      <c r="AE122" s="207" t="s">
        <v>501</v>
      </c>
      <c r="AF122" s="204" t="s">
        <v>503</v>
      </c>
      <c r="AG122" s="207" t="s">
        <v>635</v>
      </c>
      <c r="AH122" s="207" t="s">
        <v>638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637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673</v>
      </c>
      <c r="AE151" s="207" t="s">
        <v>501</v>
      </c>
      <c r="AF151" s="204" t="s">
        <v>503</v>
      </c>
      <c r="AG151" s="207" t="s">
        <v>635</v>
      </c>
      <c r="AH151" s="207" t="s">
        <v>638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639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639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673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638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639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637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673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638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673</v>
      </c>
      <c r="AH56" s="207" t="s">
        <v>501</v>
      </c>
      <c r="AI56" s="470" t="s">
        <v>503</v>
      </c>
      <c r="AJ56" s="207" t="s">
        <v>635</v>
      </c>
      <c r="AK56" s="207" t="s">
        <v>638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637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673</v>
      </c>
      <c r="AH83" s="207" t="s">
        <v>501</v>
      </c>
      <c r="AI83" s="470" t="s">
        <v>503</v>
      </c>
      <c r="AJ83" s="207" t="s">
        <v>635</v>
      </c>
      <c r="AK83" s="207" t="s">
        <v>638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637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673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638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673</v>
      </c>
      <c r="AH57" s="207" t="s">
        <v>501</v>
      </c>
      <c r="AI57" s="470" t="s">
        <v>503</v>
      </c>
      <c r="AJ57" s="207" t="s">
        <v>635</v>
      </c>
      <c r="AK57" s="207" t="s">
        <v>638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637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673</v>
      </c>
      <c r="AH84" s="207" t="s">
        <v>501</v>
      </c>
      <c r="AI84" s="470" t="s">
        <v>503</v>
      </c>
      <c r="AJ84" s="207" t="s">
        <v>635</v>
      </c>
      <c r="AK84" s="207" t="s">
        <v>638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673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638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700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637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701</v>
      </c>
      <c r="G160" s="302"/>
      <c r="H160" s="302" t="s">
        <v>265</v>
      </c>
      <c r="I160" s="302"/>
      <c r="J160" s="466" t="s">
        <v>442</v>
      </c>
      <c r="K160" s="132"/>
      <c r="L160" s="302" t="s">
        <v>702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9"/>
      <c r="C33" s="146" t="s">
        <v>395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12" zoomScale="108" workbookViewId="0">
      <selection activeCell="E51" sqref="E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709</v>
      </c>
      <c r="D50" s="201" t="s">
        <v>710</v>
      </c>
      <c r="E50" s="201" t="s">
        <v>711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426</v>
      </c>
      <c r="C60" s="3" t="s">
        <v>378</v>
      </c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421</v>
      </c>
      <c r="C61" s="3" t="s">
        <v>378</v>
      </c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634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637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414</v>
      </c>
      <c r="C65" s="3" t="s">
        <v>378</v>
      </c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369</vt:i4>
      </vt:variant>
    </vt:vector>
  </HeadingPairs>
  <TitlesOfParts>
    <vt:vector size="385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cp_CaCO3</vt:lpstr>
      <vt:lpstr>cp_MgCO3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2025-07-25T19:40:54Z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