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339FED0-FACC-E847-91E6-C6525D0D3AA2}" xr6:coauthVersionLast="47" xr6:coauthVersionMax="47" xr10:uidLastSave="{00000000-0000-0000-0000-000000000000}"/>
  <bookViews>
    <workbookView xWindow="520" yWindow="840" windowWidth="39220" windowHeight="26960" activeTab="6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_CaCO3">Appx_exergy_account!$I$30</definedName>
    <definedName name="b_c_MgCO3">Appx_exergy_account!$I$31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">Constants!$K$14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com_CaCO3">Appx_exergy_account!$I$42</definedName>
    <definedName name="b_com_MgCO3">Appx_exergy_account!$I$43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ph_CaCO3">Appx_exergy_account!$F$18</definedName>
    <definedName name="b_ph_MgCO3">Appx_exergy_account!$F$19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p_CaCO3">Constants!$H$6</definedName>
    <definedName name="cp_MgCO3">Constants!$H$29</definedName>
    <definedName name="deltaG_CaCO3">Constants!$C$6</definedName>
    <definedName name="deltaG_MgCO3">Constants!$C$29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Appx_exergy_account!$D$42</definedName>
    <definedName name="dM_MgCO3">Appx_exergy_account!$D$43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Appx_exergy_account!$C$42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" i="25" l="1"/>
  <c r="D50" i="25"/>
  <c r="F18" i="25"/>
  <c r="H29" i="3"/>
  <c r="H6" i="3"/>
  <c r="E52" i="25"/>
  <c r="F52" i="25"/>
  <c r="C57" i="25"/>
  <c r="G52" i="25"/>
  <c r="G51" i="25"/>
  <c r="G50" i="25"/>
  <c r="F51" i="25"/>
  <c r="F50" i="25"/>
  <c r="E51" i="25"/>
  <c r="E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E19" i="25"/>
  <c r="D18" i="25"/>
  <c r="D19" i="25"/>
  <c r="E18" i="25"/>
  <c r="C19" i="25"/>
  <c r="F19" i="25" s="1"/>
  <c r="H51" i="25" s="1"/>
  <c r="C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D52" i="25" l="1"/>
  <c r="H50" i="25"/>
  <c r="H52" i="25" s="1"/>
  <c r="D57" i="25" s="1"/>
  <c r="E57" i="25" s="1"/>
  <c r="H30" i="25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<sst xmlns="http://schemas.openxmlformats.org/spreadsheetml/2006/main" count="6241" uniqueCount="728">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</sst>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5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52" fillId="0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2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topLeftCell="A4" zoomScale="173" workbookViewId="0">
      <selection activeCell="C6" sqref="C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696</v>
      </c>
      <c r="AI1" s="3" t="s">
        <v>696</v>
      </c>
    </row>
    <row r="2" spans="2:35" ht="17" x14ac:dyDescent="0.25">
      <c r="S2" s="322" t="s">
        <v>102</v>
      </c>
      <c r="T2" s="323"/>
      <c r="U2" s="322" t="s">
        <v>108</v>
      </c>
      <c r="V2" s="323"/>
      <c r="X2" s="324" t="s">
        <v>233</v>
      </c>
      <c r="Y2" s="324"/>
      <c r="Z2" s="13" t="s">
        <v>52</v>
      </c>
      <c r="AC2" s="3" t="s">
        <v>341</v>
      </c>
      <c r="AH2" s="3" t="s">
        <v>342</v>
      </c>
      <c r="AI2" s="3" t="s">
        <v>697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703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591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48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440</v>
      </c>
      <c r="AB5" s="61" t="s">
        <v>465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482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48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466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48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48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48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48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481"/>
      <c r="J12" s="13" t="s">
        <v>308</v>
      </c>
      <c r="K12" s="13">
        <v>794.3</v>
      </c>
      <c r="R12" s="325" t="s">
        <v>381</v>
      </c>
      <c r="S12" s="325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481"/>
      <c r="J13" s="92" t="s">
        <v>311</v>
      </c>
      <c r="K13" s="13">
        <v>124.2</v>
      </c>
      <c r="R13" s="128" t="s">
        <v>319</v>
      </c>
      <c r="S13" s="13" t="s">
        <v>382</v>
      </c>
      <c r="T13" s="13" t="s">
        <v>33</v>
      </c>
      <c r="U13" s="13" t="s">
        <v>34</v>
      </c>
      <c r="V13" s="13" t="s">
        <v>35</v>
      </c>
      <c r="W13" s="13" t="s">
        <v>691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48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48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481"/>
      <c r="J16" s="13" t="s">
        <v>180</v>
      </c>
      <c r="K16" s="13">
        <v>607.29999999999995</v>
      </c>
      <c r="R16" s="326" t="s">
        <v>668</v>
      </c>
      <c r="S16" s="326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481"/>
      <c r="J17" s="13" t="s">
        <v>315</v>
      </c>
      <c r="K17" s="13">
        <v>366.5</v>
      </c>
      <c r="R17" s="13" t="s">
        <v>382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48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48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48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48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48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48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48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48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48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48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48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(76.19/1000)*MW_MgCO3</f>
        <v>6.4238988979999998E-3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48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48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48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48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48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48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48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48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481"/>
    </row>
    <row r="39" spans="1:8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481"/>
    </row>
    <row r="40" spans="1:8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481"/>
    </row>
    <row r="41" spans="1:8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481"/>
    </row>
    <row r="42" spans="1:8" ht="17" x14ac:dyDescent="0.25">
      <c r="A42" s="3" t="s">
        <v>655</v>
      </c>
      <c r="B42" s="3" t="s">
        <v>645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481"/>
    </row>
    <row r="43" spans="1:8" ht="17" x14ac:dyDescent="0.25">
      <c r="A43" s="3" t="s">
        <v>658</v>
      </c>
      <c r="B43" s="3" t="s">
        <v>646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481"/>
    </row>
    <row r="44" spans="1:8" ht="17" x14ac:dyDescent="0.25">
      <c r="A44" s="3" t="s">
        <v>659</v>
      </c>
      <c r="B44" s="3" t="s">
        <v>647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481"/>
    </row>
    <row r="45" spans="1:8" ht="17" x14ac:dyDescent="0.25">
      <c r="A45" s="3" t="s">
        <v>657</v>
      </c>
      <c r="B45" s="3" t="s">
        <v>656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481"/>
    </row>
    <row r="46" spans="1:8" ht="17" x14ac:dyDescent="0.25">
      <c r="A46" s="3" t="s">
        <v>660</v>
      </c>
      <c r="B46" s="3" t="s">
        <v>663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481"/>
    </row>
    <row r="47" spans="1:8" ht="17" x14ac:dyDescent="0.25">
      <c r="A47" s="3" t="s">
        <v>661</v>
      </c>
      <c r="B47" s="3" t="s">
        <v>665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481"/>
    </row>
    <row r="48" spans="1:8" ht="17" x14ac:dyDescent="0.25">
      <c r="A48" s="3" t="s">
        <v>662</v>
      </c>
      <c r="B48" s="4" t="s">
        <v>666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481"/>
    </row>
    <row r="49" spans="1:8" ht="18" x14ac:dyDescent="0.25">
      <c r="B49" s="1" t="s">
        <v>683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481"/>
    </row>
    <row r="50" spans="1:8" ht="17" x14ac:dyDescent="0.25">
      <c r="A50" s="3" t="s">
        <v>695</v>
      </c>
      <c r="B50" s="3" t="s">
        <v>694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48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382</v>
      </c>
      <c r="C63" s="16" t="s">
        <v>633</v>
      </c>
    </row>
    <row r="64" spans="1:8" x14ac:dyDescent="0.2">
      <c r="B64" s="128" t="s">
        <v>387</v>
      </c>
      <c r="C64" s="3" t="s">
        <v>389</v>
      </c>
    </row>
    <row r="65" spans="2:3" x14ac:dyDescent="0.2">
      <c r="B65" s="13" t="s">
        <v>692</v>
      </c>
      <c r="C65" s="446" t="s">
        <v>693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628</v>
      </c>
    </row>
    <row r="69" spans="2:3" x14ac:dyDescent="0.2">
      <c r="B69" s="13" t="s">
        <v>631</v>
      </c>
      <c r="C69" s="16" t="s">
        <v>689</v>
      </c>
    </row>
    <row r="70" spans="2:3" x14ac:dyDescent="0.2">
      <c r="B70" s="13" t="s">
        <v>644</v>
      </c>
      <c r="C70" s="3" t="s">
        <v>664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596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586</v>
      </c>
      <c r="E3" s="3" t="s">
        <v>585</v>
      </c>
      <c r="F3" s="288" t="s">
        <v>580</v>
      </c>
      <c r="G3" s="288" t="s">
        <v>588</v>
      </c>
      <c r="H3" s="3" t="s">
        <v>589</v>
      </c>
      <c r="I3" s="288" t="s">
        <v>590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597</v>
      </c>
      <c r="V3" s="3" t="s">
        <v>598</v>
      </c>
    </row>
    <row r="4" spans="2:22" x14ac:dyDescent="0.2">
      <c r="B4" s="3"/>
      <c r="C4" s="169" t="s">
        <v>569</v>
      </c>
      <c r="D4" s="13" t="s">
        <v>587</v>
      </c>
      <c r="E4" s="13" t="s">
        <v>63</v>
      </c>
      <c r="F4" s="13" t="s">
        <v>342</v>
      </c>
      <c r="G4" s="13" t="s">
        <v>587</v>
      </c>
      <c r="H4" s="13" t="s">
        <v>98</v>
      </c>
      <c r="I4" s="13" t="s">
        <v>587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569</v>
      </c>
      <c r="U4" s="13" t="s">
        <v>58</v>
      </c>
      <c r="V4" s="13" t="s">
        <v>58</v>
      </c>
    </row>
    <row r="5" spans="2:22" ht="15" customHeight="1" x14ac:dyDescent="0.2">
      <c r="B5" s="327" t="s">
        <v>563</v>
      </c>
      <c r="C5" s="3" t="s">
        <v>568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568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573</v>
      </c>
      <c r="F6" s="1" t="s">
        <v>574</v>
      </c>
      <c r="G6" s="1" t="s">
        <v>575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571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570</v>
      </c>
      <c r="U7" s="3">
        <f>Q11</f>
        <v>-293.51958084724475</v>
      </c>
      <c r="V7">
        <f>P21</f>
        <v>-2123.0450060933322</v>
      </c>
    </row>
    <row r="8" spans="2:22" x14ac:dyDescent="0.2">
      <c r="B8" s="327"/>
      <c r="C8" s="3" t="s">
        <v>571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565</v>
      </c>
      <c r="F9" s="3" t="s">
        <v>566</v>
      </c>
      <c r="G9" s="288" t="s">
        <v>577</v>
      </c>
      <c r="H9" s="288" t="s">
        <v>578</v>
      </c>
      <c r="I9" s="3" t="s">
        <v>579</v>
      </c>
      <c r="J9" s="288" t="s">
        <v>580</v>
      </c>
      <c r="K9" s="288" t="s">
        <v>581</v>
      </c>
      <c r="L9" s="288" t="s">
        <v>101</v>
      </c>
      <c r="M9" s="288" t="s">
        <v>582</v>
      </c>
      <c r="N9" s="288" t="s">
        <v>583</v>
      </c>
      <c r="O9" s="3" t="s">
        <v>54</v>
      </c>
      <c r="P9" s="288" t="s">
        <v>584</v>
      </c>
      <c r="Q9" s="288" t="s">
        <v>34</v>
      </c>
    </row>
    <row r="10" spans="2:22" ht="17" x14ac:dyDescent="0.25">
      <c r="B10" s="327"/>
      <c r="C10" s="3"/>
      <c r="D10" s="13" t="s">
        <v>599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597</v>
      </c>
      <c r="V10" s="3" t="s">
        <v>598</v>
      </c>
    </row>
    <row r="11" spans="2:22" x14ac:dyDescent="0.2">
      <c r="B11" s="327"/>
      <c r="C11" s="3" t="s">
        <v>570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569</v>
      </c>
      <c r="U11" s="13" t="s">
        <v>58</v>
      </c>
      <c r="V11" s="13" t="s">
        <v>58</v>
      </c>
    </row>
    <row r="12" spans="2:22" x14ac:dyDescent="0.2">
      <c r="S12" s="328" t="s">
        <v>600</v>
      </c>
      <c r="T12" s="13" t="s">
        <v>568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567</v>
      </c>
      <c r="E13" s="236" t="s">
        <v>565</v>
      </c>
      <c r="F13" s="236" t="s">
        <v>566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571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572</v>
      </c>
      <c r="H14" s="290" t="s">
        <v>572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570</v>
      </c>
      <c r="U14" s="236">
        <v>869.44899999999996</v>
      </c>
      <c r="V14" s="236">
        <v>858.81600000000003</v>
      </c>
    </row>
    <row r="15" spans="2:22" x14ac:dyDescent="0.2">
      <c r="B15" s="327" t="s">
        <v>564</v>
      </c>
      <c r="C15" s="236" t="s">
        <v>568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573</v>
      </c>
      <c r="F16" s="291" t="s">
        <v>574</v>
      </c>
      <c r="G16" s="291" t="s">
        <v>575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571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592</v>
      </c>
      <c r="G19" s="293" t="s">
        <v>593</v>
      </c>
      <c r="H19" s="293" t="s">
        <v>580</v>
      </c>
      <c r="I19" s="293" t="s">
        <v>590</v>
      </c>
      <c r="J19" s="293" t="s">
        <v>590</v>
      </c>
      <c r="K19" s="236" t="s">
        <v>40</v>
      </c>
      <c r="L19" s="293" t="s">
        <v>582</v>
      </c>
      <c r="M19" s="293" t="s">
        <v>583</v>
      </c>
      <c r="N19" s="293" t="s">
        <v>594</v>
      </c>
      <c r="O19" s="293" t="s">
        <v>595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591</v>
      </c>
      <c r="K20" s="290" t="s">
        <v>576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570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542</v>
      </c>
    </row>
    <row r="33" spans="3:3" x14ac:dyDescent="0.2">
      <c r="C33" s="3" t="s">
        <v>543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622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698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634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643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641</v>
      </c>
      <c r="G72" s="13" t="s">
        <v>642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639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640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669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644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688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679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653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650</v>
      </c>
      <c r="M88" s="132" t="s">
        <v>386</v>
      </c>
      <c r="N88" s="132" t="s">
        <v>461</v>
      </c>
      <c r="X88" s="339" t="s">
        <v>625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674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670</v>
      </c>
      <c r="M91" s="19" t="s">
        <v>671</v>
      </c>
      <c r="N91" s="3" t="s">
        <v>681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676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690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649</v>
      </c>
      <c r="M96" s="3" t="s">
        <v>650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623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670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675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608</v>
      </c>
      <c r="N101" s="6"/>
      <c r="Y101" s="298" t="s">
        <v>435</v>
      </c>
      <c r="AG101" s="169" t="s">
        <v>680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624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651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652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654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655</v>
      </c>
      <c r="B107" s="13" t="s">
        <v>645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673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658</v>
      </c>
      <c r="B108" s="13" t="s">
        <v>646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659</v>
      </c>
      <c r="B109" s="13" t="s">
        <v>647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657</v>
      </c>
      <c r="B110" s="13" t="s">
        <v>656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660</v>
      </c>
      <c r="B111" s="13" t="s">
        <v>663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661</v>
      </c>
      <c r="B112" s="13" t="s">
        <v>665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662</v>
      </c>
      <c r="B113" s="61" t="s">
        <v>666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648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667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677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678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626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682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684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686</v>
      </c>
      <c r="L191" s="320" t="s">
        <v>685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682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627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611</v>
      </c>
      <c r="K221" s="132" t="s">
        <v>614</v>
      </c>
      <c r="L221" s="3" t="s">
        <v>382</v>
      </c>
      <c r="M221" s="3" t="s">
        <v>40</v>
      </c>
      <c r="N221" s="4" t="s">
        <v>35</v>
      </c>
      <c r="O221" s="132" t="s">
        <v>612</v>
      </c>
      <c r="P221" s="132" t="s">
        <v>613</v>
      </c>
      <c r="CJ221" s="325"/>
    </row>
    <row r="222" spans="2:88" x14ac:dyDescent="0.2">
      <c r="C222" s="3" t="s">
        <v>610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615</v>
      </c>
    </row>
    <row r="228" spans="2:94" x14ac:dyDescent="0.2">
      <c r="C228" s="3" t="s">
        <v>558</v>
      </c>
      <c r="N228" s="3" t="s">
        <v>616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627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611</v>
      </c>
      <c r="C245" s="132" t="s">
        <v>614</v>
      </c>
      <c r="D245" s="3" t="s">
        <v>382</v>
      </c>
      <c r="E245" s="3" t="s">
        <v>40</v>
      </c>
      <c r="F245" s="4" t="s">
        <v>35</v>
      </c>
      <c r="G245" s="132" t="s">
        <v>612</v>
      </c>
      <c r="H245" s="132" t="s">
        <v>617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627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611</v>
      </c>
      <c r="C262" s="132" t="s">
        <v>614</v>
      </c>
      <c r="D262" s="3" t="s">
        <v>382</v>
      </c>
      <c r="E262" s="3" t="s">
        <v>40</v>
      </c>
      <c r="F262" s="4" t="s">
        <v>35</v>
      </c>
      <c r="G262" s="132" t="s">
        <v>612</v>
      </c>
      <c r="H262" s="132" t="s">
        <v>618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627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562</v>
      </c>
      <c r="H278" s="3" t="s">
        <v>562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560</v>
      </c>
      <c r="C283" s="3">
        <f>C280/C281</f>
        <v>0.33567230039130802</v>
      </c>
    </row>
    <row r="284" spans="2:13" x14ac:dyDescent="0.2">
      <c r="B284" s="3" t="s">
        <v>561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M116" zoomScale="150" zoomScaleNormal="120" workbookViewId="0">
      <selection activeCell="BX130" sqref="BX13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606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6" t="s">
        <v>535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702</v>
      </c>
      <c r="N44" s="1" t="s">
        <v>85</v>
      </c>
      <c r="O44" s="1" t="s">
        <v>629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702</v>
      </c>
      <c r="AG44" s="1" t="s">
        <v>85</v>
      </c>
      <c r="AH44" s="1" t="s">
        <v>629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702</v>
      </c>
      <c r="AZ44" s="1" t="s">
        <v>85</v>
      </c>
      <c r="BA44" s="1" t="s">
        <v>629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702</v>
      </c>
      <c r="BS44" s="1" t="s">
        <v>85</v>
      </c>
      <c r="BT44" s="1" t="s">
        <v>629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606</v>
      </c>
      <c r="AA47" s="136">
        <f>($AO$42+AO63)/(V59+V72+$V$42)</f>
        <v>0.54544989987759507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606</v>
      </c>
      <c r="AT47" s="136">
        <f>BH42/(AU28+AO42)</f>
        <v>0.15068009543796188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606</v>
      </c>
      <c r="BM47" s="136">
        <f>(CA42+CA55)/(BN35+BH42)</f>
        <v>0.90881323958376325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395</v>
      </c>
      <c r="AA48" s="137">
        <f>$AO$46/(V59+V72+$V$42)</f>
        <v>0.45121172554462574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395</v>
      </c>
      <c r="AT48" s="137">
        <f>BH46/(AU28+AO42)</f>
        <v>0.12723325256465715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395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630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557</v>
      </c>
      <c r="Z53" s="1" t="s">
        <v>557</v>
      </c>
      <c r="AA53" s="1" t="s">
        <v>557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557</v>
      </c>
      <c r="AS53" s="1" t="s">
        <v>557</v>
      </c>
      <c r="AT53" s="1" t="s">
        <v>557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557</v>
      </c>
      <c r="BK53" s="1" t="s">
        <v>557</v>
      </c>
      <c r="BL53" s="1" t="s">
        <v>557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556</v>
      </c>
      <c r="Z54" s="3" t="s">
        <v>556</v>
      </c>
      <c r="AA54" s="3" t="s">
        <v>556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556</v>
      </c>
      <c r="AS54" s="3" t="s">
        <v>556</v>
      </c>
      <c r="AT54" s="3" t="s">
        <v>556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556</v>
      </c>
      <c r="BK54" s="3" t="s">
        <v>556</v>
      </c>
      <c r="BL54" s="3" t="s">
        <v>556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702</v>
      </c>
      <c r="BS57" s="1" t="s">
        <v>85</v>
      </c>
      <c r="BT57" s="1" t="s">
        <v>629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534</v>
      </c>
      <c r="L61" s="1" t="s">
        <v>529</v>
      </c>
      <c r="M61" s="1" t="s">
        <v>702</v>
      </c>
      <c r="N61" s="1" t="s">
        <v>85</v>
      </c>
      <c r="O61" s="1" t="s">
        <v>629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533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620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546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702</v>
      </c>
      <c r="AG65" s="1" t="s">
        <v>85</v>
      </c>
      <c r="AH65" s="1" t="s">
        <v>629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702</v>
      </c>
      <c r="N74" s="1" t="s">
        <v>85</v>
      </c>
      <c r="O74" s="1" t="s">
        <v>629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534</v>
      </c>
      <c r="EC103" s="1" t="s">
        <v>529</v>
      </c>
      <c r="ED103" s="3" t="s">
        <v>5</v>
      </c>
      <c r="EE103" s="1" t="s">
        <v>85</v>
      </c>
      <c r="EF103" s="1" t="s">
        <v>629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533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702</v>
      </c>
      <c r="FE106" s="1" t="s">
        <v>85</v>
      </c>
      <c r="FF106" s="1" t="s">
        <v>629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532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630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606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702</v>
      </c>
      <c r="CO116" s="1" t="s">
        <v>85</v>
      </c>
      <c r="CP116" s="1" t="s">
        <v>629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534</v>
      </c>
      <c r="EC116" s="1" t="s">
        <v>529</v>
      </c>
      <c r="ED116" s="1" t="s">
        <v>702</v>
      </c>
      <c r="EE116" s="1" t="s">
        <v>85</v>
      </c>
      <c r="EF116" s="1" t="s">
        <v>629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533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630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630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6682782.3361421349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702</v>
      </c>
      <c r="N128" s="1" t="s">
        <v>85</v>
      </c>
      <c r="O128" s="1" t="s">
        <v>629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702</v>
      </c>
      <c r="AH128" s="1" t="s">
        <v>85</v>
      </c>
      <c r="AI128" s="1" t="s">
        <v>629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702</v>
      </c>
      <c r="BA128" s="1" t="s">
        <v>85</v>
      </c>
      <c r="BB128" s="1" t="s">
        <v>629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702</v>
      </c>
      <c r="BT128" s="1" t="s">
        <v>85</v>
      </c>
      <c r="BU128" s="1" t="s">
        <v>629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702</v>
      </c>
      <c r="CO128" s="1" t="s">
        <v>85</v>
      </c>
      <c r="CP128" s="1" t="s">
        <v>629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702</v>
      </c>
      <c r="EE128" s="1" t="s">
        <v>85</v>
      </c>
      <c r="EF128" s="1" t="s">
        <v>629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702</v>
      </c>
      <c r="FE128" s="1" t="s">
        <v>85</v>
      </c>
      <c r="FF128" s="1" t="s">
        <v>629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532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532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606</v>
      </c>
      <c r="AA131" s="136">
        <f>($AP$126+AP142)/(SUM(V126,V140,V163,V151))</f>
        <v>0.98922076974338935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606</v>
      </c>
      <c r="AU131" s="136">
        <f>BI126/(AU113+AP126)</f>
        <v>0.89954868347015648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606</v>
      </c>
      <c r="BN131" s="136">
        <f>CB126/(BM113+BI126)</f>
        <v>0.99884664645418608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606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395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395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395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395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630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606</v>
      </c>
      <c r="DX132" s="103">
        <f>EM126/(CW126+CW206+CA42)</f>
        <v>0.99174963463121601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606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630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630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630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630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1.0976920273227081E-2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395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557</v>
      </c>
      <c r="AS135" s="1" t="s">
        <v>557</v>
      </c>
      <c r="AT135" s="1" t="s">
        <v>557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557</v>
      </c>
      <c r="BL135" s="1" t="s">
        <v>557</v>
      </c>
      <c r="BM135" s="1" t="s">
        <v>557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630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557</v>
      </c>
      <c r="Z136" s="1" t="s">
        <v>557</v>
      </c>
      <c r="AA136" s="1" t="s">
        <v>557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556</v>
      </c>
      <c r="AS136" s="3" t="s">
        <v>556</v>
      </c>
      <c r="AT136" s="3" t="s">
        <v>556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556</v>
      </c>
      <c r="BL136" s="3" t="s">
        <v>556</v>
      </c>
      <c r="BM136" s="3" t="s">
        <v>556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555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556</v>
      </c>
      <c r="Z137" s="3" t="s">
        <v>556</v>
      </c>
      <c r="AA137" s="3" t="s">
        <v>556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557</v>
      </c>
      <c r="CF137" s="1" t="s">
        <v>557</v>
      </c>
      <c r="CG137" s="1" t="s">
        <v>557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556</v>
      </c>
      <c r="CF138" s="3" t="s">
        <v>556</v>
      </c>
      <c r="CG138" s="3" t="s">
        <v>556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557</v>
      </c>
      <c r="ER138" s="1" t="s">
        <v>557</v>
      </c>
      <c r="ES138" s="1" t="s">
        <v>557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556</v>
      </c>
      <c r="ER139" s="3" t="s">
        <v>556</v>
      </c>
      <c r="ES139" s="3" t="s">
        <v>556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702</v>
      </c>
      <c r="CO140" s="1" t="s">
        <v>85</v>
      </c>
      <c r="CP140" s="1" t="s">
        <v>629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534</v>
      </c>
      <c r="L142" s="1" t="s">
        <v>529</v>
      </c>
      <c r="M142" s="1" t="s">
        <v>702</v>
      </c>
      <c r="N142" s="1" t="s">
        <v>85</v>
      </c>
      <c r="O142" s="1" t="s">
        <v>629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702</v>
      </c>
      <c r="BT142" s="1" t="s">
        <v>85</v>
      </c>
      <c r="BU142" s="1" t="s">
        <v>629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702</v>
      </c>
      <c r="EE142" s="1" t="s">
        <v>85</v>
      </c>
      <c r="EF142" s="1" t="s">
        <v>629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533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619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559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532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702</v>
      </c>
      <c r="FE143" s="1" t="s">
        <v>85</v>
      </c>
      <c r="FF143" s="1" t="s">
        <v>629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546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702</v>
      </c>
      <c r="AH144" s="1" t="s">
        <v>85</v>
      </c>
      <c r="AI144" s="1" t="s">
        <v>629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532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630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630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682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630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637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534</v>
      </c>
      <c r="L153" s="1" t="s">
        <v>529</v>
      </c>
      <c r="M153" s="1" t="s">
        <v>702</v>
      </c>
      <c r="N153" s="1" t="s">
        <v>85</v>
      </c>
      <c r="O153" s="1" t="s">
        <v>629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533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619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534</v>
      </c>
      <c r="BR154" s="1" t="s">
        <v>529</v>
      </c>
      <c r="BS154" s="1" t="s">
        <v>702</v>
      </c>
      <c r="BT154" s="3" t="s">
        <v>359</v>
      </c>
      <c r="BU154" s="1" t="s">
        <v>629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702</v>
      </c>
      <c r="EE154" s="1" t="s">
        <v>85</v>
      </c>
      <c r="EF154" s="1" t="s">
        <v>629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547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533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532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637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630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702</v>
      </c>
      <c r="N165" s="1" t="s">
        <v>85</v>
      </c>
      <c r="O165" s="1" t="s">
        <v>629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606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8850991.3601140417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57" t="s">
        <v>421</v>
      </c>
      <c r="CE206" s="357"/>
      <c r="CF206" s="357"/>
      <c r="CG206" s="357"/>
      <c r="CH206" s="357"/>
      <c r="CI206" s="299"/>
      <c r="CR206" s="3" t="s">
        <v>601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702</v>
      </c>
      <c r="N208" s="1" t="s">
        <v>85</v>
      </c>
      <c r="O208" s="1" t="s">
        <v>629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702</v>
      </c>
      <c r="AH208" s="1" t="s">
        <v>85</v>
      </c>
      <c r="AI208" s="1" t="s">
        <v>629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702</v>
      </c>
      <c r="BA208" s="1" t="s">
        <v>85</v>
      </c>
      <c r="BB208" s="1" t="s">
        <v>629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702</v>
      </c>
      <c r="BT208" s="1" t="s">
        <v>85</v>
      </c>
      <c r="BU208" s="1" t="s">
        <v>629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702</v>
      </c>
      <c r="CO208" s="1" t="s">
        <v>85</v>
      </c>
      <c r="CP208" s="1" t="s">
        <v>629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602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606</v>
      </c>
      <c r="AB211" s="103">
        <f>(AP206+AP227)/($AC$195+V206+V222+V236)</f>
        <v>0.98899070789782728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606</v>
      </c>
      <c r="AU211" s="136">
        <f>BI206/(AP206+AU190)</f>
        <v>0.99996814295200787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606</v>
      </c>
      <c r="BN211" s="136">
        <f>CB206/(BM195+BI206)</f>
        <v>0.99999431358282376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606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395</v>
      </c>
      <c r="AB212" s="99">
        <f>$AP$210/($AC$195+V206+V222+V236)</f>
        <v>0.98839112692609699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395</v>
      </c>
      <c r="AU212" s="137">
        <f>BI210/(AP206+AU190)</f>
        <v>0.9994246250143145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395</v>
      </c>
      <c r="BN212" s="137">
        <f>CB210/(BM195+BI206)</f>
        <v>0.99945078142046995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395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555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555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555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555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69" t="s">
        <v>372</v>
      </c>
      <c r="X216" s="4"/>
      <c r="Y216" s="1" t="s">
        <v>557</v>
      </c>
      <c r="Z216" s="1" t="s">
        <v>557</v>
      </c>
      <c r="AA216" s="1" t="s">
        <v>557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557</v>
      </c>
      <c r="AS216" s="1" t="s">
        <v>557</v>
      </c>
      <c r="AT216" s="1" t="s">
        <v>557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557</v>
      </c>
      <c r="BL216" s="1" t="s">
        <v>557</v>
      </c>
      <c r="BM216" s="1" t="s">
        <v>557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557</v>
      </c>
      <c r="CF216" s="1" t="s">
        <v>557</v>
      </c>
      <c r="CG216" s="1" t="s">
        <v>557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69"/>
      <c r="X217" s="4" t="s">
        <v>60</v>
      </c>
      <c r="Y217" s="3" t="s">
        <v>556</v>
      </c>
      <c r="Z217" s="3" t="s">
        <v>556</v>
      </c>
      <c r="AA217" s="3" t="s">
        <v>556</v>
      </c>
      <c r="AC217" s="4"/>
      <c r="AD217" s="1" t="s">
        <v>648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556</v>
      </c>
      <c r="AS217" s="3" t="s">
        <v>556</v>
      </c>
      <c r="AT217" s="3" t="s">
        <v>556</v>
      </c>
      <c r="AU217" s="4"/>
      <c r="AV217" s="4"/>
      <c r="AW217" s="1" t="s">
        <v>648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556</v>
      </c>
      <c r="BL217" s="3" t="s">
        <v>556</v>
      </c>
      <c r="BM217" s="3" t="s">
        <v>556</v>
      </c>
      <c r="BN217" s="4"/>
      <c r="BO217" s="4"/>
      <c r="BP217" s="1" t="s">
        <v>648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556</v>
      </c>
      <c r="CF217" s="3" t="s">
        <v>556</v>
      </c>
      <c r="CG217" s="3" t="s">
        <v>556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630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630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630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702</v>
      </c>
      <c r="CO220" s="1" t="s">
        <v>85</v>
      </c>
      <c r="CP220" s="1" t="s">
        <v>629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546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534</v>
      </c>
      <c r="L224" s="1" t="s">
        <v>529</v>
      </c>
      <c r="M224" s="1" t="s">
        <v>702</v>
      </c>
      <c r="N224" s="1" t="s">
        <v>85</v>
      </c>
      <c r="O224" s="1" t="s">
        <v>629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533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619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603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546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648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540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702</v>
      </c>
      <c r="AH229" s="1" t="s">
        <v>85</v>
      </c>
      <c r="AI229" s="1" t="s">
        <v>629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630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500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57" t="s">
        <v>634</v>
      </c>
      <c r="CZ233" s="357"/>
      <c r="DA233" s="357"/>
      <c r="DB233" s="357"/>
      <c r="DC233" s="357"/>
      <c r="DL233" s="3" t="s">
        <v>635</v>
      </c>
      <c r="DP233" s="50">
        <f>DF241</f>
        <v>46.099804713468714</v>
      </c>
      <c r="DQ233" s="48">
        <f>DQ241</f>
        <v>4043367.3234254471</v>
      </c>
      <c r="DS233" s="357" t="s">
        <v>636</v>
      </c>
      <c r="DT233" s="357"/>
      <c r="DU233" s="357"/>
      <c r="DV233" s="357"/>
      <c r="DW233" s="357"/>
      <c r="EG233" s="3" t="s">
        <v>637</v>
      </c>
      <c r="EK233" s="50">
        <f>EA241</f>
        <v>46.099804713468714</v>
      </c>
      <c r="EL233" s="48">
        <f>EL241</f>
        <v>4043367.3234254471</v>
      </c>
      <c r="FA233" s="3" t="s">
        <v>637</v>
      </c>
      <c r="FF233" s="50">
        <f>EV241</f>
        <v>13.829941414040613</v>
      </c>
      <c r="FG233" s="48">
        <f>FG241</f>
        <v>1213010.1970276341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702</v>
      </c>
      <c r="BT234" s="1" t="s">
        <v>85</v>
      </c>
      <c r="BU234" s="1" t="s">
        <v>629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4026178.1360752485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630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702</v>
      </c>
      <c r="DI235" s="1" t="s">
        <v>85</v>
      </c>
      <c r="DJ235" s="1" t="s">
        <v>629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702</v>
      </c>
      <c r="ED235" s="1" t="s">
        <v>85</v>
      </c>
      <c r="EE235" s="1" t="s">
        <v>629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702</v>
      </c>
      <c r="EY235" s="1" t="s">
        <v>85</v>
      </c>
      <c r="EZ235" s="1" t="s">
        <v>629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30.954464502133519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529</v>
      </c>
      <c r="CM236" s="1" t="s">
        <v>530</v>
      </c>
      <c r="CN236" s="1" t="s">
        <v>702</v>
      </c>
      <c r="CO236" s="1" t="s">
        <v>85</v>
      </c>
      <c r="CP236" s="1" t="s">
        <v>629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64" t="s">
        <v>635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365" t="s">
        <v>637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702</v>
      </c>
      <c r="N238" s="1" t="s">
        <v>85</v>
      </c>
      <c r="O238" s="1" t="s">
        <v>629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606</v>
      </c>
      <c r="DC238" s="136">
        <f>DQ233/(CW234+DD229)</f>
        <v>0.9960578434433518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606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630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395</v>
      </c>
      <c r="DC239" s="137">
        <f>DQ238/(CW234+DD229)</f>
        <v>0.18236833377116268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65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630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555</v>
      </c>
      <c r="EV242" s="1" t="s">
        <v>89</v>
      </c>
      <c r="EW242" s="1"/>
      <c r="EX242" s="3" t="s">
        <v>91</v>
      </c>
      <c r="EY242" s="3" t="s">
        <v>87</v>
      </c>
      <c r="EZ242" s="1" t="s">
        <v>630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555</v>
      </c>
      <c r="EO243" s="4"/>
      <c r="EP243" s="1" t="s">
        <v>557</v>
      </c>
      <c r="EQ243" s="1" t="s">
        <v>557</v>
      </c>
      <c r="ER243" s="1" t="s">
        <v>557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630</v>
      </c>
      <c r="CQ244" s="4"/>
      <c r="CR244" s="4"/>
      <c r="CV244" s="3" t="s">
        <v>96</v>
      </c>
      <c r="CW244" s="1" t="s">
        <v>93</v>
      </c>
      <c r="CY244" s="4"/>
      <c r="CZ244" s="1" t="s">
        <v>557</v>
      </c>
      <c r="DA244" s="1" t="s">
        <v>557</v>
      </c>
      <c r="DB244" s="1" t="s">
        <v>557</v>
      </c>
      <c r="EO244" s="4" t="s">
        <v>60</v>
      </c>
      <c r="EP244" s="3" t="s">
        <v>556</v>
      </c>
      <c r="EQ244" s="3" t="s">
        <v>556</v>
      </c>
      <c r="ER244" s="3" t="s">
        <v>556</v>
      </c>
    </row>
    <row r="245" spans="9:163" x14ac:dyDescent="0.2">
      <c r="BO245" s="4"/>
      <c r="CY245" s="4" t="s">
        <v>60</v>
      </c>
      <c r="CZ245" s="3" t="s">
        <v>556</v>
      </c>
      <c r="DA245" s="3" t="s">
        <v>556</v>
      </c>
      <c r="DB245" s="3" t="s">
        <v>556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534</v>
      </c>
      <c r="BR246" s="1" t="s">
        <v>529</v>
      </c>
      <c r="BS246" s="1" t="s">
        <v>702</v>
      </c>
      <c r="BT246" s="1" t="s">
        <v>85</v>
      </c>
      <c r="BU246" s="1" t="s">
        <v>629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533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479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630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702</v>
      </c>
      <c r="CO253" s="1" t="s">
        <v>85</v>
      </c>
      <c r="CP253" s="1" t="s">
        <v>629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630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702</v>
      </c>
      <c r="CO269" s="1" t="s">
        <v>85</v>
      </c>
      <c r="CP269" s="1" t="s">
        <v>629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672</v>
      </c>
      <c r="CK271" s="17" t="s">
        <v>645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3"/>
      <c r="CK272" s="3" t="s">
        <v>646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3"/>
      <c r="CK273" s="3" t="s">
        <v>647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3"/>
      <c r="CK274" s="3" t="s">
        <v>656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3"/>
      <c r="CK275" s="3" t="s">
        <v>663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3"/>
      <c r="CK276" s="3" t="s">
        <v>665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3"/>
      <c r="CK277" s="4" t="s">
        <v>666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630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topLeftCell="A7" zoomScale="111" workbookViewId="0">
      <selection activeCell="I42" sqref="I42"/>
    </sheetView>
  </sheetViews>
  <sheetFormatPr baseColWidth="10" defaultRowHeight="15" x14ac:dyDescent="0.2"/>
  <cols>
    <col min="9" max="9" width="12.1640625" customWidth="1"/>
  </cols>
  <sheetData>
    <row r="3" spans="2:22" ht="18" x14ac:dyDescent="0.25">
      <c r="B3" s="4"/>
      <c r="C3" s="1" t="s">
        <v>529</v>
      </c>
      <c r="D3" s="1" t="s">
        <v>530</v>
      </c>
      <c r="E3" s="1" t="s">
        <v>702</v>
      </c>
      <c r="F3" s="1" t="s">
        <v>85</v>
      </c>
      <c r="G3" s="1" t="s">
        <v>629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531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381" t="s">
        <v>426</v>
      </c>
      <c r="S4" s="381"/>
      <c r="T4" s="381"/>
      <c r="U4" s="381"/>
      <c r="V4" s="381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1"/>
      <c r="S5" s="381"/>
      <c r="T5" s="381"/>
      <c r="U5" s="381"/>
      <c r="V5" s="381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630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482" t="s">
        <v>704</v>
      </c>
      <c r="D16" s="482" t="s">
        <v>705</v>
      </c>
      <c r="E16" s="483" t="s">
        <v>706</v>
      </c>
      <c r="F16" s="1" t="s">
        <v>707</v>
      </c>
    </row>
    <row r="17" spans="2:9" ht="17" x14ac:dyDescent="0.2">
      <c r="B17" s="3"/>
      <c r="C17" s="482" t="s">
        <v>58</v>
      </c>
      <c r="D17" s="482" t="s">
        <v>58</v>
      </c>
      <c r="E17" s="483" t="s">
        <v>63</v>
      </c>
      <c r="F17" s="482" t="s">
        <v>58</v>
      </c>
    </row>
    <row r="18" spans="2:9" ht="18" x14ac:dyDescent="0.25">
      <c r="B18" s="27" t="s">
        <v>324</v>
      </c>
      <c r="C18" s="17">
        <f>cp_CaCO3*(T8-Constants!O5)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327</v>
      </c>
      <c r="C19" s="483">
        <f>cp_MgCO3*(T8-T_0)</f>
        <v>5.6218751205847006</v>
      </c>
      <c r="D19" s="483">
        <f>cp_MgCO3*LN(T8/T_0)</f>
        <v>8.8030170357416473E-3</v>
      </c>
      <c r="E19" s="483">
        <f>T_0</f>
        <v>298</v>
      </c>
      <c r="F19" s="3">
        <f>C19- D19*E19</f>
        <v>2.9985760439336899</v>
      </c>
    </row>
    <row r="20" spans="2:9" x14ac:dyDescent="0.2">
      <c r="B20" s="484"/>
      <c r="C20" s="484"/>
      <c r="D20" s="484"/>
      <c r="E20" s="484"/>
      <c r="F20" s="484"/>
      <c r="G20" s="484"/>
    </row>
    <row r="22" spans="2:9" ht="18" x14ac:dyDescent="0.25">
      <c r="C22" s="1" t="s">
        <v>6</v>
      </c>
    </row>
    <row r="23" spans="2:9" ht="18" x14ac:dyDescent="0.25">
      <c r="C23" s="2" t="s">
        <v>95</v>
      </c>
    </row>
    <row r="24" spans="2:9" ht="18" x14ac:dyDescent="0.25">
      <c r="B24" s="27" t="s">
        <v>324</v>
      </c>
      <c r="C24" s="27">
        <f>b_ch_CaCO3</f>
        <v>11.256799999999885</v>
      </c>
    </row>
    <row r="25" spans="2:9" ht="18" x14ac:dyDescent="0.25">
      <c r="B25" s="6" t="s">
        <v>327</v>
      </c>
      <c r="C25" s="6">
        <f>b_ch_MgCO3</f>
        <v>33.790400000000034</v>
      </c>
    </row>
    <row r="26" spans="2:9" x14ac:dyDescent="0.2">
      <c r="B26" s="484"/>
      <c r="C26" s="484"/>
    </row>
    <row r="28" spans="2:9" ht="18" x14ac:dyDescent="0.25">
      <c r="C28" s="1" t="s">
        <v>529</v>
      </c>
      <c r="D28" s="1" t="s">
        <v>530</v>
      </c>
      <c r="E28" s="1" t="s">
        <v>702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8" x14ac:dyDescent="0.25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6" x14ac:dyDescent="0.2">
      <c r="B32" s="48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 x14ac:dyDescent="0.25">
      <c r="C33" s="6" t="s">
        <v>321</v>
      </c>
      <c r="D33" s="6"/>
      <c r="E33" s="113" t="s">
        <v>328</v>
      </c>
      <c r="F33" s="113" t="s">
        <v>329</v>
      </c>
    </row>
    <row r="40" spans="2:9" ht="17" x14ac:dyDescent="0.25">
      <c r="B40" s="3"/>
      <c r="C40" s="3" t="s">
        <v>711</v>
      </c>
      <c r="D40" s="3" t="s">
        <v>713</v>
      </c>
      <c r="E40" s="3" t="s">
        <v>714</v>
      </c>
      <c r="F40" s="3" t="s">
        <v>717</v>
      </c>
      <c r="G40" s="3" t="s">
        <v>717</v>
      </c>
      <c r="H40" s="3" t="s">
        <v>716</v>
      </c>
      <c r="I40" s="3" t="s">
        <v>716</v>
      </c>
    </row>
    <row r="41" spans="2:9" ht="18" x14ac:dyDescent="0.25">
      <c r="B41" s="3"/>
      <c r="C41" s="3" t="s">
        <v>98</v>
      </c>
      <c r="D41" s="3" t="s">
        <v>719</v>
      </c>
      <c r="E41" s="3" t="s">
        <v>712</v>
      </c>
      <c r="F41" s="3" t="s">
        <v>715</v>
      </c>
      <c r="G41" s="3" t="s">
        <v>718</v>
      </c>
      <c r="H41" s="3" t="s">
        <v>342</v>
      </c>
      <c r="I41" s="481" t="s">
        <v>95</v>
      </c>
    </row>
    <row r="42" spans="2:9" ht="18" x14ac:dyDescent="0.25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 x14ac:dyDescent="0.25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 x14ac:dyDescent="0.2">
      <c r="B44" s="17"/>
      <c r="C44" s="17"/>
      <c r="D44" s="17"/>
      <c r="E44" s="17"/>
      <c r="F44" s="17"/>
      <c r="G44" s="17"/>
      <c r="H44" s="17"/>
      <c r="I44" s="17"/>
    </row>
    <row r="48" spans="2:9" ht="18" x14ac:dyDescent="0.25">
      <c r="C48" s="1" t="s">
        <v>7</v>
      </c>
      <c r="D48" s="1" t="s">
        <v>720</v>
      </c>
      <c r="E48" s="1" t="s">
        <v>721</v>
      </c>
      <c r="F48" s="1" t="s">
        <v>722</v>
      </c>
      <c r="G48" s="1" t="s">
        <v>723</v>
      </c>
      <c r="H48" s="1" t="s">
        <v>724</v>
      </c>
    </row>
    <row r="49" spans="2:8" ht="18" x14ac:dyDescent="0.25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 x14ac:dyDescent="0.25">
      <c r="B50" s="27" t="s">
        <v>324</v>
      </c>
      <c r="C50" s="27">
        <f>I5</f>
        <v>0.94119632891260407</v>
      </c>
      <c r="D50">
        <f>b_ph_CaCO3*C50</f>
        <v>33.418636498178707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43.924926786354781</v>
      </c>
    </row>
    <row r="51" spans="2:8" ht="18" x14ac:dyDescent="0.25">
      <c r="B51" s="6" t="s">
        <v>327</v>
      </c>
      <c r="C51" s="6">
        <f>I6</f>
        <v>5.880367108739603E-2</v>
      </c>
      <c r="D51">
        <f>b_ph_CaCO3*C51</f>
        <v>2.0879156117178441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3.6384923522072521</v>
      </c>
    </row>
    <row r="52" spans="2:8" ht="16" x14ac:dyDescent="0.2">
      <c r="B52" s="484"/>
      <c r="C52" s="27">
        <f>SUM(C50:C51)</f>
        <v>1</v>
      </c>
      <c r="D52" s="27">
        <f t="shared" ref="D52:F52" si="0">SUM(D50:D51)</f>
        <v>35.506552109896553</v>
      </c>
      <c r="E52" s="27">
        <f t="shared" si="0"/>
        <v>12.581858402814841</v>
      </c>
      <c r="F52" s="27">
        <f t="shared" si="0"/>
        <v>-0.55605911350848669</v>
      </c>
      <c r="G52" s="484">
        <f>G50+G51</f>
        <v>3.1067739359130622E-2</v>
      </c>
      <c r="H52" s="484">
        <f>H50+H51</f>
        <v>47.563419138562033</v>
      </c>
    </row>
    <row r="55" spans="2:8" ht="18" x14ac:dyDescent="0.25">
      <c r="C55" s="1" t="s">
        <v>726</v>
      </c>
      <c r="D55" s="1" t="s">
        <v>724</v>
      </c>
      <c r="E55" s="1" t="s">
        <v>725</v>
      </c>
    </row>
    <row r="56" spans="2:8" ht="18" x14ac:dyDescent="0.25">
      <c r="C56" s="2" t="s">
        <v>94</v>
      </c>
      <c r="D56" s="2" t="s">
        <v>94</v>
      </c>
      <c r="E56" s="3" t="s">
        <v>727</v>
      </c>
    </row>
    <row r="57" spans="2:8" x14ac:dyDescent="0.2">
      <c r="C57" s="3">
        <f>G52</f>
        <v>3.1067739359130622E-2</v>
      </c>
      <c r="D57" s="3">
        <f>H52</f>
        <v>47.563419138562033</v>
      </c>
      <c r="E57" s="95">
        <f>(C57/D57)*100</f>
        <v>6.531855766849709E-2</v>
      </c>
    </row>
    <row r="58" spans="2:8" x14ac:dyDescent="0.2">
      <c r="C58" s="484"/>
      <c r="D58" s="484"/>
      <c r="E58" s="48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542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542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543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542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545</v>
      </c>
      <c r="F23" s="3" t="s">
        <v>544</v>
      </c>
      <c r="G23" s="3" t="s">
        <v>609</v>
      </c>
    </row>
    <row r="24" spans="4:9" x14ac:dyDescent="0.2">
      <c r="E24" s="201" t="s">
        <v>542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abSelected="1" topLeftCell="BA80" zoomScale="125" zoomScaleNormal="20" workbookViewId="0">
      <selection activeCell="BN119" sqref="BN119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554</v>
      </c>
      <c r="AT1" s="256"/>
      <c r="AU1" s="204" t="s">
        <v>402</v>
      </c>
      <c r="AV1" s="204" t="s">
        <v>403</v>
      </c>
      <c r="AW1" s="204" t="s">
        <v>404</v>
      </c>
      <c r="AX1" s="204" t="s">
        <v>535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634</v>
      </c>
      <c r="BG1" s="204" t="s">
        <v>636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535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634</v>
      </c>
      <c r="CA1" s="204" t="s">
        <v>636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546</v>
      </c>
      <c r="C7" s="280">
        <v>1</v>
      </c>
      <c r="AM7" s="201"/>
      <c r="AT7" s="201" t="s">
        <v>546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546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547</v>
      </c>
      <c r="C8" s="280">
        <v>1</v>
      </c>
      <c r="AM8" s="201"/>
      <c r="AT8" s="201" t="s">
        <v>547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547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539</v>
      </c>
      <c r="C10" s="280">
        <v>1</v>
      </c>
      <c r="AM10" s="201"/>
      <c r="AT10" s="201" t="s">
        <v>539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539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536</v>
      </c>
      <c r="C23" s="280">
        <v>1</v>
      </c>
      <c r="AT23" s="203" t="s">
        <v>536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536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601</v>
      </c>
      <c r="C27" s="280">
        <v>1</v>
      </c>
      <c r="AT27" s="203" t="s">
        <v>601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601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 t="s">
        <v>672</v>
      </c>
      <c r="C29" s="280">
        <v>1</v>
      </c>
      <c r="AT29" s="249" t="s">
        <v>672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672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635</v>
      </c>
      <c r="C32" s="280">
        <v>1</v>
      </c>
      <c r="AT32" s="203" t="s">
        <v>635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635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 t="s">
        <v>637</v>
      </c>
      <c r="C33" s="280">
        <v>1</v>
      </c>
      <c r="AT33" s="203" t="s">
        <v>637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637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537</v>
      </c>
      <c r="C37" s="280">
        <v>1</v>
      </c>
      <c r="AT37" s="203" t="s">
        <v>537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537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553</v>
      </c>
      <c r="AT38" s="203"/>
      <c r="AU38" s="405" t="s">
        <v>550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551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535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634</v>
      </c>
      <c r="BG41" s="204" t="s">
        <v>636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546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547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539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536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601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672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635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637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537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552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535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634</v>
      </c>
      <c r="BG86" s="204" t="s">
        <v>636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546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546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547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547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539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539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536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536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601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601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672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672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635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635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637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637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537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537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546</v>
      </c>
      <c r="L126" s="204" t="s">
        <v>547</v>
      </c>
      <c r="M126" s="204" t="s">
        <v>491</v>
      </c>
      <c r="N126" s="204" t="s">
        <v>539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536</v>
      </c>
      <c r="AB126" s="207" t="s">
        <v>505</v>
      </c>
      <c r="AC126" s="207" t="s">
        <v>507</v>
      </c>
      <c r="AD126" s="207" t="s">
        <v>506</v>
      </c>
      <c r="AE126" s="207" t="s">
        <v>601</v>
      </c>
      <c r="AF126" s="229" t="s">
        <v>502</v>
      </c>
      <c r="AG126" s="229" t="s">
        <v>672</v>
      </c>
      <c r="AH126" s="207" t="s">
        <v>501</v>
      </c>
      <c r="AI126" s="204" t="s">
        <v>503</v>
      </c>
      <c r="AJ126" s="207" t="s">
        <v>635</v>
      </c>
      <c r="AK126" s="207" t="s">
        <v>637</v>
      </c>
      <c r="AL126" s="207" t="s">
        <v>525</v>
      </c>
      <c r="AM126" s="207" t="s">
        <v>526</v>
      </c>
      <c r="AN126" s="207" t="s">
        <v>527</v>
      </c>
      <c r="AO126" s="207" t="s">
        <v>537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535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634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636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546</v>
      </c>
      <c r="L155" s="204" t="s">
        <v>547</v>
      </c>
      <c r="M155" s="204" t="s">
        <v>491</v>
      </c>
      <c r="N155" s="204" t="s">
        <v>539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536</v>
      </c>
      <c r="AB155" s="207" t="s">
        <v>505</v>
      </c>
      <c r="AC155" s="207" t="s">
        <v>507</v>
      </c>
      <c r="AD155" s="207" t="s">
        <v>506</v>
      </c>
      <c r="AE155" s="207" t="s">
        <v>601</v>
      </c>
      <c r="AF155" s="229" t="s">
        <v>502</v>
      </c>
      <c r="AG155" s="229" t="s">
        <v>672</v>
      </c>
      <c r="AH155" s="207" t="s">
        <v>501</v>
      </c>
      <c r="AI155" s="204" t="s">
        <v>503</v>
      </c>
      <c r="AJ155" s="207" t="s">
        <v>635</v>
      </c>
      <c r="AK155" s="207" t="s">
        <v>637</v>
      </c>
      <c r="AL155" s="207" t="s">
        <v>525</v>
      </c>
      <c r="AM155" s="207" t="s">
        <v>526</v>
      </c>
      <c r="AN155" s="207" t="s">
        <v>527</v>
      </c>
      <c r="AO155" s="207" t="s">
        <v>537</v>
      </c>
      <c r="AP155" s="207"/>
      <c r="AQ155" s="207"/>
    </row>
    <row r="156" spans="5:43" x14ac:dyDescent="0.2">
      <c r="E156" s="201" t="s">
        <v>409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541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546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547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539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8855804.320336977</v>
      </c>
      <c r="I187" s="169" t="s">
        <v>450</v>
      </c>
      <c r="J187" s="248">
        <f t="shared" si="55"/>
        <v>8855804.320336977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536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601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672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635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637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537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607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403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404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535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425</v>
      </c>
      <c r="F223" s="248">
        <v>25331.72997230629</v>
      </c>
      <c r="G223" s="169" t="s">
        <v>455</v>
      </c>
      <c r="H223" s="248">
        <f t="shared" si="59"/>
        <v>25297.051877142174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421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634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636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414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636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636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672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672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637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637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553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636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546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547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672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635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637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537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636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546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546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547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539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536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601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672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672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635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637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637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537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546</v>
      </c>
      <c r="J123" s="204" t="s">
        <v>547</v>
      </c>
      <c r="K123" s="204" t="s">
        <v>539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536</v>
      </c>
      <c r="Y123" s="207" t="s">
        <v>505</v>
      </c>
      <c r="Z123" s="207" t="s">
        <v>507</v>
      </c>
      <c r="AA123" s="207" t="s">
        <v>506</v>
      </c>
      <c r="AB123" s="207" t="s">
        <v>601</v>
      </c>
      <c r="AC123" s="229" t="s">
        <v>502</v>
      </c>
      <c r="AD123" s="229" t="s">
        <v>672</v>
      </c>
      <c r="AE123" s="207" t="s">
        <v>501</v>
      </c>
      <c r="AF123" s="204" t="s">
        <v>503</v>
      </c>
      <c r="AG123" s="207" t="s">
        <v>635</v>
      </c>
      <c r="AH123" s="207" t="s">
        <v>637</v>
      </c>
      <c r="AI123" s="207" t="s">
        <v>525</v>
      </c>
      <c r="AJ123" s="207" t="s">
        <v>526</v>
      </c>
      <c r="AK123" s="207" t="s">
        <v>527</v>
      </c>
      <c r="AL123" s="207" t="s">
        <v>537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634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636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546</v>
      </c>
      <c r="J152" s="204" t="s">
        <v>547</v>
      </c>
      <c r="K152" s="204" t="s">
        <v>539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536</v>
      </c>
      <c r="Y152" s="207" t="s">
        <v>505</v>
      </c>
      <c r="Z152" s="207" t="s">
        <v>507</v>
      </c>
      <c r="AA152" s="207" t="s">
        <v>506</v>
      </c>
      <c r="AB152" s="207" t="s">
        <v>601</v>
      </c>
      <c r="AC152" s="229" t="s">
        <v>502</v>
      </c>
      <c r="AD152" s="229" t="s">
        <v>672</v>
      </c>
      <c r="AE152" s="207" t="s">
        <v>501</v>
      </c>
      <c r="AF152" s="204" t="s">
        <v>503</v>
      </c>
      <c r="AG152" s="207" t="s">
        <v>635</v>
      </c>
      <c r="AH152" s="207" t="s">
        <v>637</v>
      </c>
      <c r="AI152" s="207" t="s">
        <v>525</v>
      </c>
      <c r="AJ152" s="207" t="s">
        <v>526</v>
      </c>
      <c r="AK152" s="207" t="s">
        <v>527</v>
      </c>
      <c r="AL152" s="207" t="s">
        <v>537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539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536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601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672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635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637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537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535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634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636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687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634</v>
      </c>
      <c r="BD1" s="204" t="s">
        <v>636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634</v>
      </c>
      <c r="BX1" s="204" t="s">
        <v>636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672</v>
      </c>
      <c r="C29" s="280">
        <v>1</v>
      </c>
      <c r="AQ29" s="249" t="s">
        <v>672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672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635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637</v>
      </c>
      <c r="C33" s="280">
        <v>1</v>
      </c>
      <c r="AQ33" s="203" t="s">
        <v>637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637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537</v>
      </c>
      <c r="C37" s="280">
        <v>1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553</v>
      </c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636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546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547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672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635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637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537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636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546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546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547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539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536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601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672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672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635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637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637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537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546</v>
      </c>
      <c r="I122" s="204" t="s">
        <v>547</v>
      </c>
      <c r="J122" s="204" t="s">
        <v>491</v>
      </c>
      <c r="K122" s="204" t="s">
        <v>539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536</v>
      </c>
      <c r="Y122" s="207" t="s">
        <v>505</v>
      </c>
      <c r="Z122" s="207" t="s">
        <v>507</v>
      </c>
      <c r="AA122" s="207" t="s">
        <v>506</v>
      </c>
      <c r="AB122" s="207" t="s">
        <v>601</v>
      </c>
      <c r="AC122" s="229" t="s">
        <v>502</v>
      </c>
      <c r="AD122" s="229" t="s">
        <v>672</v>
      </c>
      <c r="AE122" s="207" t="s">
        <v>501</v>
      </c>
      <c r="AF122" s="204" t="s">
        <v>503</v>
      </c>
      <c r="AG122" s="207" t="s">
        <v>635</v>
      </c>
      <c r="AH122" s="207" t="s">
        <v>637</v>
      </c>
      <c r="AI122" s="207" t="s">
        <v>525</v>
      </c>
      <c r="AJ122" s="207" t="s">
        <v>526</v>
      </c>
      <c r="AK122" s="207" t="s">
        <v>527</v>
      </c>
      <c r="AL122" s="207" t="s">
        <v>537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535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636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80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546</v>
      </c>
      <c r="I151" s="204" t="s">
        <v>547</v>
      </c>
      <c r="J151" s="204" t="s">
        <v>491</v>
      </c>
      <c r="K151" s="204" t="s">
        <v>539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536</v>
      </c>
      <c r="Y151" s="207" t="s">
        <v>505</v>
      </c>
      <c r="Z151" s="207" t="s">
        <v>507</v>
      </c>
      <c r="AA151" s="207" t="s">
        <v>506</v>
      </c>
      <c r="AB151" s="207" t="s">
        <v>601</v>
      </c>
      <c r="AC151" s="229" t="s">
        <v>502</v>
      </c>
      <c r="AD151" s="229" t="s">
        <v>672</v>
      </c>
      <c r="AE151" s="207" t="s">
        <v>501</v>
      </c>
      <c r="AF151" s="204" t="s">
        <v>503</v>
      </c>
      <c r="AG151" s="207" t="s">
        <v>635</v>
      </c>
      <c r="AH151" s="207" t="s">
        <v>637</v>
      </c>
      <c r="AI151" s="207" t="s">
        <v>525</v>
      </c>
      <c r="AJ151" s="207" t="s">
        <v>526</v>
      </c>
      <c r="AK151" s="207" t="s">
        <v>527</v>
      </c>
      <c r="AL151" s="207" t="s">
        <v>537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632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638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638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539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536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601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672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635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637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638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537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535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634</v>
      </c>
      <c r="C224" s="301">
        <f>Ore_to_PI!DB229</f>
        <v>33191.859393697465</v>
      </c>
    </row>
    <row r="225" spans="2:11" x14ac:dyDescent="0.2">
      <c r="B225" s="201" t="s">
        <v>636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546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547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536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601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672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672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635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637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637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537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546</v>
      </c>
      <c r="L56" s="204" t="s">
        <v>547</v>
      </c>
      <c r="M56" s="204" t="s">
        <v>491</v>
      </c>
      <c r="N56" s="204" t="s">
        <v>539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536</v>
      </c>
      <c r="AB56" s="207" t="s">
        <v>505</v>
      </c>
      <c r="AC56" s="207" t="s">
        <v>507</v>
      </c>
      <c r="AD56" s="207" t="s">
        <v>506</v>
      </c>
      <c r="AE56" s="207" t="s">
        <v>601</v>
      </c>
      <c r="AF56" s="229" t="s">
        <v>502</v>
      </c>
      <c r="AG56" s="229" t="s">
        <v>672</v>
      </c>
      <c r="AH56" s="207" t="s">
        <v>501</v>
      </c>
      <c r="AI56" s="470" t="s">
        <v>503</v>
      </c>
      <c r="AJ56" s="207" t="s">
        <v>635</v>
      </c>
      <c r="AK56" s="207" t="s">
        <v>637</v>
      </c>
      <c r="AL56" s="207" t="s">
        <v>525</v>
      </c>
      <c r="AM56" s="207" t="s">
        <v>526</v>
      </c>
      <c r="AN56" s="207" t="s">
        <v>527</v>
      </c>
      <c r="AO56" s="207" t="s">
        <v>537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535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634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636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546</v>
      </c>
      <c r="L83" s="470" t="s">
        <v>547</v>
      </c>
      <c r="M83" s="470" t="s">
        <v>491</v>
      </c>
      <c r="N83" s="470" t="s">
        <v>539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536</v>
      </c>
      <c r="AB83" s="207" t="s">
        <v>505</v>
      </c>
      <c r="AC83" s="207" t="s">
        <v>507</v>
      </c>
      <c r="AD83" s="207" t="s">
        <v>506</v>
      </c>
      <c r="AE83" s="207" t="s">
        <v>601</v>
      </c>
      <c r="AF83" s="229" t="s">
        <v>502</v>
      </c>
      <c r="AG83" s="229" t="s">
        <v>672</v>
      </c>
      <c r="AH83" s="207" t="s">
        <v>501</v>
      </c>
      <c r="AI83" s="470" t="s">
        <v>503</v>
      </c>
      <c r="AJ83" s="207" t="s">
        <v>635</v>
      </c>
      <c r="AK83" s="207" t="s">
        <v>637</v>
      </c>
      <c r="AL83" s="207" t="s">
        <v>525</v>
      </c>
      <c r="AM83" s="207" t="s">
        <v>526</v>
      </c>
      <c r="AN83" s="207" t="s">
        <v>527</v>
      </c>
      <c r="AO83" s="207" t="s">
        <v>537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549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538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535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634</v>
      </c>
      <c r="BF17" s="204" t="s">
        <v>636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546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547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536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601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672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672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635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637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637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537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546</v>
      </c>
      <c r="L57" s="204" t="s">
        <v>547</v>
      </c>
      <c r="M57" s="204" t="s">
        <v>491</v>
      </c>
      <c r="N57" s="204" t="s">
        <v>539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536</v>
      </c>
      <c r="AB57" s="207" t="s">
        <v>505</v>
      </c>
      <c r="AC57" s="207" t="s">
        <v>507</v>
      </c>
      <c r="AD57" s="207" t="s">
        <v>506</v>
      </c>
      <c r="AE57" s="207" t="s">
        <v>601</v>
      </c>
      <c r="AF57" s="229" t="s">
        <v>502</v>
      </c>
      <c r="AG57" s="229" t="s">
        <v>672</v>
      </c>
      <c r="AH57" s="207" t="s">
        <v>501</v>
      </c>
      <c r="AI57" s="470" t="s">
        <v>503</v>
      </c>
      <c r="AJ57" s="207" t="s">
        <v>635</v>
      </c>
      <c r="AK57" s="207" t="s">
        <v>637</v>
      </c>
      <c r="AL57" s="207" t="s">
        <v>525</v>
      </c>
      <c r="AM57" s="207" t="s">
        <v>526</v>
      </c>
      <c r="AN57" s="207" t="s">
        <v>527</v>
      </c>
      <c r="AO57" s="207" t="s">
        <v>537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535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634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636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546</v>
      </c>
      <c r="L84" s="470" t="s">
        <v>547</v>
      </c>
      <c r="M84" s="470" t="s">
        <v>491</v>
      </c>
      <c r="N84" s="470" t="s">
        <v>539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536</v>
      </c>
      <c r="AB84" s="207" t="s">
        <v>505</v>
      </c>
      <c r="AC84" s="207" t="s">
        <v>507</v>
      </c>
      <c r="AD84" s="207" t="s">
        <v>506</v>
      </c>
      <c r="AE84" s="207" t="s">
        <v>601</v>
      </c>
      <c r="AF84" s="229" t="s">
        <v>502</v>
      </c>
      <c r="AG84" s="229" t="s">
        <v>672</v>
      </c>
      <c r="AH84" s="207" t="s">
        <v>501</v>
      </c>
      <c r="AI84" s="470" t="s">
        <v>503</v>
      </c>
      <c r="AJ84" s="207" t="s">
        <v>635</v>
      </c>
      <c r="AK84" s="207" t="s">
        <v>637</v>
      </c>
      <c r="AL84" s="207" t="s">
        <v>525</v>
      </c>
      <c r="AM84" s="207" t="s">
        <v>526</v>
      </c>
      <c r="AN84" s="207" t="s">
        <v>527</v>
      </c>
      <c r="AO84" s="207" t="s">
        <v>537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548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538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632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539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536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601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672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635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637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537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699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535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634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636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700</v>
      </c>
      <c r="G160" s="302"/>
      <c r="H160" s="302" t="s">
        <v>265</v>
      </c>
      <c r="I160" s="302"/>
      <c r="J160" s="466" t="s">
        <v>442</v>
      </c>
      <c r="K160" s="132"/>
      <c r="L160" s="302" t="s">
        <v>701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606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9"/>
      <c r="C33" s="146" t="s">
        <v>395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605</v>
      </c>
    </row>
    <row r="38" spans="2:5" ht="18" x14ac:dyDescent="0.25">
      <c r="B38" s="294" t="s">
        <v>604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12" zoomScale="108" workbookViewId="0">
      <selection activeCell="E51" sqref="E5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708</v>
      </c>
      <c r="D50" s="201" t="s">
        <v>709</v>
      </c>
      <c r="E50" s="201" t="s">
        <v>710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 x14ac:dyDescent="0.2">
      <c r="B54" s="201" t="s">
        <v>535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 x14ac:dyDescent="0.2">
      <c r="B57" s="201" t="s">
        <v>428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 x14ac:dyDescent="0.2">
      <c r="B60" s="201" t="s">
        <v>426</v>
      </c>
      <c r="C60" s="3" t="s">
        <v>378</v>
      </c>
      <c r="D60" s="3">
        <f>Rational_Kiln</f>
        <v>0.17027276068302746</v>
      </c>
      <c r="E60" s="3">
        <f>Resource_Kiln</f>
        <v>0.1222893219234706</v>
      </c>
    </row>
    <row r="61" spans="2:5" x14ac:dyDescent="0.2">
      <c r="B61" s="201" t="s">
        <v>421</v>
      </c>
      <c r="C61" s="3" t="s">
        <v>378</v>
      </c>
      <c r="D61" s="3">
        <f>Rational_Cokeoven</f>
        <v>0.60155306227269634</v>
      </c>
      <c r="E61" s="3">
        <f>Resource_Cokeoven</f>
        <v>0.32940597812032246</v>
      </c>
    </row>
    <row r="62" spans="2:5" x14ac:dyDescent="0.2">
      <c r="B62" s="201" t="s">
        <v>634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 x14ac:dyDescent="0.2">
      <c r="B63" s="201" t="s">
        <v>636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0.99174963463121601</v>
      </c>
      <c r="E64" s="3">
        <f>Resource_Mixer</f>
        <v>1.0976920273227081E-2</v>
      </c>
    </row>
    <row r="65" spans="2:5" x14ac:dyDescent="0.2">
      <c r="B65" s="201" t="s">
        <v>414</v>
      </c>
      <c r="C65" s="3" t="s">
        <v>378</v>
      </c>
      <c r="D65" s="3">
        <f>Rational_BF</f>
        <v>0.37943022424115741</v>
      </c>
      <c r="E65" s="3">
        <f>Resource_BF</f>
        <v>0.34074255379728524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394</vt:i4>
      </vt:variant>
    </vt:vector>
  </HeadingPairs>
  <TitlesOfParts>
    <vt:vector size="410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b_c_CaCO3</vt:lpstr>
      <vt:lpstr>b_c_MgCO3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b_ph_CaCO3</vt:lpstr>
      <vt:lpstr>b_ph_MgCO3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2025-07-25T20:20:10Z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