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AEAD52CC-67DB-429D-8711-FF2C3F0A8038}" xr6:coauthVersionLast="47" xr6:coauthVersionMax="47" xr10:uidLastSave="{00000000-0000-0000-0000-000000000000}"/>
  <bookViews>
    <workbookView xWindow="-108" yWindow="-108" windowWidth="23256" windowHeight="13176" firstSheet="6" activeTab="6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Appx_exergy_account" sheetId="25" r:id="rId5"/>
    <sheet name="Energy X" sheetId="17" r:id="rId6"/>
    <sheet name="MCC_B_RUVY_matrices_mat_level" sheetId="20" r:id="rId7"/>
    <sheet name="MCC_M_RUVY_matrices_mat_level" sheetId="15" r:id="rId8"/>
    <sheet name="MCC_h_RUVY_matrices_mat_level" sheetId="22" r:id="rId9"/>
    <sheet name="MCC_MW_RUVY_matrices_mat_level" sheetId="23" r:id="rId10"/>
    <sheet name="MCC_hM_RUVY_matrices_mat_level " sheetId="24" r:id="rId11"/>
    <sheet name="Energy RUVY matrices" sheetId="18" r:id="rId12"/>
    <sheet name="Efficiencies" sheetId="12" r:id="rId13"/>
    <sheet name="Waste" sheetId="13" r:id="rId14"/>
    <sheet name="Methane Combustion - EES" sheetId="8" r:id="rId15"/>
    <sheet name="Tables for Paper" sheetId="14" r:id="rId16"/>
  </sheets>
  <definedNames>
    <definedName name="Air_to_Kiln">Constants!$AF$4</definedName>
    <definedName name="Ash_in_coal">Calculators!#REF!</definedName>
    <definedName name="b_c_CaCO3">Appx_exergy_account!$I$30</definedName>
    <definedName name="b_c_MgCO3">Appx_exergy_account!$I$31</definedName>
    <definedName name="b_CaCO3">Appx_exergy_account!$H$50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Constants!$K$6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Constants!$K$8</definedName>
    <definedName name="b_ch_H2O">Constants!$E$20</definedName>
    <definedName name="b_ch_H2S">Constants!$E$33</definedName>
    <definedName name="b_ch_K2O">Constants!$E$27</definedName>
    <definedName name="b_ch_Mg">Constants!$K$14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com_CaCO3">Appx_exergy_account!$I$42</definedName>
    <definedName name="b_com_MgCO3">Appx_exergy_account!$I$43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Appx_exergy_account!$H$51</definedName>
    <definedName name="b_ph_CaCO3">Appx_exergy_account!$F$18</definedName>
    <definedName name="b_ph_MgCO3">Appx_exergy_account!$F$19</definedName>
    <definedName name="b_tot_limestone">Appx_exergy_account!$H$52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Constants!$X$4</definedName>
    <definedName name="C_for_BF">Calculators!$L$23</definedName>
    <definedName name="cal_to_kJ">Constants!$X$6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Appx_exergy_account!$E$42</definedName>
    <definedName name="cp_CaCO3">Constants!$H$6</definedName>
    <definedName name="cp_MgCO3">Constants!$H$29</definedName>
    <definedName name="deltaG_CaCO3">Constants!$C$6</definedName>
    <definedName name="deltaG_MgCO3">Constants!$C$29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Appx_exergy_account!$D$42</definedName>
    <definedName name="dM_MgCO3">Appx_exergy_account!$D$43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Appx_exergy_account!$C$42</definedName>
    <definedName name="h_0_CO2">Constants!$U$5</definedName>
    <definedName name="h_0_H2O">Constants!$U$6</definedName>
    <definedName name="h_0_N2">Constants!$U$7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Constants!$W$15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Constants!$S$5</definedName>
    <definedName name="h_T_H2O">Constants!$S$6</definedName>
    <definedName name="h_T_N2">Constants!$S$7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Constants!$Y$4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Constants!$AI$3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Constants!$R$19</definedName>
    <definedName name="NCV_dry_anthrocite">Constants!$S$15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Constants!$R$15</definedName>
    <definedName name="phi_constant_dry_anthracite_d">Constants!$X$15</definedName>
    <definedName name="phi_dry_constant_a_">Constants!$T$15</definedName>
    <definedName name="phi_dry_constant_b">Constants!$U$15</definedName>
    <definedName name="phi_dry_constant_c">Constants!$V$15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Constants!$P$5</definedName>
    <definedName name="s_0_CO2">Constants!$V$5</definedName>
    <definedName name="s_0_H2O">Constants!$V$6</definedName>
    <definedName name="s_0_N2">Constants!$V$7</definedName>
    <definedName name="s_CO2">Constants!$T$5</definedName>
    <definedName name="s_H2O">Constants!$T$6</definedName>
    <definedName name="s_N2">Constants!$T$7</definedName>
    <definedName name="S_units__MCC_B_RUVY_matrices_mat_level">MCC_B_RUVY_matrices_mat_level!$B$1:$C$37</definedName>
    <definedName name="S_units_M" localSheetId="8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Constants!$O$5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" i="25" l="1"/>
  <c r="D50" i="25"/>
  <c r="F18" i="25"/>
  <c r="H29" i="3"/>
  <c r="H6" i="3"/>
  <c r="E52" i="25"/>
  <c r="F52" i="25"/>
  <c r="C57" i="25"/>
  <c r="G52" i="25"/>
  <c r="G51" i="25"/>
  <c r="G50" i="25"/>
  <c r="F51" i="25"/>
  <c r="F50" i="25"/>
  <c r="E51" i="25"/>
  <c r="E50" i="25"/>
  <c r="C51" i="25"/>
  <c r="C50" i="25"/>
  <c r="C52" i="25"/>
  <c r="I43" i="25"/>
  <c r="H43" i="25"/>
  <c r="I42" i="25"/>
  <c r="D42" i="25"/>
  <c r="H42" i="25"/>
  <c r="G42" i="25"/>
  <c r="G31" i="25"/>
  <c r="H31" i="25" s="1"/>
  <c r="I31" i="25" s="1"/>
  <c r="G30" i="25"/>
  <c r="G32" i="25" s="1"/>
  <c r="D32" i="25"/>
  <c r="E31" i="25"/>
  <c r="E30" i="25"/>
  <c r="E32" i="25" s="1"/>
  <c r="C30" i="25"/>
  <c r="C31" i="25" s="1"/>
  <c r="F31" i="25" s="1"/>
  <c r="C6" i="25"/>
  <c r="C25" i="25"/>
  <c r="C24" i="25"/>
  <c r="E19" i="25"/>
  <c r="D18" i="25"/>
  <c r="D19" i="25"/>
  <c r="E18" i="25"/>
  <c r="C19" i="25"/>
  <c r="F19" i="25" s="1"/>
  <c r="H51" i="25" s="1"/>
  <c r="C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D52" i="25" l="1"/>
  <c r="H50" i="25"/>
  <c r="H52" i="25" s="1"/>
  <c r="D57" i="25" s="1"/>
  <c r="E57" i="25" s="1"/>
  <c r="H30" i="25"/>
  <c r="I30" i="25" s="1"/>
  <c r="F30" i="25"/>
  <c r="F32" i="25" s="1"/>
  <c r="C32" i="25"/>
  <c r="BP35" i="24"/>
  <c r="BP48" i="24"/>
  <c r="E50" i="3" l="1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9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9" i="3"/>
  <c r="H6" i="25" s="1"/>
  <c r="F117" i="11" l="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X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D29" i="3"/>
  <c r="D28" i="3"/>
  <c r="BR61" i="9" s="1"/>
  <c r="D27" i="3"/>
  <c r="D26" i="3"/>
  <c r="AG214" i="9" s="1"/>
  <c r="D25" i="3"/>
  <c r="AG213" i="9" s="1"/>
  <c r="D24" i="3"/>
  <c r="D23" i="3"/>
  <c r="G23" i="3" s="1"/>
  <c r="D22" i="3"/>
  <c r="D20" i="3"/>
  <c r="D19" i="3"/>
  <c r="D14" i="3"/>
  <c r="AG216" i="9" s="1"/>
  <c r="D13" i="3"/>
  <c r="G13" i="3" s="1"/>
  <c r="D11" i="3"/>
  <c r="D7" i="3"/>
  <c r="D5" i="3"/>
  <c r="D10" i="3"/>
  <c r="AG215" i="9" s="1"/>
  <c r="D17" i="3"/>
  <c r="AG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7" i="3"/>
  <c r="C28" i="3"/>
  <c r="E28" i="3" s="1"/>
  <c r="P50" i="9" s="1"/>
  <c r="E26" i="3"/>
  <c r="AJ214" i="9" s="1"/>
  <c r="E25" i="3"/>
  <c r="E24" i="3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CD43" i="8"/>
  <c r="CD42" i="8"/>
  <c r="CC43" i="8"/>
  <c r="CC42" i="8"/>
  <c r="CF43" i="8"/>
  <c r="CE43" i="8"/>
  <c r="CF42" i="8"/>
  <c r="CE42" i="8"/>
  <c r="M130" i="9" l="1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AG218" i="9"/>
  <c r="E89" i="11"/>
  <c r="D50" i="3"/>
  <c r="G50" i="3" s="1"/>
  <c r="CN278" i="9"/>
  <c r="D42" i="3"/>
  <c r="E190" i="11"/>
  <c r="D48" i="3"/>
  <c r="D46" i="3"/>
  <c r="D45" i="3"/>
  <c r="D47" i="3"/>
  <c r="D43" i="3"/>
  <c r="D44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I3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CN273" i="9" l="1"/>
  <c r="D109" i="11"/>
  <c r="G44" i="3"/>
  <c r="CN272" i="9"/>
  <c r="G43" i="3"/>
  <c r="D108" i="11"/>
  <c r="CN276" i="9"/>
  <c r="D112" i="11"/>
  <c r="G47" i="3"/>
  <c r="CN274" i="9"/>
  <c r="D110" i="11"/>
  <c r="G45" i="3"/>
  <c r="G46" i="3"/>
  <c r="CN275" i="9"/>
  <c r="D111" i="11"/>
  <c r="CN277" i="9"/>
  <c r="G48" i="3"/>
  <c r="D113" i="11"/>
  <c r="CQ277" i="9"/>
  <c r="E195" i="11"/>
  <c r="CN271" i="9"/>
  <c r="D107" i="11"/>
  <c r="G42" i="3"/>
  <c r="E7" i="25"/>
  <c r="BM118" i="22"/>
  <c r="AL137" i="22"/>
  <c r="G16" i="3"/>
  <c r="AB77" i="11"/>
  <c r="CN240" i="9"/>
  <c r="E165" i="11"/>
  <c r="E198" i="11"/>
  <c r="DH239" i="9"/>
  <c r="D49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T6" i="3"/>
  <c r="BD44" i="8" s="1"/>
  <c r="S7" i="3"/>
  <c r="BN22" i="8" s="1"/>
  <c r="S6" i="3"/>
  <c r="BC44" i="8" s="1"/>
  <c r="T5" i="3"/>
  <c r="BD43" i="8" s="1"/>
  <c r="S5" i="3"/>
  <c r="T7" i="3"/>
  <c r="BD45" i="8" s="1"/>
  <c r="V7" i="3"/>
  <c r="U7" i="3"/>
  <c r="N5" i="3"/>
  <c r="DH241" i="9" l="1"/>
  <c r="ED160" i="9" s="1"/>
  <c r="CN282" i="9"/>
  <c r="X53" i="8"/>
  <c r="M165" i="1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P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E13" i="3"/>
  <c r="E12" i="3"/>
  <c r="CQ281" i="9" s="1"/>
  <c r="E11" i="3"/>
  <c r="E10" i="3"/>
  <c r="E9" i="3"/>
  <c r="FG130" i="9" s="1"/>
  <c r="E8" i="3"/>
  <c r="E7" i="3"/>
  <c r="E6" i="3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P130" i="9" l="1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51" i="11" l="1"/>
  <c r="C51" i="11" s="1"/>
  <c r="C5" i="25"/>
  <c r="AE46" i="9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Z33" i="24" l="1"/>
  <c r="F6" i="25"/>
  <c r="F5" i="25"/>
  <c r="AJ46" i="9"/>
  <c r="AK46" i="9" s="1"/>
  <c r="AL46" i="9" s="1"/>
  <c r="AM46" i="9" s="1"/>
  <c r="AN46" i="9" s="1"/>
  <c r="K131" i="9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F7" i="25" l="1"/>
  <c r="I6" i="25" s="1"/>
  <c r="J6" i="25" s="1"/>
  <c r="K6" i="25" s="1"/>
  <c r="L6" i="25" s="1"/>
  <c r="M6" i="25" s="1"/>
  <c r="N6" i="25" s="1"/>
  <c r="I5" i="25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D153" i="22" l="1"/>
  <c r="D162" i="22" s="1"/>
  <c r="I7" i="25"/>
  <c r="J5" i="25"/>
  <c r="K5" i="25" s="1"/>
  <c r="L5" i="25" s="1"/>
  <c r="M5" i="25" s="1"/>
  <c r="AU19" i="24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N5" i="25" l="1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K203" i="11" l="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Z247" i="9" l="1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N210" i="9" l="1"/>
  <c r="C59" i="14" s="1"/>
  <c r="AU210" i="9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G201" i="15" s="1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3" i="24"/>
  <c r="N103" i="24"/>
  <c r="N130" i="24"/>
  <c r="N112" i="24"/>
  <c r="N123" i="24"/>
  <c r="N117" i="24"/>
  <c r="N109" i="24"/>
  <c r="N133" i="24"/>
  <c r="N131" i="24"/>
  <c r="N104" i="24"/>
  <c r="N136" i="24"/>
  <c r="N125" i="24"/>
  <c r="N121" i="24"/>
  <c r="N137" i="24"/>
  <c r="N127" i="24"/>
  <c r="BH55" i="24"/>
  <c r="F145" i="24" s="1" a="1"/>
  <c r="BI21" i="24"/>
  <c r="J105" i="24" s="1"/>
  <c r="N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8" i="24" l="1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<sst xmlns="http://schemas.openxmlformats.org/spreadsheetml/2006/main" count="6236" uniqueCount="727">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</sst>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79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0" fillId="0" borderId="2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41" fillId="14" borderId="30" xfId="0" applyFont="1" applyFill="1" applyBorder="1" applyAlignment="1">
      <alignment horizontal="center" vertical="center"/>
    </xf>
    <xf numFmtId="0" fontId="39" fillId="13" borderId="0" xfId="0" applyFont="1" applyFill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53" fillId="0" borderId="0" xfId="0" applyFont="1" applyAlignment="1">
      <alignment horizontal="center" vertical="center" textRotation="90"/>
    </xf>
    <xf numFmtId="0" fontId="39" fillId="13" borderId="30" xfId="0" applyFont="1" applyFill="1" applyBorder="1" applyAlignment="1">
      <alignment horizontal="center" vertical="center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187939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I77"/>
  <sheetViews>
    <sheetView topLeftCell="A4" zoomScale="173" workbookViewId="0">
      <selection activeCell="C6" sqref="C6"/>
    </sheetView>
  </sheetViews>
  <sheetFormatPr defaultColWidth="8.77734375" defaultRowHeight="14.4"/>
  <cols>
    <col min="1" max="1" width="8.77734375" style="3"/>
    <col min="2" max="2" width="9.77734375" style="3" customWidth="1"/>
    <col min="3" max="21" width="8.77734375" style="3"/>
    <col min="22" max="22" width="9.77734375" style="3" bestFit="1" customWidth="1"/>
    <col min="23" max="23" width="10.44140625" style="3" bestFit="1" customWidth="1"/>
    <col min="24" max="24" width="12.109375" style="3" bestFit="1" customWidth="1"/>
    <col min="25" max="25" width="11.44140625" style="3" bestFit="1" customWidth="1"/>
    <col min="26" max="26" width="15.77734375" style="3" bestFit="1" customWidth="1"/>
    <col min="27" max="27" width="11.44140625" style="3" bestFit="1" customWidth="1"/>
    <col min="28" max="28" width="11.44140625" style="3" customWidth="1"/>
    <col min="29" max="34" width="8.77734375" style="3"/>
    <col min="35" max="35" width="12.33203125" style="3" bestFit="1" customWidth="1"/>
    <col min="36" max="16384" width="8.77734375" style="3"/>
  </cols>
  <sheetData>
    <row r="1" spans="2:35">
      <c r="AH1" s="3" t="s">
        <v>695</v>
      </c>
      <c r="AI1" s="3" t="s">
        <v>695</v>
      </c>
    </row>
    <row r="2" spans="2:35" ht="15.6">
      <c r="S2" s="355" t="s">
        <v>102</v>
      </c>
      <c r="T2" s="356"/>
      <c r="U2" s="355" t="s">
        <v>108</v>
      </c>
      <c r="V2" s="356"/>
      <c r="X2" s="357" t="s">
        <v>233</v>
      </c>
      <c r="Y2" s="357"/>
      <c r="Z2" s="13" t="s">
        <v>52</v>
      </c>
      <c r="AC2" s="3" t="s">
        <v>341</v>
      </c>
      <c r="AH2" s="3" t="s">
        <v>342</v>
      </c>
      <c r="AI2" s="3" t="s">
        <v>696</v>
      </c>
    </row>
    <row r="3" spans="2:35" ht="19.2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H3" s="19" t="s">
        <v>702</v>
      </c>
      <c r="J3" s="13" t="s">
        <v>55</v>
      </c>
      <c r="K3" s="19" t="s">
        <v>56</v>
      </c>
      <c r="N3" s="13" t="s">
        <v>57</v>
      </c>
      <c r="O3" s="13" t="s">
        <v>99</v>
      </c>
      <c r="P3" s="13" t="s">
        <v>110</v>
      </c>
      <c r="R3" s="13" t="s">
        <v>100</v>
      </c>
      <c r="S3" s="13" t="s">
        <v>40</v>
      </c>
      <c r="T3" s="13" t="s">
        <v>101</v>
      </c>
      <c r="U3" s="13" t="s">
        <v>103</v>
      </c>
      <c r="V3" s="13" t="s">
        <v>104</v>
      </c>
      <c r="X3" s="13" t="s">
        <v>232</v>
      </c>
      <c r="Y3" s="13" t="s">
        <v>239</v>
      </c>
      <c r="Z3" s="13" t="s">
        <v>53</v>
      </c>
      <c r="AB3" s="3" t="s">
        <v>41</v>
      </c>
      <c r="AC3" s="3" t="s">
        <v>342</v>
      </c>
      <c r="AG3" s="13" t="s">
        <v>65</v>
      </c>
      <c r="AH3" s="3">
        <v>9496.4</v>
      </c>
      <c r="AI3" s="209">
        <f>AH3/LHV_CH4</f>
        <v>0.18992799999999999</v>
      </c>
    </row>
    <row r="4" spans="2:35" ht="19.2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H4" s="19" t="s">
        <v>590</v>
      </c>
      <c r="J4" s="13" t="s">
        <v>60</v>
      </c>
      <c r="K4" s="19" t="s">
        <v>61</v>
      </c>
      <c r="N4" s="13" t="s">
        <v>62</v>
      </c>
      <c r="O4" s="13" t="s">
        <v>63</v>
      </c>
      <c r="P4" s="13" t="s">
        <v>58</v>
      </c>
      <c r="R4" s="13" t="s">
        <v>41</v>
      </c>
      <c r="S4" s="4" t="s">
        <v>106</v>
      </c>
      <c r="T4" s="61" t="s">
        <v>109</v>
      </c>
      <c r="U4" s="4" t="s">
        <v>106</v>
      </c>
      <c r="V4" s="61" t="s">
        <v>109</v>
      </c>
      <c r="X4" s="13">
        <v>1.0550600000000001</v>
      </c>
      <c r="Y4" s="13">
        <v>3600</v>
      </c>
      <c r="Z4" s="13">
        <v>1000</v>
      </c>
      <c r="AB4" s="13" t="s">
        <v>65</v>
      </c>
      <c r="AC4" s="13">
        <f>1000*50</f>
        <v>50000</v>
      </c>
    </row>
    <row r="5" spans="2:35" ht="16.2">
      <c r="B5" s="1" t="s">
        <v>18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"/>
      <c r="J5" s="13" t="s">
        <v>18</v>
      </c>
      <c r="K5" s="13">
        <v>410.3</v>
      </c>
      <c r="N5" s="13">
        <f>8.314/1000</f>
        <v>8.3140000000000002E-3</v>
      </c>
      <c r="O5" s="13">
        <v>298</v>
      </c>
      <c r="P5" s="13">
        <f>N5*O5</f>
        <v>2.4775719999999999</v>
      </c>
      <c r="R5" s="13" t="s">
        <v>23</v>
      </c>
      <c r="S5" s="13">
        <f>115131.4/1000</f>
        <v>115.1314</v>
      </c>
      <c r="T5" s="13">
        <f>315.97/1000</f>
        <v>0.31597000000000003</v>
      </c>
      <c r="U5" s="13">
        <v>9.3640000000000008</v>
      </c>
      <c r="V5" s="13">
        <v>0.21368500000000001</v>
      </c>
      <c r="X5" s="13" t="s">
        <v>439</v>
      </c>
      <c r="AB5" s="61" t="s">
        <v>464</v>
      </c>
      <c r="AC5" s="13">
        <v>43400</v>
      </c>
    </row>
    <row r="6" spans="2:35" ht="19.2">
      <c r="B6" s="1" t="s">
        <v>21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31</v>
      </c>
      <c r="K6" s="13">
        <v>723.8</v>
      </c>
      <c r="R6" s="13" t="s">
        <v>68</v>
      </c>
      <c r="S6" s="13">
        <f>94827.84/1000</f>
        <v>94.827839999999995</v>
      </c>
      <c r="T6" s="13">
        <f>270.35/1000</f>
        <v>0.27035000000000003</v>
      </c>
      <c r="U6" s="13">
        <v>9.9039999999999999</v>
      </c>
      <c r="V6" s="13">
        <v>0.18872</v>
      </c>
      <c r="X6" s="13">
        <f>4.184/1000</f>
        <v>4.1840000000000002E-3</v>
      </c>
      <c r="AB6" s="61" t="s">
        <v>481</v>
      </c>
      <c r="AC6" s="13">
        <v>39500</v>
      </c>
    </row>
    <row r="7" spans="2:35" ht="19.2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"/>
      <c r="J7" s="13" t="s">
        <v>16</v>
      </c>
      <c r="K7" s="13">
        <v>376.8</v>
      </c>
      <c r="R7" s="39" t="s">
        <v>67</v>
      </c>
      <c r="S7" s="13">
        <f>73347.52/1000</f>
        <v>73.347520000000003</v>
      </c>
      <c r="T7" s="13">
        <f>256/1000</f>
        <v>0.25600000000000001</v>
      </c>
      <c r="U7" s="13">
        <f>8669/1000</f>
        <v>8.6690000000000005</v>
      </c>
      <c r="V7" s="13">
        <f>191.502/1000</f>
        <v>0.19150200000000001</v>
      </c>
      <c r="AB7" s="61" t="s">
        <v>465</v>
      </c>
      <c r="AC7" s="13">
        <v>42600</v>
      </c>
    </row>
    <row r="8" spans="2:35" ht="19.2">
      <c r="B8" s="7" t="s">
        <v>64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"/>
      <c r="J8" s="13" t="s">
        <v>66</v>
      </c>
      <c r="K8" s="13">
        <v>236.1</v>
      </c>
      <c r="R8" s="62"/>
    </row>
    <row r="9" spans="2:35" ht="19.2">
      <c r="B9" s="7" t="s">
        <v>16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"/>
      <c r="J9" s="20" t="s">
        <v>24</v>
      </c>
      <c r="K9" s="13">
        <v>4</v>
      </c>
      <c r="R9" s="7"/>
    </row>
    <row r="10" spans="2:35" ht="19.2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"/>
      <c r="J10" s="13" t="s">
        <v>30</v>
      </c>
      <c r="K10" s="13">
        <v>854.2</v>
      </c>
    </row>
    <row r="11" spans="2:35" ht="19.2">
      <c r="B11" s="7" t="s">
        <v>29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"/>
      <c r="J11" s="20" t="s">
        <v>67</v>
      </c>
      <c r="K11" s="13">
        <v>0.7</v>
      </c>
    </row>
    <row r="12" spans="2:35" ht="19.2">
      <c r="B12" s="7" t="s">
        <v>24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"/>
      <c r="J12" s="13" t="s">
        <v>308</v>
      </c>
      <c r="K12" s="13">
        <v>794.3</v>
      </c>
      <c r="R12" s="358" t="s">
        <v>380</v>
      </c>
      <c r="S12" s="358"/>
    </row>
    <row r="13" spans="2:35" ht="19.2">
      <c r="B13" s="7" t="s">
        <v>30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"/>
      <c r="J13" s="92" t="s">
        <v>311</v>
      </c>
      <c r="K13" s="13">
        <v>124.2</v>
      </c>
      <c r="R13" s="128" t="s">
        <v>319</v>
      </c>
      <c r="S13" s="13" t="s">
        <v>381</v>
      </c>
      <c r="T13" s="13" t="s">
        <v>33</v>
      </c>
      <c r="U13" s="13" t="s">
        <v>34</v>
      </c>
      <c r="V13" s="13" t="s">
        <v>35</v>
      </c>
      <c r="W13" s="13" t="s">
        <v>690</v>
      </c>
      <c r="X13" s="13" t="s">
        <v>36</v>
      </c>
    </row>
    <row r="14" spans="2:35" ht="19.2">
      <c r="B14" s="1" t="s">
        <v>17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"/>
      <c r="J14" s="13" t="s">
        <v>309</v>
      </c>
      <c r="K14" s="13">
        <v>629.6</v>
      </c>
      <c r="R14" s="13" t="s">
        <v>98</v>
      </c>
      <c r="S14" s="13" t="s">
        <v>342</v>
      </c>
      <c r="T14" s="13" t="s">
        <v>98</v>
      </c>
      <c r="U14" s="13" t="s">
        <v>98</v>
      </c>
      <c r="V14" s="13" t="s">
        <v>98</v>
      </c>
      <c r="W14" s="13" t="s">
        <v>342</v>
      </c>
      <c r="X14" s="13" t="s">
        <v>98</v>
      </c>
    </row>
    <row r="15" spans="2:35" ht="15.6">
      <c r="B15" s="7" t="s">
        <v>10</v>
      </c>
      <c r="C15" s="13" t="s">
        <v>69</v>
      </c>
      <c r="D15" s="13">
        <v>4.7226465048321509E-2</v>
      </c>
      <c r="E15" s="13">
        <f>0+K7+K5</f>
        <v>787.1</v>
      </c>
      <c r="F15" s="13"/>
      <c r="G15" s="19">
        <f>F15/MW_FeC</f>
        <v>0</v>
      </c>
      <c r="H15" s="1"/>
      <c r="J15" s="13" t="s">
        <v>310</v>
      </c>
      <c r="K15" s="13">
        <v>336.6</v>
      </c>
      <c r="R15" s="13">
        <v>1.0437000000000001</v>
      </c>
      <c r="S15" s="13">
        <v>30080</v>
      </c>
      <c r="T15" s="13">
        <v>0.18820000000000001</v>
      </c>
      <c r="U15" s="13">
        <v>6.0999999999999999E-2</v>
      </c>
      <c r="V15" s="13">
        <v>4.0399999999999998E-2</v>
      </c>
      <c r="W15" s="13">
        <v>2442</v>
      </c>
      <c r="X15" s="13">
        <v>9417</v>
      </c>
    </row>
    <row r="16" spans="2:35" ht="15.6">
      <c r="B16" s="67" t="s">
        <v>122</v>
      </c>
      <c r="C16" s="13">
        <v>-137.27704</v>
      </c>
      <c r="D16" s="13">
        <f>MW_C + MW_O</f>
        <v>2.8010399999999998E-2</v>
      </c>
      <c r="E16" s="13">
        <f>C16+K5+(0.5*K9)</f>
        <v>275.02296000000001</v>
      </c>
      <c r="F16" s="13">
        <v>-110.5</v>
      </c>
      <c r="G16" s="19">
        <f>F16/MW_CO</f>
        <v>-3944.9632993459577</v>
      </c>
      <c r="H16" s="1"/>
      <c r="J16" s="13" t="s">
        <v>180</v>
      </c>
      <c r="K16" s="13">
        <v>607.29999999999995</v>
      </c>
      <c r="R16" s="359" t="s">
        <v>667</v>
      </c>
      <c r="S16" s="359"/>
    </row>
    <row r="17" spans="2:18" ht="15.6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C17+(0.5*K9)+(b_ch_Ca)</f>
        <v>122.25799999999992</v>
      </c>
      <c r="F17" s="13">
        <v>-634.9</v>
      </c>
      <c r="G17" s="19">
        <f>F17/MW_CaO</f>
        <v>-11321.85158370395</v>
      </c>
      <c r="H17" s="1"/>
      <c r="J17" s="13" t="s">
        <v>315</v>
      </c>
      <c r="K17" s="13">
        <v>366.5</v>
      </c>
      <c r="R17" s="13" t="s">
        <v>381</v>
      </c>
    </row>
    <row r="18" spans="2:18" ht="16.2">
      <c r="B18" s="3" t="s">
        <v>65</v>
      </c>
      <c r="C18" s="13">
        <v>-50.7</v>
      </c>
      <c r="D18" s="13">
        <f>MW_C + (4*MW_H)</f>
        <v>1.604276E-2</v>
      </c>
      <c r="E18" s="13">
        <f>C18+K5+(2*K8)</f>
        <v>831.8</v>
      </c>
      <c r="F18" s="13">
        <v>-74.599999999999994</v>
      </c>
      <c r="G18" s="19">
        <f>MW_CH4</f>
        <v>1.604276E-2</v>
      </c>
      <c r="H18" s="1"/>
      <c r="J18" s="13" t="s">
        <v>181</v>
      </c>
      <c r="K18" s="13">
        <v>861.6</v>
      </c>
      <c r="R18" s="13" t="s">
        <v>342</v>
      </c>
    </row>
    <row r="19" spans="2:18" ht="19.2">
      <c r="B19" s="7" t="s">
        <v>67</v>
      </c>
      <c r="C19" s="13">
        <v>0</v>
      </c>
      <c r="D19" s="13">
        <f>(2*14.00674)/1000</f>
        <v>2.801348E-2</v>
      </c>
      <c r="E19" s="13">
        <f>C19+K11</f>
        <v>0.7</v>
      </c>
      <c r="F19" s="13">
        <v>0</v>
      </c>
      <c r="G19" s="19">
        <f>F19/MW_N2</f>
        <v>0</v>
      </c>
      <c r="H19" s="1"/>
      <c r="R19" s="13">
        <v>33412</v>
      </c>
    </row>
    <row r="20" spans="2:18" ht="16.2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b_ch_H2+(0.5*K9)+C20</f>
        <v>9.5113440000000082</v>
      </c>
      <c r="F20" s="13">
        <v>-241.8</v>
      </c>
      <c r="G20" s="19">
        <f>F20/MW_H2O</f>
        <v>-13421.939597941302</v>
      </c>
      <c r="H20" s="1"/>
    </row>
    <row r="21" spans="2:18" ht="15.6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  <c r="H21" s="1"/>
    </row>
    <row r="22" spans="2:18" ht="15.6">
      <c r="B22" s="4" t="s">
        <v>180</v>
      </c>
      <c r="C22" s="13">
        <v>0</v>
      </c>
      <c r="D22" s="13">
        <f>32.066/1000</f>
        <v>3.2066000000000004E-2</v>
      </c>
      <c r="E22" s="13">
        <f>C22+K16</f>
        <v>607.29999999999995</v>
      </c>
      <c r="F22" s="13">
        <v>0</v>
      </c>
      <c r="G22" s="19">
        <f>F22/MW_S</f>
        <v>0</v>
      </c>
      <c r="H22" s="1"/>
    </row>
    <row r="23" spans="2:18" ht="15.6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C23+(0.5*K13)</f>
        <v>-68.950000000000017</v>
      </c>
      <c r="F23" s="13">
        <v>121.3</v>
      </c>
      <c r="G23" s="19">
        <f>F23/MW_Cl</f>
        <v>3421.4601426689646</v>
      </c>
      <c r="H23" s="1"/>
    </row>
    <row r="24" spans="2:18" ht="16.2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C24+(2*K12)+(1.5*K9)</f>
        <v>31.875999999999976</v>
      </c>
      <c r="F24" s="13">
        <v>-1675.7</v>
      </c>
      <c r="G24" s="19">
        <f>F24/MW_Al2O3</f>
        <v>-16434.670424590011</v>
      </c>
      <c r="H24" s="1"/>
    </row>
    <row r="25" spans="2:18" ht="15.6">
      <c r="B25" s="4" t="s">
        <v>179</v>
      </c>
      <c r="C25" s="13">
        <v>-569.024</v>
      </c>
      <c r="D25" s="13">
        <f>(15.9994+24.305)/1000</f>
        <v>4.0304400000000004E-2</v>
      </c>
      <c r="E25" s="13">
        <f>C25+(K14)+(0.5*K9)</f>
        <v>62.576000000000022</v>
      </c>
      <c r="F25" s="13">
        <v>-601.6</v>
      </c>
      <c r="G25" s="19">
        <f>F25/MW_MgO</f>
        <v>-14926.410019749705</v>
      </c>
      <c r="H25" s="1"/>
    </row>
    <row r="26" spans="2:18" ht="16.2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C26+(2*K15)+(0.5*K9)</f>
        <v>298.64000000000004</v>
      </c>
      <c r="F26" s="13">
        <v>-414.2</v>
      </c>
      <c r="G26" s="19">
        <f>F26/MW_Na2O</f>
        <v>-6682.9156279804474</v>
      </c>
      <c r="H26" s="1"/>
    </row>
    <row r="27" spans="2:18" ht="16.2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C27+(2*K17)+(0.5*K9)</f>
        <v>412.83199999999999</v>
      </c>
      <c r="F27" s="13">
        <v>-284.89999999999998</v>
      </c>
      <c r="G27" s="19">
        <f>F27/MW_K2O</f>
        <v>-3024.5445666482651</v>
      </c>
      <c r="H27" s="1"/>
    </row>
    <row r="28" spans="2:18" ht="15.6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C28+K18</f>
        <v>873.60807999999997</v>
      </c>
      <c r="F28" s="13">
        <v>0</v>
      </c>
      <c r="G28" s="19">
        <f>F28/MW_P</f>
        <v>0</v>
      </c>
      <c r="H28" s="1"/>
    </row>
    <row r="29" spans="2:18" ht="16.2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C29+K14+K5+((3/2)*K9)</f>
        <v>33.790400000000034</v>
      </c>
      <c r="F29" s="13">
        <v>-1095.8</v>
      </c>
      <c r="G29" s="19">
        <f>F29/MW_MgCO3</f>
        <v>-12996.624530624733</v>
      </c>
      <c r="H29" s="19">
        <f>(76.19/1000)*MW_MgCO3</f>
        <v>6.4238988979999998E-3</v>
      </c>
    </row>
    <row r="30" spans="2:18" ht="15.6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  <c r="H30" s="1"/>
    </row>
    <row r="31" spans="2:18" ht="16.2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  <c r="H31" s="1"/>
    </row>
    <row r="32" spans="2:18" ht="16.2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  <c r="H32" s="1"/>
    </row>
    <row r="33" spans="1:8" ht="16.2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  <c r="H33" s="1"/>
    </row>
    <row r="34" spans="1:8" ht="16.2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  <c r="H34" s="1"/>
    </row>
    <row r="35" spans="1:8" ht="16.2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  <c r="H35" s="1"/>
    </row>
    <row r="36" spans="1:8" ht="16.2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  <c r="H36" s="1"/>
    </row>
    <row r="37" spans="1:8" ht="15.6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  <c r="H37" s="1"/>
    </row>
    <row r="38" spans="1:8" ht="16.2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  <c r="H38" s="1"/>
    </row>
    <row r="39" spans="1:8" ht="16.2">
      <c r="B39" s="4" t="s">
        <v>464</v>
      </c>
      <c r="C39" s="13">
        <v>7.4056800000000003</v>
      </c>
      <c r="D39" s="13">
        <f>(MW_C*8)+(MW_H*18)</f>
        <v>0.11423092</v>
      </c>
      <c r="E39" s="13">
        <f>C39+(8*K5)+(9*b_ch_H2)</f>
        <v>5414.70568</v>
      </c>
      <c r="F39" s="13">
        <v>-250.1</v>
      </c>
      <c r="G39" s="19">
        <f>F39/MW_C8H18</f>
        <v>-2189.4247196818515</v>
      </c>
      <c r="H39" s="1"/>
    </row>
    <row r="40" spans="1:8" ht="16.2">
      <c r="B40" s="4" t="s">
        <v>465</v>
      </c>
      <c r="C40" s="13"/>
      <c r="D40" s="13">
        <f>(MW_C*12)+(MW_H*23)</f>
        <v>0.16731462</v>
      </c>
      <c r="E40" s="13"/>
      <c r="F40" s="13"/>
      <c r="G40" s="19">
        <f>LHV_Diesel</f>
        <v>42600</v>
      </c>
      <c r="H40" s="1"/>
    </row>
    <row r="41" spans="1:8" ht="16.2">
      <c r="B41" s="4" t="s">
        <v>481</v>
      </c>
      <c r="C41" s="13"/>
      <c r="D41" s="13">
        <f>(10*MW_C) + (20*MW_H)</f>
        <v>0.1402688</v>
      </c>
      <c r="E41" s="13"/>
      <c r="F41" s="13"/>
      <c r="G41" s="19">
        <f>LHV_Oil</f>
        <v>39500</v>
      </c>
      <c r="H41" s="1"/>
    </row>
    <row r="42" spans="1:8" ht="16.2">
      <c r="A42" s="3" t="s">
        <v>654</v>
      </c>
      <c r="B42" s="3" t="s">
        <v>644</v>
      </c>
      <c r="C42" s="13">
        <v>223.7</v>
      </c>
      <c r="D42" s="13">
        <f>MW_C*10 + MW_H*8</f>
        <v>0.12817351999999999</v>
      </c>
      <c r="E42" s="13">
        <f>C42+(8*b_ch_H2)+(10*K5)</f>
        <v>6215.5</v>
      </c>
      <c r="F42" s="13">
        <v>78.5</v>
      </c>
      <c r="G42" s="19">
        <f>F42/D42</f>
        <v>612.45099611838714</v>
      </c>
      <c r="H42" s="1"/>
    </row>
    <row r="43" spans="1:8" ht="16.2">
      <c r="A43" s="3" t="s">
        <v>657</v>
      </c>
      <c r="B43" s="3" t="s">
        <v>645</v>
      </c>
      <c r="C43" s="13">
        <v>383.08</v>
      </c>
      <c r="D43" s="13">
        <f>MW_C*14 + MW_H*10</f>
        <v>0.17823339999999999</v>
      </c>
      <c r="E43" s="13">
        <f>C43+(10*b_ch_H2)+(14*$K$5)</f>
        <v>8488.2799999999988</v>
      </c>
      <c r="F43" s="13">
        <v>207</v>
      </c>
      <c r="G43" s="19">
        <f t="shared" ref="G43:G50" si="0">F43/D43</f>
        <v>1161.3984808683447</v>
      </c>
      <c r="H43" s="1"/>
    </row>
    <row r="44" spans="1:8" ht="16.2">
      <c r="A44" s="3" t="s">
        <v>658</v>
      </c>
      <c r="B44" s="3" t="s">
        <v>646</v>
      </c>
      <c r="C44" s="13">
        <v>491.18</v>
      </c>
      <c r="D44" s="13">
        <f>MW_C*16 + MW_H*10</f>
        <v>0.20225539999999997</v>
      </c>
      <c r="E44" s="13">
        <f>C44+(10*b_ch_H2)+(16*$K$5)</f>
        <v>9416.98</v>
      </c>
      <c r="F44" s="13">
        <v>-7917.8</v>
      </c>
      <c r="G44" s="19">
        <f t="shared" si="0"/>
        <v>-39147.533267344166</v>
      </c>
      <c r="H44" s="1"/>
    </row>
    <row r="45" spans="1:8" ht="16.2">
      <c r="A45" s="3" t="s">
        <v>656</v>
      </c>
      <c r="B45" s="3" t="s">
        <v>655</v>
      </c>
      <c r="C45" s="13">
        <v>544.96</v>
      </c>
      <c r="D45" s="13">
        <f>MW_C*24 + MW_H*26</f>
        <v>0.31447043999999996</v>
      </c>
      <c r="E45" s="13">
        <f>C45+(26*b_ch_H2)+(24*$K$5)</f>
        <v>16530.760000000002</v>
      </c>
      <c r="F45" s="13">
        <v>162.21</v>
      </c>
      <c r="G45" s="19">
        <f t="shared" si="0"/>
        <v>515.81954729989889</v>
      </c>
      <c r="H45" s="1"/>
    </row>
    <row r="46" spans="1:8" ht="16.2">
      <c r="A46" s="3" t="s">
        <v>659</v>
      </c>
      <c r="B46" s="3" t="s">
        <v>662</v>
      </c>
      <c r="C46" s="13">
        <v>330.52</v>
      </c>
      <c r="D46" s="13">
        <f>MW_C*12 + MW_H*10</f>
        <v>0.1542114</v>
      </c>
      <c r="E46" s="13">
        <f>C46+(10*b_ch_H2)+(12*$K$5)</f>
        <v>7615.1200000000008</v>
      </c>
      <c r="F46" s="13">
        <v>71</v>
      </c>
      <c r="G46" s="19">
        <f t="shared" si="0"/>
        <v>460.40694786507356</v>
      </c>
      <c r="H46" s="1"/>
    </row>
    <row r="47" spans="1:8" ht="16.2">
      <c r="A47" s="3" t="s">
        <v>660</v>
      </c>
      <c r="B47" s="3" t="s">
        <v>664</v>
      </c>
      <c r="C47" s="13">
        <v>356.8</v>
      </c>
      <c r="D47" s="13">
        <f>MW_C*13 + MW_H*10</f>
        <v>0.16622239999999999</v>
      </c>
      <c r="E47" s="13">
        <f>C47+(10*b_ch_H2)+(13*$K$5)</f>
        <v>8051.7000000000007</v>
      </c>
      <c r="F47" s="13">
        <v>166.9</v>
      </c>
      <c r="G47" s="19">
        <f t="shared" si="0"/>
        <v>1004.0764662283784</v>
      </c>
      <c r="H47" s="1"/>
    </row>
    <row r="48" spans="1:8" ht="16.2">
      <c r="A48" s="3" t="s">
        <v>661</v>
      </c>
      <c r="B48" s="4" t="s">
        <v>665</v>
      </c>
      <c r="C48" s="13">
        <v>513.78</v>
      </c>
      <c r="D48" s="13">
        <f>MW_C*18 + MW_H*12</f>
        <v>0.22829327999999999</v>
      </c>
      <c r="E48" s="13">
        <f>C48+(12*b_ch_H2)+(18*$K$5)</f>
        <v>10732.380000000001</v>
      </c>
      <c r="F48" s="13">
        <v>268.7</v>
      </c>
      <c r="G48" s="19">
        <f t="shared" si="0"/>
        <v>1176.9947849538103</v>
      </c>
      <c r="H48" s="1"/>
    </row>
    <row r="49" spans="1:8" ht="19.2">
      <c r="B49" s="1" t="s">
        <v>682</v>
      </c>
      <c r="C49" s="13">
        <v>-300.10000000000002</v>
      </c>
      <c r="D49" s="13">
        <f>MW_S+MW_O2</f>
        <v>6.4064800000000005E-2</v>
      </c>
      <c r="E49" s="13">
        <f>C49+(K16+K9)</f>
        <v>311.19999999999993</v>
      </c>
      <c r="F49" s="13">
        <v>-296.8</v>
      </c>
      <c r="G49" s="19">
        <f t="shared" si="0"/>
        <v>-4632.8092806033892</v>
      </c>
      <c r="H49" s="1"/>
    </row>
    <row r="50" spans="1:8" ht="16.2">
      <c r="A50" s="3" t="s">
        <v>694</v>
      </c>
      <c r="B50" s="3" t="s">
        <v>693</v>
      </c>
      <c r="C50" s="13">
        <v>-23.4</v>
      </c>
      <c r="D50" s="13">
        <f>MW_C*3 + MW_H*8</f>
        <v>4.409652E-2</v>
      </c>
      <c r="E50" s="13">
        <f>C50+(3*K5)+(4*b_ch_H2)</f>
        <v>2151.9</v>
      </c>
      <c r="F50" s="13">
        <f>-103.85</f>
        <v>-103.85</v>
      </c>
      <c r="G50" s="19">
        <f t="shared" si="0"/>
        <v>-2355.0611250048755</v>
      </c>
      <c r="H50" s="1"/>
    </row>
    <row r="51" spans="1:8" ht="15.6">
      <c r="G51" s="1"/>
      <c r="H51" s="1"/>
    </row>
    <row r="52" spans="1:8" ht="15.6">
      <c r="G52" s="1"/>
      <c r="H52" s="1"/>
    </row>
    <row r="53" spans="1:8" ht="15.6">
      <c r="G53" s="1"/>
      <c r="H53" s="1"/>
    </row>
    <row r="54" spans="1:8">
      <c r="B54" s="4"/>
    </row>
    <row r="55" spans="1:8">
      <c r="B55" s="3" t="s">
        <v>107</v>
      </c>
    </row>
    <row r="56" spans="1:8" ht="15.6">
      <c r="B56" s="13" t="s">
        <v>54</v>
      </c>
      <c r="C56" s="3" t="s">
        <v>124</v>
      </c>
    </row>
    <row r="57" spans="1:8" ht="15.6">
      <c r="B57" s="13" t="s">
        <v>54</v>
      </c>
      <c r="C57" s="16" t="s">
        <v>370</v>
      </c>
    </row>
    <row r="58" spans="1:8" ht="19.2">
      <c r="B58" s="19" t="s">
        <v>6</v>
      </c>
      <c r="C58" s="16" t="s">
        <v>358</v>
      </c>
    </row>
    <row r="59" spans="1:8" ht="19.2">
      <c r="B59" s="19" t="s">
        <v>6</v>
      </c>
      <c r="C59" s="3" t="s">
        <v>128</v>
      </c>
    </row>
    <row r="60" spans="1:8" ht="15.6">
      <c r="B60" s="13" t="s">
        <v>172</v>
      </c>
      <c r="C60" s="3" t="s">
        <v>173</v>
      </c>
    </row>
    <row r="61" spans="1:8">
      <c r="B61" s="13" t="s">
        <v>341</v>
      </c>
      <c r="C61" s="16" t="s">
        <v>343</v>
      </c>
    </row>
    <row r="62" spans="1:8">
      <c r="B62" s="13" t="s">
        <v>5</v>
      </c>
      <c r="C62" s="16" t="s">
        <v>355</v>
      </c>
    </row>
    <row r="63" spans="1:8">
      <c r="B63" s="13" t="s">
        <v>381</v>
      </c>
      <c r="C63" s="16" t="s">
        <v>632</v>
      </c>
    </row>
    <row r="64" spans="1:8">
      <c r="B64" s="128" t="s">
        <v>386</v>
      </c>
      <c r="C64" s="3" t="s">
        <v>388</v>
      </c>
    </row>
    <row r="65" spans="2:3">
      <c r="B65" s="13" t="s">
        <v>691</v>
      </c>
      <c r="C65" s="326" t="s">
        <v>692</v>
      </c>
    </row>
    <row r="66" spans="2:3">
      <c r="B66" s="13" t="s">
        <v>475</v>
      </c>
      <c r="C66" s="3" t="s">
        <v>476</v>
      </c>
    </row>
    <row r="67" spans="2:3" ht="16.2">
      <c r="B67" s="13" t="s">
        <v>467</v>
      </c>
      <c r="C67" s="3" t="s">
        <v>466</v>
      </c>
    </row>
    <row r="68" spans="2:3">
      <c r="B68" s="13" t="s">
        <v>40</v>
      </c>
      <c r="C68" s="3" t="s">
        <v>627</v>
      </c>
    </row>
    <row r="69" spans="2:3">
      <c r="B69" s="13" t="s">
        <v>630</v>
      </c>
      <c r="C69" s="16" t="s">
        <v>688</v>
      </c>
    </row>
    <row r="70" spans="2:3">
      <c r="B70" s="13" t="s">
        <v>643</v>
      </c>
      <c r="C70" s="3" t="s">
        <v>663</v>
      </c>
    </row>
    <row r="76" spans="2:3" ht="20.399999999999999">
      <c r="C76" s="325"/>
    </row>
    <row r="77" spans="2:3" ht="20.399999999999999">
      <c r="C77" s="324"/>
    </row>
  </sheetData>
  <sortState xmlns:xlrd2="http://schemas.microsoft.com/office/spreadsheetml/2017/richdata2" ref="J6:J10">
    <sortCondition ref="J5:J10"/>
  </sortState>
  <mergeCells count="5">
    <mergeCell ref="S2:T2"/>
    <mergeCell ref="U2:V2"/>
    <mergeCell ref="X2:Y2"/>
    <mergeCell ref="R12:S12"/>
    <mergeCell ref="R16:S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defaultColWidth="11.5546875" defaultRowHeight="14.4"/>
  <sheetData>
    <row r="1" spans="2:22">
      <c r="C1" s="3" t="s">
        <v>595</v>
      </c>
    </row>
    <row r="2" spans="2:22">
      <c r="C2" s="3">
        <f>298.15</f>
        <v>298.14999999999998</v>
      </c>
    </row>
    <row r="3" spans="2:22" ht="18.600000000000001">
      <c r="B3" s="3"/>
      <c r="C3" s="3"/>
      <c r="D3" s="288" t="s">
        <v>585</v>
      </c>
      <c r="E3" s="3" t="s">
        <v>584</v>
      </c>
      <c r="F3" s="288" t="s">
        <v>579</v>
      </c>
      <c r="G3" s="288" t="s">
        <v>587</v>
      </c>
      <c r="H3" s="3" t="s">
        <v>588</v>
      </c>
      <c r="I3" s="288" t="s">
        <v>589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596</v>
      </c>
      <c r="V3" s="3" t="s">
        <v>597</v>
      </c>
    </row>
    <row r="4" spans="2:22">
      <c r="B4" s="3"/>
      <c r="C4" s="169" t="s">
        <v>568</v>
      </c>
      <c r="D4" s="13" t="s">
        <v>586</v>
      </c>
      <c r="E4" s="13" t="s">
        <v>63</v>
      </c>
      <c r="F4" s="13" t="s">
        <v>342</v>
      </c>
      <c r="G4" s="13" t="s">
        <v>586</v>
      </c>
      <c r="H4" s="13" t="s">
        <v>98</v>
      </c>
      <c r="I4" s="13" t="s">
        <v>586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568</v>
      </c>
      <c r="U4" s="13" t="s">
        <v>58</v>
      </c>
      <c r="V4" s="13" t="s">
        <v>58</v>
      </c>
    </row>
    <row r="5" spans="2:22" ht="15" customHeight="1">
      <c r="B5" s="360" t="s">
        <v>562</v>
      </c>
      <c r="C5" s="3" t="s">
        <v>567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567</v>
      </c>
      <c r="U5" s="3">
        <f>K5</f>
        <v>-9.8484726160779719</v>
      </c>
      <c r="V5">
        <f>K15</f>
        <v>880.83108552905367</v>
      </c>
    </row>
    <row r="6" spans="2:22" ht="19.2">
      <c r="B6" s="360"/>
      <c r="C6" s="3"/>
      <c r="D6" s="3" t="s">
        <v>54</v>
      </c>
      <c r="E6" s="1" t="s">
        <v>572</v>
      </c>
      <c r="F6" s="1" t="s">
        <v>573</v>
      </c>
      <c r="G6" s="1" t="s">
        <v>574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570</v>
      </c>
      <c r="U6" s="3">
        <f>H8</f>
        <v>831.8</v>
      </c>
      <c r="V6" s="3">
        <f>H18</f>
        <v>831.8</v>
      </c>
    </row>
    <row r="7" spans="2:22" ht="15.6">
      <c r="B7" s="360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569</v>
      </c>
      <c r="U7" s="3">
        <f>Q11</f>
        <v>-293.51958084724475</v>
      </c>
      <c r="V7">
        <f>P21</f>
        <v>-2123.0450060933322</v>
      </c>
    </row>
    <row r="8" spans="2:22">
      <c r="B8" s="360"/>
      <c r="C8" s="3" t="s">
        <v>570</v>
      </c>
      <c r="D8" s="3">
        <f>Constants!C18</f>
        <v>-50.7</v>
      </c>
      <c r="E8" s="3">
        <f>b_ch_H2</f>
        <v>236.1</v>
      </c>
      <c r="F8" s="3">
        <f>Constants!K5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8.600000000000001">
      <c r="B9" s="360"/>
      <c r="C9" s="3"/>
      <c r="D9" s="3" t="s">
        <v>40</v>
      </c>
      <c r="E9" s="3" t="s">
        <v>564</v>
      </c>
      <c r="F9" s="3" t="s">
        <v>565</v>
      </c>
      <c r="G9" s="288" t="s">
        <v>576</v>
      </c>
      <c r="H9" s="288" t="s">
        <v>577</v>
      </c>
      <c r="I9" s="3" t="s">
        <v>578</v>
      </c>
      <c r="J9" s="288" t="s">
        <v>579</v>
      </c>
      <c r="K9" s="288" t="s">
        <v>580</v>
      </c>
      <c r="L9" s="288" t="s">
        <v>101</v>
      </c>
      <c r="M9" s="288" t="s">
        <v>581</v>
      </c>
      <c r="N9" s="288" t="s">
        <v>582</v>
      </c>
      <c r="O9" s="3" t="s">
        <v>54</v>
      </c>
      <c r="P9" s="288" t="s">
        <v>583</v>
      </c>
      <c r="Q9" s="288" t="s">
        <v>34</v>
      </c>
    </row>
    <row r="10" spans="2:22" ht="16.2">
      <c r="B10" s="360"/>
      <c r="C10" s="3"/>
      <c r="D10" s="13" t="s">
        <v>598</v>
      </c>
      <c r="E10" s="13" t="s">
        <v>240</v>
      </c>
      <c r="F10" s="13" t="s">
        <v>240</v>
      </c>
      <c r="G10" s="13" t="s">
        <v>473</v>
      </c>
      <c r="H10" s="13" t="s">
        <v>473</v>
      </c>
      <c r="I10" s="13" t="s">
        <v>240</v>
      </c>
      <c r="J10" s="13" t="s">
        <v>473</v>
      </c>
      <c r="K10" s="13" t="s">
        <v>474</v>
      </c>
      <c r="L10" s="13" t="s">
        <v>474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596</v>
      </c>
      <c r="V10" s="3" t="s">
        <v>597</v>
      </c>
    </row>
    <row r="11" spans="2:22">
      <c r="B11" s="360"/>
      <c r="C11" s="3" t="s">
        <v>569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Constants!N5*((2.928*LN(Constants!O5))+(0.002569*Constants!O5)+((0.000007844)*((Constants!O5^2)/2))+((-0.00000000491)*((Constants!O5^3)/3))+((0.000000000000204)*((Constants!O5^4)/4))+4.634)</f>
        <v>0.18611746282523223</v>
      </c>
      <c r="L11" s="3">
        <f>((E11*('Fuel Exergy'!K11-(Constants!N5*LN(1))))+(F11*('Fuel Exergy'!K11-(Constants!N5*LN(1)))))/I11</f>
        <v>0.24859193971477167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433.78933964230652</v>
      </c>
      <c r="P11" s="3">
        <f>(M11*E8)+(F8*N11)</f>
        <v>727.30892048955127</v>
      </c>
      <c r="Q11" s="3">
        <f>O11-P11</f>
        <v>-293.51958084724475</v>
      </c>
      <c r="T11" s="169" t="s">
        <v>568</v>
      </c>
      <c r="U11" s="13" t="s">
        <v>58</v>
      </c>
      <c r="V11" s="13" t="s">
        <v>58</v>
      </c>
    </row>
    <row r="12" spans="2:22">
      <c r="S12" s="361" t="s">
        <v>599</v>
      </c>
      <c r="T12" s="13" t="s">
        <v>567</v>
      </c>
      <c r="U12" s="236" t="s">
        <v>454</v>
      </c>
      <c r="V12" s="236">
        <v>880.83</v>
      </c>
    </row>
    <row r="13" spans="2:22">
      <c r="B13" s="236"/>
      <c r="C13" s="236"/>
      <c r="D13" s="236" t="s">
        <v>566</v>
      </c>
      <c r="E13" s="236" t="s">
        <v>564</v>
      </c>
      <c r="F13" s="236" t="s">
        <v>565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61"/>
      <c r="T13" s="13" t="s">
        <v>570</v>
      </c>
      <c r="U13" s="236">
        <v>831.8</v>
      </c>
      <c r="V13" s="236">
        <f>U13</f>
        <v>831.8</v>
      </c>
    </row>
    <row r="14" spans="2:2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571</v>
      </c>
      <c r="H14" s="290" t="s">
        <v>571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61"/>
      <c r="T14" s="13" t="s">
        <v>569</v>
      </c>
      <c r="U14" s="236">
        <v>869.44899999999996</v>
      </c>
      <c r="V14" s="236">
        <v>858.81600000000003</v>
      </c>
    </row>
    <row r="15" spans="2:22">
      <c r="B15" s="360" t="s">
        <v>563</v>
      </c>
      <c r="C15" s="236" t="s">
        <v>567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9.2">
      <c r="B16" s="360"/>
      <c r="C16" s="236"/>
      <c r="D16" s="236" t="s">
        <v>54</v>
      </c>
      <c r="E16" s="291" t="s">
        <v>572</v>
      </c>
      <c r="F16" s="291" t="s">
        <v>573</v>
      </c>
      <c r="G16" s="291" t="s">
        <v>574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5.6">
      <c r="B17" s="360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>
      <c r="B18" s="360"/>
      <c r="C18" s="236" t="s">
        <v>570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8.600000000000001">
      <c r="B19" s="360"/>
      <c r="C19" s="236"/>
      <c r="D19" s="236" t="s">
        <v>472</v>
      </c>
      <c r="E19" s="236" t="s">
        <v>472</v>
      </c>
      <c r="F19" s="293" t="s">
        <v>591</v>
      </c>
      <c r="G19" s="293" t="s">
        <v>592</v>
      </c>
      <c r="H19" s="293" t="s">
        <v>579</v>
      </c>
      <c r="I19" s="293" t="s">
        <v>589</v>
      </c>
      <c r="J19" s="293" t="s">
        <v>589</v>
      </c>
      <c r="K19" s="236" t="s">
        <v>40</v>
      </c>
      <c r="L19" s="293" t="s">
        <v>581</v>
      </c>
      <c r="M19" s="293" t="s">
        <v>582</v>
      </c>
      <c r="N19" s="293" t="s">
        <v>593</v>
      </c>
      <c r="O19" s="293" t="s">
        <v>594</v>
      </c>
      <c r="P19" s="293" t="s">
        <v>34</v>
      </c>
    </row>
    <row r="20" spans="2:16">
      <c r="B20" s="360"/>
      <c r="C20" s="236"/>
      <c r="D20" s="290" t="s">
        <v>473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474</v>
      </c>
      <c r="J20" s="290" t="s">
        <v>590</v>
      </c>
      <c r="K20" s="290" t="s">
        <v>575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>
      <c r="B21" s="360"/>
      <c r="C21" s="236" t="s">
        <v>569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>
      <c r="C31" s="3"/>
    </row>
    <row r="32" spans="2:16">
      <c r="C32" s="3" t="s">
        <v>541</v>
      </c>
    </row>
    <row r="33" spans="3:3">
      <c r="C33" s="3" t="s">
        <v>542</v>
      </c>
    </row>
    <row r="34" spans="3:3">
      <c r="C34" s="3" t="s">
        <v>527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defaultColWidth="8.77734375" defaultRowHeight="14.4"/>
  <cols>
    <col min="1" max="1" width="12.109375" style="3" customWidth="1"/>
    <col min="2" max="2" width="9" style="3" bestFit="1" customWidth="1"/>
    <col min="3" max="3" width="15.77734375" style="3" customWidth="1"/>
    <col min="4" max="4" width="11.109375" style="3" bestFit="1" customWidth="1"/>
    <col min="5" max="5" width="13.33203125" style="3" bestFit="1" customWidth="1"/>
    <col min="6" max="6" width="13.109375" style="3" bestFit="1" customWidth="1"/>
    <col min="7" max="7" width="9.7773437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77734375" style="3" customWidth="1"/>
    <col min="12" max="12" width="18.44140625" style="3" bestFit="1" customWidth="1"/>
    <col min="13" max="13" width="16.6640625" style="3" customWidth="1"/>
    <col min="14" max="14" width="14.77734375" style="3" bestFit="1" customWidth="1"/>
    <col min="15" max="15" width="14" style="3" bestFit="1" customWidth="1"/>
    <col min="16" max="16" width="10.77734375" style="3" customWidth="1"/>
    <col min="17" max="19" width="9" style="3" bestFit="1" customWidth="1"/>
    <col min="20" max="20" width="8.77734375" style="3"/>
    <col min="21" max="21" width="13.33203125" style="3" bestFit="1" customWidth="1"/>
    <col min="22" max="24" width="8.77734375" style="3"/>
    <col min="25" max="31" width="9" style="3" bestFit="1" customWidth="1"/>
    <col min="32" max="32" width="8.77734375" style="3"/>
    <col min="33" max="33" width="9.6640625" style="3" customWidth="1"/>
    <col min="34" max="37" width="9" style="3" bestFit="1" customWidth="1"/>
    <col min="38" max="16384" width="8.77734375" style="3"/>
  </cols>
  <sheetData>
    <row r="1" spans="1:28">
      <c r="A1" s="25" t="s">
        <v>51</v>
      </c>
    </row>
    <row r="2" spans="1:28">
      <c r="A2" s="16" t="s">
        <v>126</v>
      </c>
      <c r="B2" s="3" t="s">
        <v>127</v>
      </c>
      <c r="C2" s="3" t="s">
        <v>174</v>
      </c>
    </row>
    <row r="10" spans="1:28" ht="15.6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57" t="s">
        <v>125</v>
      </c>
      <c r="P10" s="357"/>
      <c r="Q10" s="357"/>
      <c r="R10" s="357"/>
      <c r="S10" s="357"/>
      <c r="T10" s="357"/>
      <c r="U10" s="357"/>
      <c r="V10" s="357" t="s">
        <v>125</v>
      </c>
      <c r="W10" s="357"/>
      <c r="X10" s="357"/>
      <c r="Y10" s="357"/>
      <c r="Z10" s="357"/>
      <c r="AA10" s="357"/>
      <c r="AB10" s="357"/>
    </row>
    <row r="11" spans="1:28" ht="19.2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57" t="s">
        <v>305</v>
      </c>
      <c r="P11" s="357"/>
      <c r="Q11" s="357"/>
      <c r="R11" s="355"/>
      <c r="S11" s="356"/>
      <c r="T11" s="375" t="s">
        <v>304</v>
      </c>
      <c r="U11" s="363"/>
      <c r="V11" s="357" t="str">
        <f>_xlfn.CONCAT(E19," ",C19," ","+"," ",E21," ",C21," ","--&gt;"," ",E22," ",C22," ","+"," ",E20*E21," ",C20)</f>
        <v>1.5 C + 1.5 O2 --&gt; 1.5 CO2 + 5.64 N2</v>
      </c>
      <c r="W11" s="357"/>
      <c r="X11" s="357"/>
      <c r="Y11" s="357"/>
      <c r="Z11" s="357"/>
      <c r="AA11" s="357"/>
      <c r="AB11" s="357"/>
    </row>
    <row r="12" spans="1:28" ht="19.2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57" t="s">
        <v>225</v>
      </c>
      <c r="P12" s="357"/>
      <c r="Q12" s="357"/>
      <c r="R12" s="355"/>
      <c r="S12" s="356"/>
      <c r="T12" s="357" t="s">
        <v>224</v>
      </c>
      <c r="U12" s="357"/>
      <c r="V12" s="357" t="str">
        <f>_xlfn.CONCAT(E25," ",C25," ","+"," ",E26," ",C26," ","--&gt;"," ",E27," ",C27)</f>
        <v>1.5 CO2 + 1.5 C --&gt; 3 CO</v>
      </c>
      <c r="W12" s="357"/>
      <c r="X12" s="357"/>
      <c r="Y12" s="357"/>
      <c r="Z12" s="357"/>
      <c r="AA12" s="357"/>
      <c r="AB12" s="357"/>
    </row>
    <row r="13" spans="1:28" ht="19.2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57" t="s">
        <v>226</v>
      </c>
      <c r="P13" s="357"/>
      <c r="Q13" s="357"/>
      <c r="R13" s="355"/>
      <c r="S13" s="356"/>
      <c r="T13" s="375" t="s">
        <v>227</v>
      </c>
      <c r="U13" s="363"/>
      <c r="V13" s="357" t="str">
        <f>_xlfn.CONCAT(E29," ",C29," ","+"," ",E30," ",C30," ","--&gt;"," ",E31," ",C31," ","+"," ",E32," ",C32)</f>
        <v>1 Fe2O3 + 3 CO --&gt; 2 Fe + 3 CO2</v>
      </c>
      <c r="W13" s="357"/>
      <c r="X13" s="357"/>
      <c r="Y13" s="357"/>
      <c r="Z13" s="357"/>
      <c r="AA13" s="357"/>
      <c r="AB13" s="357"/>
    </row>
    <row r="14" spans="1:28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57"/>
      <c r="P14" s="357"/>
      <c r="Q14" s="357"/>
      <c r="R14" s="355"/>
      <c r="S14" s="356"/>
      <c r="T14" s="357"/>
      <c r="U14" s="357"/>
      <c r="V14" s="357" t="str">
        <f>_xlfn.CONCAT(E36," ",C36," ","--&gt;"," ",E37," ",C37," ","+"," ",E39," ",C39)</f>
        <v>1 CaCO3 --&gt; 1 CaO + 0.0624775822865075 MgO</v>
      </c>
      <c r="W14" s="357"/>
      <c r="X14" s="357"/>
      <c r="Y14" s="357"/>
      <c r="Z14" s="357"/>
      <c r="AA14" s="357"/>
      <c r="AB14" s="357"/>
    </row>
    <row r="15" spans="1:28" ht="15.6">
      <c r="O15" s="357" t="s">
        <v>228</v>
      </c>
      <c r="P15" s="357"/>
      <c r="Q15" s="357"/>
      <c r="R15" s="355"/>
      <c r="S15" s="356"/>
      <c r="T15" s="357" t="s">
        <v>229</v>
      </c>
      <c r="U15" s="357"/>
      <c r="V15" s="357" t="str">
        <f>_xlfn.CONCAT(E41," ",C41," ","+"," ",E42," ",C42," ","--&gt;"," ",E43," ",C43)</f>
        <v>1 CaO + 1 SiO2 --&gt; 1 CaSiO3</v>
      </c>
      <c r="W15" s="357"/>
      <c r="X15" s="357"/>
      <c r="Y15" s="357"/>
      <c r="Z15" s="357"/>
      <c r="AA15" s="357"/>
      <c r="AB15" s="357"/>
    </row>
    <row r="16" spans="1:28">
      <c r="L16" s="77" t="s">
        <v>399</v>
      </c>
      <c r="M16" s="83" t="s">
        <v>400</v>
      </c>
    </row>
    <row r="17" spans="1:28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7" t="s">
        <v>331</v>
      </c>
      <c r="P17" s="357"/>
      <c r="Q17" s="357"/>
      <c r="R17" s="357"/>
      <c r="S17" s="357"/>
      <c r="T17" s="357"/>
      <c r="U17" s="357"/>
      <c r="V17" s="357" t="s">
        <v>125</v>
      </c>
      <c r="W17" s="357"/>
      <c r="X17" s="357"/>
      <c r="Y17" s="357"/>
      <c r="Z17" s="357"/>
      <c r="AA17" s="357"/>
      <c r="AB17" s="357"/>
    </row>
    <row r="18" spans="1:28" ht="15.6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57" t="s">
        <v>332</v>
      </c>
      <c r="P18" s="357"/>
      <c r="Q18" s="357"/>
      <c r="R18" s="357"/>
      <c r="S18" s="357"/>
      <c r="T18" s="357" t="s">
        <v>333</v>
      </c>
      <c r="U18" s="355"/>
      <c r="V18" s="37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74"/>
      <c r="X18" s="374"/>
      <c r="Y18" s="374"/>
      <c r="Z18" s="374"/>
      <c r="AA18" s="374"/>
      <c r="AB18" s="374"/>
    </row>
    <row r="19" spans="1:28" ht="15.6">
      <c r="B19" s="376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74"/>
      <c r="W19" s="374"/>
      <c r="X19" s="374"/>
      <c r="Y19" s="374"/>
      <c r="Z19" s="374"/>
      <c r="AA19" s="374"/>
      <c r="AB19" s="374"/>
    </row>
    <row r="20" spans="1:28" ht="19.2">
      <c r="A20" s="1"/>
      <c r="B20" s="377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6.2">
      <c r="A21" s="1"/>
      <c r="B21" s="378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6.2">
      <c r="B22" s="379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9.2">
      <c r="B23" s="380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5.6">
      <c r="B25" s="381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>
      <c r="B26" s="381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5.6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5.6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9.2">
      <c r="B29" s="381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>
      <c r="B30" s="381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>
      <c r="B31" s="382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5.6">
      <c r="B32" s="383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397</v>
      </c>
      <c r="O32" s="3" t="s">
        <v>398</v>
      </c>
    </row>
    <row r="33" spans="2:23">
      <c r="M33" s="3" t="s">
        <v>5</v>
      </c>
      <c r="N33" s="3" t="s">
        <v>1</v>
      </c>
      <c r="O33" s="3" t="s">
        <v>1</v>
      </c>
    </row>
    <row r="34" spans="2:23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>
      <c r="B35" s="385" t="s">
        <v>396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9.2">
      <c r="B36" s="386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5.6">
      <c r="B37" s="381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5.6">
      <c r="B38" s="376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>
      <c r="B39" s="376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5.6">
      <c r="B41" s="381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9.2">
      <c r="B42" s="381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9.2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>
      <c r="B44" s="359" t="s">
        <v>19</v>
      </c>
      <c r="C44" s="35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5" thickBot="1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>
      <c r="C47" s="369" t="s">
        <v>347</v>
      </c>
      <c r="D47" s="369"/>
      <c r="E47" s="369"/>
      <c r="F47" s="369"/>
    </row>
    <row r="48" spans="2:23">
      <c r="C48" s="387"/>
      <c r="D48" s="387"/>
      <c r="E48" s="387"/>
      <c r="F48" s="387"/>
      <c r="H48" s="357" t="s">
        <v>70</v>
      </c>
      <c r="I48" s="357"/>
      <c r="J48" s="357"/>
      <c r="K48" s="357"/>
      <c r="L48" s="357"/>
      <c r="M48" s="357"/>
    </row>
    <row r="49" spans="1:17" ht="19.2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57" t="s">
        <v>74</v>
      </c>
      <c r="I49" s="357"/>
      <c r="J49" s="357"/>
      <c r="K49" s="13"/>
      <c r="L49" s="375" t="s">
        <v>354</v>
      </c>
      <c r="M49" s="363"/>
    </row>
    <row r="50" spans="1:17" ht="15.6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8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84"/>
      <c r="J51" s="384"/>
      <c r="K51" s="384"/>
      <c r="L51" s="384"/>
      <c r="M51" s="384"/>
    </row>
    <row r="52" spans="1:17" ht="16.2" customHeight="1">
      <c r="C52" s="7"/>
      <c r="H52" s="384"/>
      <c r="I52" s="384"/>
      <c r="J52" s="384"/>
      <c r="K52" s="384"/>
      <c r="L52" s="384"/>
      <c r="M52" s="384"/>
    </row>
    <row r="53" spans="1:17" ht="16.2" customHeight="1"/>
    <row r="54" spans="1:17" ht="15.45" customHeight="1"/>
    <row r="55" spans="1:17" ht="15.45" customHeight="1">
      <c r="D55" s="304"/>
    </row>
    <row r="57" spans="1:17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.600000000000001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414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414</v>
      </c>
    </row>
    <row r="59" spans="1:17" ht="16.2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88" t="s">
        <v>621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9.2">
      <c r="A60" s="365" t="s">
        <v>697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72"/>
      <c r="K60" s="297" t="s">
        <v>620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9.2">
      <c r="A61" s="365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72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72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" customHeight="1">
      <c r="K63" s="95"/>
      <c r="L63" s="144"/>
      <c r="M63" s="144"/>
      <c r="N63" s="144"/>
      <c r="O63" s="144"/>
      <c r="P63" s="17"/>
      <c r="Q63" s="17"/>
    </row>
    <row r="64" spans="1:17" ht="18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" customHeight="1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45" customHeight="1"/>
    <row r="67" spans="2:45" ht="19.2" customHeight="1"/>
    <row r="68" spans="2:45" ht="15" thickBot="1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>
      <c r="B69" s="369" t="s">
        <v>371</v>
      </c>
      <c r="C69" s="369"/>
      <c r="D69" s="369"/>
      <c r="E69" s="369"/>
      <c r="F69" s="369"/>
      <c r="G69" s="369"/>
      <c r="Y69" s="368" t="s">
        <v>633</v>
      </c>
      <c r="Z69" s="366"/>
      <c r="AA69" s="366"/>
      <c r="AB69" s="366"/>
      <c r="AC69" s="366"/>
      <c r="AD69" s="366"/>
      <c r="AE69" s="366"/>
      <c r="AF69" s="366"/>
    </row>
    <row r="70" spans="2:45">
      <c r="B70" s="370"/>
      <c r="C70" s="370"/>
      <c r="D70" s="370"/>
      <c r="E70" s="370"/>
      <c r="F70" s="370"/>
      <c r="G70" s="370"/>
      <c r="K70" s="3" t="s">
        <v>642</v>
      </c>
      <c r="Y70" s="368"/>
      <c r="Z70" s="366"/>
      <c r="AA70" s="366"/>
      <c r="AB70" s="366"/>
      <c r="AC70" s="366"/>
      <c r="AD70" s="366"/>
      <c r="AE70" s="366"/>
      <c r="AF70" s="366"/>
    </row>
    <row r="71" spans="2:45">
      <c r="E71" s="13"/>
      <c r="F71" s="13" t="s">
        <v>373</v>
      </c>
      <c r="G71" s="13" t="s">
        <v>373</v>
      </c>
      <c r="Y71" s="368"/>
      <c r="Z71" s="366"/>
      <c r="AA71" s="366"/>
      <c r="AB71" s="366"/>
      <c r="AC71" s="366"/>
      <c r="AD71" s="366"/>
      <c r="AE71" s="366"/>
      <c r="AF71" s="366"/>
    </row>
    <row r="72" spans="2:45">
      <c r="B72" s="13" t="s">
        <v>18</v>
      </c>
      <c r="C72" s="13" t="s">
        <v>5</v>
      </c>
      <c r="D72" s="34" t="s">
        <v>361</v>
      </c>
      <c r="E72" s="13"/>
      <c r="F72" s="13" t="s">
        <v>640</v>
      </c>
      <c r="G72" s="13" t="s">
        <v>641</v>
      </c>
      <c r="Y72" s="24"/>
    </row>
    <row r="73" spans="2:45" ht="15.6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395</v>
      </c>
      <c r="AG73" s="169"/>
      <c r="AH73" s="198"/>
      <c r="AJ73" s="198"/>
      <c r="AL73" s="169"/>
      <c r="AM73" s="198"/>
      <c r="AO73" s="198"/>
    </row>
    <row r="74" spans="2:45" ht="18.600000000000001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638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6.2">
      <c r="E75" s="13" t="s">
        <v>639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6.2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379</v>
      </c>
      <c r="AG76" s="4" t="s">
        <v>378</v>
      </c>
      <c r="AH76" s="1"/>
      <c r="AI76" s="4"/>
      <c r="AJ76" s="1"/>
      <c r="AL76" s="4"/>
      <c r="AM76" s="1"/>
      <c r="AO76" s="1"/>
    </row>
    <row r="77" spans="2:45" ht="15.6">
      <c r="E77" s="13" t="s">
        <v>668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9.2">
      <c r="E78" s="13" t="s">
        <v>643</v>
      </c>
      <c r="F78" s="13">
        <v>1415</v>
      </c>
      <c r="G78" s="13">
        <f>(G74*F78)/F74</f>
        <v>23.982067525572877</v>
      </c>
      <c r="H78" s="358"/>
      <c r="I78" s="358"/>
      <c r="J78" s="358"/>
      <c r="K78" s="358"/>
      <c r="L78" s="358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6.2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5.6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5.6">
      <c r="G81" s="1"/>
      <c r="O81" s="1"/>
      <c r="P81" s="1"/>
    </row>
    <row r="82" spans="1:38" ht="15.6">
      <c r="G82" s="1"/>
      <c r="O82" s="6"/>
      <c r="AG82" s="6"/>
      <c r="AL82" s="6"/>
    </row>
    <row r="83" spans="1:38" ht="15.6">
      <c r="A83" t="s">
        <v>687</v>
      </c>
      <c r="G83" s="1"/>
      <c r="O83" s="6"/>
      <c r="P83" s="6"/>
      <c r="Y83" s="24"/>
    </row>
    <row r="84" spans="1:38" ht="15.6">
      <c r="G84" s="1"/>
      <c r="Y84" s="24"/>
      <c r="AG84" s="1"/>
      <c r="AI84" s="245"/>
    </row>
    <row r="85" spans="1:38" ht="15.6">
      <c r="G85" s="4"/>
      <c r="P85" s="1"/>
      <c r="Y85" s="24"/>
      <c r="AG85" s="7"/>
      <c r="AI85" s="7"/>
      <c r="AL85" s="235"/>
    </row>
    <row r="86" spans="1:38" ht="15.6">
      <c r="H86"/>
      <c r="I86"/>
      <c r="J86"/>
      <c r="K86"/>
      <c r="L86"/>
      <c r="M86"/>
      <c r="N86"/>
      <c r="O86"/>
      <c r="P86"/>
      <c r="Q86"/>
      <c r="R86"/>
      <c r="S86"/>
      <c r="T86" t="s">
        <v>678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395</v>
      </c>
      <c r="AD86" s="3" t="s">
        <v>39</v>
      </c>
    </row>
    <row r="87" spans="1:38" ht="18.600000000000001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6.95" customHeight="1">
      <c r="B88" s="169" t="s">
        <v>652</v>
      </c>
      <c r="E88" s="281"/>
      <c r="F88" s="7"/>
      <c r="G88" s="132" t="s">
        <v>319</v>
      </c>
      <c r="H88" s="3" t="s">
        <v>381</v>
      </c>
      <c r="I88" s="3" t="s">
        <v>382</v>
      </c>
      <c r="J88" s="4" t="s">
        <v>383</v>
      </c>
      <c r="K88" s="3" t="s">
        <v>384</v>
      </c>
      <c r="L88" s="3" t="s">
        <v>649</v>
      </c>
      <c r="M88" s="132" t="s">
        <v>385</v>
      </c>
      <c r="N88" s="132" t="s">
        <v>460</v>
      </c>
      <c r="X88" s="372" t="s">
        <v>624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.05" customHeight="1">
      <c r="A89" s="364" t="s">
        <v>673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72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9.2">
      <c r="A90" s="364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72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6.2">
      <c r="A91" s="364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669</v>
      </c>
      <c r="M91" s="19" t="s">
        <v>670</v>
      </c>
      <c r="N91" s="3" t="s">
        <v>680</v>
      </c>
      <c r="X91" s="372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5.6">
      <c r="A92" s="364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5.6">
      <c r="A93" s="364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675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689</v>
      </c>
    </row>
    <row r="94" spans="1:38" ht="15.6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5.6">
      <c r="F95" s="1"/>
      <c r="G95" s="6"/>
      <c r="H95" s="6"/>
      <c r="I95" s="6"/>
      <c r="J95" s="6"/>
      <c r="O95" s="3" t="s">
        <v>389</v>
      </c>
      <c r="X95" s="315"/>
      <c r="AG95" s="132"/>
    </row>
    <row r="96" spans="1:38" ht="15.6">
      <c r="B96" s="169" t="s">
        <v>379</v>
      </c>
      <c r="C96" s="3" t="s">
        <v>1</v>
      </c>
      <c r="D96" s="3" t="s">
        <v>47</v>
      </c>
      <c r="E96" s="3" t="s">
        <v>5</v>
      </c>
      <c r="F96" s="198" t="s">
        <v>395</v>
      </c>
      <c r="G96" s="132" t="s">
        <v>319</v>
      </c>
      <c r="H96" s="3" t="s">
        <v>381</v>
      </c>
      <c r="I96" s="3" t="s">
        <v>382</v>
      </c>
      <c r="J96" s="4" t="s">
        <v>383</v>
      </c>
      <c r="K96" s="3" t="s">
        <v>384</v>
      </c>
      <c r="L96" s="3" t="s">
        <v>648</v>
      </c>
      <c r="M96" s="3" t="s">
        <v>649</v>
      </c>
      <c r="N96" s="132" t="s">
        <v>385</v>
      </c>
      <c r="O96" s="132" t="s">
        <v>387</v>
      </c>
      <c r="P96" s="132"/>
      <c r="X96" s="315"/>
    </row>
    <row r="97" spans="1:38" ht="18.600000000000001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>
      <c r="A98" s="365" t="s">
        <v>622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5.6">
      <c r="A99" s="365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669</v>
      </c>
      <c r="M99" s="19" t="s">
        <v>377</v>
      </c>
      <c r="N99" s="1"/>
      <c r="Y99" s="24"/>
    </row>
    <row r="100" spans="1:38" ht="15.6">
      <c r="A100" s="365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5.6">
      <c r="A101" s="365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674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607</v>
      </c>
      <c r="N101" s="6"/>
      <c r="Y101" s="298" t="s">
        <v>434</v>
      </c>
      <c r="AG101" s="169" t="s">
        <v>679</v>
      </c>
    </row>
    <row r="102" spans="1:38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71" t="s">
        <v>623</v>
      </c>
      <c r="I103" s="371"/>
      <c r="J103" s="371"/>
      <c r="K103" s="371"/>
      <c r="Y103" s="24">
        <v>0.7</v>
      </c>
      <c r="AG103" s="3">
        <v>0.3</v>
      </c>
    </row>
    <row r="104" spans="1:38" ht="15.6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395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395</v>
      </c>
      <c r="AL104" s="3" t="s">
        <v>39</v>
      </c>
    </row>
    <row r="105" spans="1:38" ht="18.600000000000001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395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.600000000000001">
      <c r="B106" s="169" t="s">
        <v>650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651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653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6.2">
      <c r="A107" s="3" t="s">
        <v>654</v>
      </c>
      <c r="B107" s="13" t="s">
        <v>644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67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64" t="s">
        <v>672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9.2">
      <c r="A108" s="3" t="s">
        <v>657</v>
      </c>
      <c r="B108" s="13" t="s">
        <v>645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67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64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6.2">
      <c r="A109" s="3" t="s">
        <v>658</v>
      </c>
      <c r="B109" s="13" t="s">
        <v>646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67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64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9.2">
      <c r="A110" s="3" t="s">
        <v>656</v>
      </c>
      <c r="B110" s="13" t="s">
        <v>655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67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64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9.2">
      <c r="A111" s="3" t="s">
        <v>659</v>
      </c>
      <c r="B111" s="13" t="s">
        <v>662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67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64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9.2">
      <c r="A112" s="3" t="s">
        <v>660</v>
      </c>
      <c r="B112" s="13" t="s">
        <v>664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67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64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9.2">
      <c r="A113" s="3" t="s">
        <v>661</v>
      </c>
      <c r="B113" s="61" t="s">
        <v>665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67"/>
      <c r="H113" s="19" t="s">
        <v>647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>
      <c r="A114" s="367" t="s">
        <v>666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5.6">
      <c r="A115" s="367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9.2">
      <c r="A116" s="367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9.2">
      <c r="A117" s="367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5.6">
      <c r="B119" s="169"/>
      <c r="E119" s="198"/>
      <c r="H119" s="169"/>
      <c r="K119" s="198"/>
    </row>
    <row r="120" spans="1:31" ht="15.6">
      <c r="D120" s="1"/>
      <c r="J120" s="1"/>
      <c r="O120" s="258"/>
    </row>
    <row r="121" spans="1:31" ht="15.6">
      <c r="H121" s="7"/>
      <c r="I121" s="258"/>
      <c r="J121" s="258"/>
      <c r="K121" s="258"/>
    </row>
    <row r="122" spans="1:31" ht="15.6">
      <c r="B122" s="235"/>
      <c r="I122" s="258"/>
      <c r="J122" s="258"/>
      <c r="K122" s="258"/>
    </row>
    <row r="123" spans="1:31" ht="15.6">
      <c r="B123" s="7"/>
      <c r="H123" s="7"/>
      <c r="I123" s="258"/>
      <c r="J123" s="258"/>
      <c r="K123" s="258"/>
    </row>
    <row r="127" spans="1:31" ht="15.6">
      <c r="D127" s="235"/>
      <c r="AE127" s="16"/>
    </row>
    <row r="136" spans="4:19">
      <c r="M136" s="16"/>
    </row>
    <row r="143" spans="4:19">
      <c r="D143" s="358" t="s">
        <v>676</v>
      </c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</row>
    <row r="155" spans="1:30">
      <c r="D155" s="3" t="s">
        <v>677</v>
      </c>
    </row>
    <row r="157" spans="1:30" ht="15" thickBot="1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>
      <c r="C158" s="373" t="s">
        <v>625</v>
      </c>
      <c r="D158" s="373"/>
      <c r="E158" s="373"/>
      <c r="F158" s="373"/>
      <c r="G158" s="373"/>
    </row>
    <row r="159" spans="1:30">
      <c r="B159" s="169" t="s">
        <v>434</v>
      </c>
      <c r="C159" s="366"/>
      <c r="D159" s="366"/>
      <c r="E159" s="366"/>
      <c r="F159" s="366"/>
      <c r="G159" s="366"/>
    </row>
    <row r="160" spans="1:30">
      <c r="B160" s="3">
        <v>0.7</v>
      </c>
      <c r="I160" s="128" t="s">
        <v>334</v>
      </c>
    </row>
    <row r="161" spans="2:14" ht="18.600000000000001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395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395</v>
      </c>
    </row>
    <row r="162" spans="2:14" ht="18.600000000000001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5.6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9.2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9.2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681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9.2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>
      <c r="B169" s="169" t="s">
        <v>113</v>
      </c>
    </row>
    <row r="170" spans="2:14" ht="19.2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9.2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>
      <c r="I176" s="3">
        <f>SUM(I171:I175)</f>
        <v>80821.094452051635</v>
      </c>
      <c r="J176" s="3">
        <f>SUM(J171:J175)</f>
        <v>80821.094452051635</v>
      </c>
    </row>
    <row r="178" spans="2:21" ht="15" thickBot="1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>
      <c r="B180" s="366" t="s">
        <v>683</v>
      </c>
      <c r="C180" s="366"/>
      <c r="D180" s="366"/>
      <c r="E180" s="366"/>
      <c r="F180" s="366"/>
      <c r="G180" s="366"/>
    </row>
    <row r="181" spans="2:21">
      <c r="B181" s="366"/>
      <c r="C181" s="366"/>
      <c r="D181" s="366"/>
      <c r="E181" s="366"/>
      <c r="F181" s="366"/>
      <c r="G181" s="366"/>
    </row>
    <row r="182" spans="2:21">
      <c r="B182" s="366"/>
      <c r="C182" s="366"/>
      <c r="D182" s="366"/>
      <c r="E182" s="366"/>
      <c r="F182" s="366"/>
      <c r="G182" s="366"/>
    </row>
    <row r="185" spans="2:21">
      <c r="I185" s="128" t="s">
        <v>334</v>
      </c>
    </row>
    <row r="186" spans="2:21" ht="18.600000000000001">
      <c r="B186" s="169"/>
      <c r="I186" s="19" t="s">
        <v>89</v>
      </c>
    </row>
    <row r="187" spans="2:21">
      <c r="I187" s="13">
        <f>C195+C200-(H2O_out_BF_from_coke+SO2_out_BF_from_coke+N2_out_BF_from_coke)</f>
        <v>0</v>
      </c>
    </row>
    <row r="188" spans="2:21" ht="15.6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395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395</v>
      </c>
    </row>
    <row r="189" spans="2:21" ht="18.600000000000001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5.6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9.2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685</v>
      </c>
      <c r="L191" s="320" t="s">
        <v>684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9.2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681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9.2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>
      <c r="G197" s="3" t="s">
        <v>29</v>
      </c>
    </row>
    <row r="198" spans="2:101" ht="19.2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9.2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58"/>
    </row>
    <row r="202" spans="2:101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58"/>
    </row>
    <row r="203" spans="2:101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58"/>
    </row>
    <row r="204" spans="2:101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58"/>
    </row>
    <row r="205" spans="2:101">
      <c r="CJ205" s="358"/>
    </row>
    <row r="206" spans="2:101" ht="15" thickBot="1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58"/>
    </row>
    <row r="208" spans="2:101" ht="19.2">
      <c r="B208" s="366" t="s">
        <v>468</v>
      </c>
      <c r="C208" s="366"/>
      <c r="D208" s="366"/>
      <c r="E208" s="366"/>
      <c r="G208" s="20" t="s">
        <v>67</v>
      </c>
      <c r="H208" s="233" t="s">
        <v>24</v>
      </c>
      <c r="J208" s="357" t="s">
        <v>70</v>
      </c>
      <c r="K208" s="357"/>
      <c r="L208" s="357"/>
      <c r="M208" s="357"/>
      <c r="N208" s="357"/>
      <c r="O208" s="357"/>
    </row>
    <row r="209" spans="2:88" ht="19.2">
      <c r="B209" s="366"/>
      <c r="C209" s="366"/>
      <c r="D209" s="366"/>
      <c r="E209" s="366"/>
      <c r="G209" s="13">
        <v>3.76</v>
      </c>
      <c r="H209" s="13">
        <v>2</v>
      </c>
      <c r="J209" s="357" t="s">
        <v>470</v>
      </c>
      <c r="K209" s="357"/>
      <c r="L209" s="357"/>
      <c r="M209" s="13"/>
      <c r="N209" s="362" t="s">
        <v>75</v>
      </c>
      <c r="O209" s="363"/>
    </row>
    <row r="210" spans="2:88">
      <c r="B210" s="366"/>
      <c r="C210" s="366"/>
      <c r="D210" s="366"/>
      <c r="E210" s="366"/>
      <c r="J210" s="357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7"/>
      <c r="L210" s="357"/>
      <c r="M210" s="357"/>
      <c r="N210" s="357"/>
      <c r="O210" s="357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>
      <c r="B211" s="358" t="s">
        <v>626</v>
      </c>
      <c r="C211" s="358"/>
      <c r="D211" s="358"/>
      <c r="E211" s="358"/>
    </row>
    <row r="213" spans="2:88" ht="15.6">
      <c r="C213" s="3" t="s">
        <v>1</v>
      </c>
      <c r="D213" s="3" t="s">
        <v>5</v>
      </c>
      <c r="E213" s="198" t="s">
        <v>395</v>
      </c>
      <c r="H213" s="169" t="s">
        <v>378</v>
      </c>
      <c r="I213" s="3" t="s">
        <v>1</v>
      </c>
      <c r="J213" s="3" t="s">
        <v>5</v>
      </c>
      <c r="K213" s="198" t="s">
        <v>395</v>
      </c>
    </row>
    <row r="214" spans="2:88" ht="18.600000000000001">
      <c r="B214" s="169" t="s">
        <v>469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9.2">
      <c r="B215" s="61" t="s">
        <v>465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9.2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58"/>
      <c r="BL216" s="358"/>
      <c r="BM216" s="358"/>
      <c r="BN216" s="358"/>
    </row>
    <row r="217" spans="2:88" ht="18" customHeight="1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58"/>
      <c r="BL217" s="358"/>
      <c r="BM217" s="358"/>
      <c r="BN217" s="358"/>
      <c r="CJ217" s="358"/>
    </row>
    <row r="218" spans="2:88" ht="22.05" customHeight="1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58"/>
      <c r="BQ218" s="3" t="e">
        <f>BS218*BT218</f>
        <v>#DIV/0!</v>
      </c>
      <c r="BT218" s="3" t="e">
        <f>O2_Naturalgas_molcoeff*BT230</f>
        <v>#DIV/0!</v>
      </c>
      <c r="CJ218" s="358"/>
    </row>
    <row r="219" spans="2:88">
      <c r="BO219" s="358"/>
      <c r="BQ219" s="3">
        <f>N2_for_coke_oven_comb</f>
        <v>0</v>
      </c>
      <c r="CJ219" s="358"/>
    </row>
    <row r="220" spans="2:88">
      <c r="CJ220" s="358"/>
    </row>
    <row r="221" spans="2:88">
      <c r="J221" s="132" t="s">
        <v>610</v>
      </c>
      <c r="K221" s="132" t="s">
        <v>613</v>
      </c>
      <c r="L221" s="3" t="s">
        <v>381</v>
      </c>
      <c r="M221" s="3" t="s">
        <v>40</v>
      </c>
      <c r="N221" s="4" t="s">
        <v>35</v>
      </c>
      <c r="O221" s="132" t="s">
        <v>611</v>
      </c>
      <c r="P221" s="132" t="s">
        <v>612</v>
      </c>
      <c r="CJ221" s="358"/>
    </row>
    <row r="222" spans="2:88">
      <c r="C222" s="3" t="s">
        <v>609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9.2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9.2">
      <c r="B225" s="61" t="s">
        <v>465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>
      <c r="C227" s="3" t="s">
        <v>1</v>
      </c>
      <c r="N227" s="3" t="s">
        <v>614</v>
      </c>
    </row>
    <row r="228" spans="2:94">
      <c r="C228" s="3" t="s">
        <v>557</v>
      </c>
      <c r="N228" s="3" t="s">
        <v>615</v>
      </c>
      <c r="BI228"/>
      <c r="BJ228"/>
      <c r="BK228" s="358" t="s">
        <v>452</v>
      </c>
      <c r="BL228" s="358"/>
      <c r="BM228" s="358"/>
      <c r="BN228" s="358"/>
      <c r="BO228"/>
    </row>
    <row r="229" spans="2:94">
      <c r="B229" s="13" t="s">
        <v>182</v>
      </c>
      <c r="C229" s="3">
        <f>C223*MW_H</f>
        <v>7.0992995338357623E-2</v>
      </c>
      <c r="BI229"/>
      <c r="BJ229"/>
      <c r="BK229" s="358"/>
      <c r="BL229" s="358"/>
      <c r="BM229" s="358"/>
      <c r="BN229" s="358"/>
      <c r="BO229"/>
    </row>
    <row r="230" spans="2:94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6.2" thickBot="1">
      <c r="B231" s="61" t="s">
        <v>465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>
      <c r="B233" s="366" t="s">
        <v>478</v>
      </c>
      <c r="C233" s="366"/>
      <c r="D233" s="366"/>
      <c r="E233" s="366"/>
      <c r="J233" s="357" t="s">
        <v>70</v>
      </c>
      <c r="K233" s="357"/>
      <c r="L233" s="357"/>
      <c r="M233" s="357"/>
      <c r="N233" s="357"/>
      <c r="O233" s="357"/>
    </row>
    <row r="234" spans="2:94" ht="22.05" customHeight="1">
      <c r="B234" s="366"/>
      <c r="C234" s="366"/>
      <c r="D234" s="366"/>
      <c r="E234" s="366"/>
      <c r="J234" s="357" t="s">
        <v>480</v>
      </c>
      <c r="K234" s="357"/>
      <c r="L234" s="357"/>
      <c r="M234" s="13"/>
      <c r="N234" s="362" t="s">
        <v>75</v>
      </c>
      <c r="O234" s="363"/>
      <c r="CJ234" s="358"/>
      <c r="CL234" s="3" t="e">
        <f>CO234*CN234</f>
        <v>#DIV/0!</v>
      </c>
      <c r="CO234" s="3" t="e">
        <f>H2O_Naturalgas_molcoeff*BT230</f>
        <v>#DIV/0!</v>
      </c>
    </row>
    <row r="235" spans="2:94">
      <c r="B235" s="366"/>
      <c r="C235" s="366"/>
      <c r="D235" s="366"/>
      <c r="E235" s="366"/>
      <c r="J235" s="357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7"/>
      <c r="L235" s="357"/>
      <c r="M235" s="357"/>
      <c r="N235" s="357"/>
      <c r="O235" s="357"/>
      <c r="CJ235" s="358"/>
      <c r="CL235" s="3" t="e">
        <f>CN235*CO235</f>
        <v>#DIV/0!</v>
      </c>
      <c r="CO235" s="3" t="e">
        <f>BT230</f>
        <v>#DIV/0!</v>
      </c>
    </row>
    <row r="236" spans="2:94" ht="19.95" customHeight="1">
      <c r="B236" s="358" t="s">
        <v>626</v>
      </c>
      <c r="C236" s="358"/>
      <c r="D236" s="358"/>
      <c r="E236" s="358"/>
      <c r="CJ236" s="358"/>
      <c r="CL236" s="3">
        <f>CO236*CN236</f>
        <v>0</v>
      </c>
    </row>
    <row r="237" spans="2:94">
      <c r="CP237" s="3" t="e" cm="1">
        <f t="array" ref="CP237">SUM(CL234:CL236*CP234:CP236) / CL237</f>
        <v>#DIV/0!</v>
      </c>
    </row>
    <row r="238" spans="2:94" ht="15.6">
      <c r="C238" s="3" t="s">
        <v>1</v>
      </c>
      <c r="D238" s="3" t="s">
        <v>5</v>
      </c>
      <c r="E238" s="198" t="s">
        <v>395</v>
      </c>
      <c r="H238" s="169" t="s">
        <v>378</v>
      </c>
      <c r="I238" s="3" t="s">
        <v>1</v>
      </c>
      <c r="J238" s="3" t="s">
        <v>5</v>
      </c>
      <c r="K238" s="198" t="s">
        <v>395</v>
      </c>
    </row>
    <row r="239" spans="2:94" ht="18.600000000000001">
      <c r="B239" s="169" t="s">
        <v>479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9.2">
      <c r="B240" s="61" t="s">
        <v>464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9.2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9.2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>
      <c r="B245" s="132" t="s">
        <v>610</v>
      </c>
      <c r="C245" s="132" t="s">
        <v>613</v>
      </c>
      <c r="D245" s="3" t="s">
        <v>381</v>
      </c>
      <c r="E245" s="3" t="s">
        <v>40</v>
      </c>
      <c r="F245" s="4" t="s">
        <v>35</v>
      </c>
      <c r="G245" s="132" t="s">
        <v>611</v>
      </c>
      <c r="H245" s="132" t="s">
        <v>616</v>
      </c>
    </row>
    <row r="246" spans="2:88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5" thickBot="1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>
      <c r="B250" s="366" t="s">
        <v>483</v>
      </c>
      <c r="C250" s="366"/>
      <c r="D250" s="366"/>
      <c r="E250" s="366"/>
      <c r="J250" s="357" t="s">
        <v>70</v>
      </c>
      <c r="K250" s="357"/>
      <c r="L250" s="357"/>
      <c r="M250" s="357"/>
      <c r="N250" s="357"/>
      <c r="O250" s="357"/>
      <c r="CJ250" s="358"/>
    </row>
    <row r="251" spans="2:88" ht="19.2">
      <c r="B251" s="366"/>
      <c r="C251" s="366"/>
      <c r="D251" s="366"/>
      <c r="E251" s="366"/>
      <c r="J251" s="357" t="s">
        <v>485</v>
      </c>
      <c r="K251" s="357"/>
      <c r="L251" s="357"/>
      <c r="M251" s="13"/>
      <c r="N251" s="362" t="s">
        <v>75</v>
      </c>
      <c r="O251" s="363"/>
      <c r="CJ251" s="358"/>
    </row>
    <row r="252" spans="2:88">
      <c r="B252" s="366"/>
      <c r="C252" s="366"/>
      <c r="D252" s="366"/>
      <c r="E252" s="366"/>
      <c r="J252" s="357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7"/>
      <c r="L252" s="357"/>
      <c r="M252" s="357"/>
      <c r="N252" s="357"/>
      <c r="O252" s="357"/>
      <c r="CJ252" s="358"/>
    </row>
    <row r="253" spans="2:88">
      <c r="B253" s="358" t="s">
        <v>626</v>
      </c>
      <c r="C253" s="358"/>
      <c r="D253" s="358"/>
      <c r="E253" s="358"/>
      <c r="CJ253" s="358"/>
    </row>
    <row r="254" spans="2:88">
      <c r="CJ254" s="358"/>
    </row>
    <row r="255" spans="2:88" ht="15.6">
      <c r="C255" s="3" t="s">
        <v>1</v>
      </c>
      <c r="D255" s="3" t="s">
        <v>5</v>
      </c>
      <c r="E255" s="198" t="s">
        <v>395</v>
      </c>
      <c r="H255" s="169" t="s">
        <v>378</v>
      </c>
      <c r="I255" s="3" t="s">
        <v>1</v>
      </c>
      <c r="J255" s="3" t="s">
        <v>5</v>
      </c>
      <c r="K255" s="198" t="s">
        <v>395</v>
      </c>
      <c r="CJ255" s="358"/>
    </row>
    <row r="256" spans="2:88" ht="18.600000000000001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58"/>
    </row>
    <row r="257" spans="2:88" ht="19.2">
      <c r="B257" s="61" t="s">
        <v>481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58"/>
    </row>
    <row r="258" spans="2:88" ht="19.2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58"/>
    </row>
    <row r="259" spans="2:88" ht="19.2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58"/>
    </row>
    <row r="260" spans="2:88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58"/>
    </row>
    <row r="262" spans="2:88">
      <c r="B262" s="132" t="s">
        <v>610</v>
      </c>
      <c r="C262" s="132" t="s">
        <v>613</v>
      </c>
      <c r="D262" s="3" t="s">
        <v>381</v>
      </c>
      <c r="E262" s="3" t="s">
        <v>40</v>
      </c>
      <c r="F262" s="4" t="s">
        <v>35</v>
      </c>
      <c r="G262" s="132" t="s">
        <v>611</v>
      </c>
      <c r="H262" s="132" t="s">
        <v>617</v>
      </c>
    </row>
    <row r="263" spans="2:88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5" thickBot="1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>
      <c r="B266" s="366" t="s">
        <v>482</v>
      </c>
      <c r="C266" s="366"/>
      <c r="D266" s="366"/>
      <c r="E266" s="366"/>
      <c r="J266" s="357" t="s">
        <v>70</v>
      </c>
      <c r="K266" s="357"/>
      <c r="L266" s="357"/>
      <c r="M266" s="357"/>
      <c r="N266" s="357"/>
      <c r="O266" s="357"/>
    </row>
    <row r="267" spans="2:88" ht="19.2">
      <c r="B267" s="366"/>
      <c r="C267" s="366"/>
      <c r="D267" s="366"/>
      <c r="E267" s="366"/>
      <c r="J267" s="357" t="s">
        <v>74</v>
      </c>
      <c r="K267" s="357"/>
      <c r="L267" s="357"/>
      <c r="M267" s="13"/>
      <c r="N267" s="362" t="s">
        <v>75</v>
      </c>
      <c r="O267" s="363"/>
    </row>
    <row r="268" spans="2:88">
      <c r="B268" s="366"/>
      <c r="C268" s="366"/>
      <c r="D268" s="366"/>
      <c r="E268" s="366"/>
      <c r="J268" s="357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7"/>
      <c r="L268" s="357"/>
      <c r="M268" s="357"/>
      <c r="N268" s="357"/>
      <c r="O268" s="357"/>
    </row>
    <row r="269" spans="2:88">
      <c r="B269" s="358" t="s">
        <v>626</v>
      </c>
      <c r="C269" s="358"/>
      <c r="D269" s="358"/>
      <c r="E269" s="358"/>
    </row>
    <row r="271" spans="2:88" ht="15.6">
      <c r="C271" s="3" t="s">
        <v>1</v>
      </c>
      <c r="D271" s="3" t="s">
        <v>5</v>
      </c>
      <c r="E271" s="198" t="s">
        <v>395</v>
      </c>
      <c r="H271" s="169" t="s">
        <v>378</v>
      </c>
      <c r="I271" s="3" t="s">
        <v>1</v>
      </c>
      <c r="J271" s="3" t="s">
        <v>5</v>
      </c>
      <c r="K271" s="198" t="s">
        <v>395</v>
      </c>
    </row>
    <row r="272" spans="2:88" ht="18.600000000000001">
      <c r="B272" s="169" t="s">
        <v>484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9.2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9.2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9.2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>
      <c r="C278" s="3" t="s">
        <v>1</v>
      </c>
      <c r="D278" s="3" t="s">
        <v>5</v>
      </c>
      <c r="E278" s="132" t="s">
        <v>319</v>
      </c>
      <c r="F278" s="3" t="s">
        <v>381</v>
      </c>
      <c r="G278" s="3" t="s">
        <v>561</v>
      </c>
      <c r="H278" s="3" t="s">
        <v>561</v>
      </c>
    </row>
    <row r="279" spans="2:13" ht="18.600000000000001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5.6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>
      <c r="B283" s="3" t="s">
        <v>559</v>
      </c>
      <c r="C283" s="3">
        <f>C280/C281</f>
        <v>0.33567230039130802</v>
      </c>
    </row>
    <row r="284" spans="2:13">
      <c r="B284" s="3" t="s">
        <v>560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M116" zoomScale="150" zoomScaleNormal="120" workbookViewId="0">
      <selection activeCell="BX130" sqref="BX130"/>
    </sheetView>
  </sheetViews>
  <sheetFormatPr defaultColWidth="8.77734375" defaultRowHeight="14.4"/>
  <cols>
    <col min="1" max="5" width="8.77734375" style="3"/>
    <col min="6" max="6" width="11.109375" style="3" bestFit="1" customWidth="1"/>
    <col min="7" max="7" width="8.77734375" style="3"/>
    <col min="8" max="8" width="11.109375" style="3" bestFit="1" customWidth="1"/>
    <col min="9" max="9" width="9.10937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44140625" style="3" bestFit="1" customWidth="1"/>
    <col min="15" max="15" width="14.44140625" style="3" customWidth="1"/>
    <col min="16" max="16" width="9.33203125" style="3" bestFit="1" customWidth="1"/>
    <col min="17" max="17" width="13.44140625" style="3" bestFit="1" customWidth="1"/>
    <col min="18" max="18" width="13.109375" style="3" bestFit="1" customWidth="1"/>
    <col min="19" max="19" width="18.109375" style="3" bestFit="1" customWidth="1"/>
    <col min="20" max="20" width="9.44140625" style="3" bestFit="1" customWidth="1"/>
    <col min="21" max="21" width="18.109375" style="3" bestFit="1" customWidth="1"/>
    <col min="22" max="22" width="14.77734375" style="3" bestFit="1" customWidth="1"/>
    <col min="23" max="23" width="9.109375" style="3" bestFit="1" customWidth="1"/>
    <col min="24" max="24" width="13.44140625" style="3" customWidth="1"/>
    <col min="25" max="25" width="12.6640625" style="3" bestFit="1" customWidth="1"/>
    <col min="26" max="27" width="12" style="3" bestFit="1" customWidth="1"/>
    <col min="28" max="28" width="9.44140625" style="3" bestFit="1" customWidth="1"/>
    <col min="29" max="29" width="12" style="3" bestFit="1" customWidth="1"/>
    <col min="30" max="30" width="9.33203125" style="3" bestFit="1" customWidth="1"/>
    <col min="31" max="31" width="18.10937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4414062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0937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44140625" style="3" customWidth="1"/>
    <col min="48" max="48" width="12.6640625" style="3" bestFit="1" customWidth="1"/>
    <col min="49" max="49" width="29.6640625" style="3" customWidth="1"/>
    <col min="50" max="52" width="10.44140625" style="3" bestFit="1" customWidth="1"/>
    <col min="53" max="53" width="10.33203125" style="3" customWidth="1"/>
    <col min="54" max="54" width="14.77734375" style="3" bestFit="1" customWidth="1"/>
    <col min="55" max="55" width="10.44140625" style="3" bestFit="1" customWidth="1"/>
    <col min="56" max="56" width="15.6640625" style="3" customWidth="1"/>
    <col min="57" max="57" width="13.6640625" style="3" customWidth="1"/>
    <col min="58" max="58" width="14.77734375" style="3" bestFit="1" customWidth="1"/>
    <col min="59" max="59" width="11.33203125" style="3" customWidth="1"/>
    <col min="60" max="60" width="13.44140625" style="3" bestFit="1" customWidth="1"/>
    <col min="61" max="61" width="15.109375" style="3" bestFit="1" customWidth="1"/>
    <col min="62" max="62" width="10.4414062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77734375" style="3" customWidth="1"/>
    <col min="67" max="67" width="10" style="3" bestFit="1" customWidth="1"/>
    <col min="68" max="69" width="11.33203125" style="3" bestFit="1" customWidth="1"/>
    <col min="70" max="71" width="10.4414062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44140625" style="3" customWidth="1"/>
    <col min="76" max="76" width="12" style="3" customWidth="1"/>
    <col min="77" max="77" width="13.33203125" style="3" bestFit="1" customWidth="1"/>
    <col min="78" max="78" width="13.109375" style="3" bestFit="1" customWidth="1"/>
    <col min="79" max="79" width="14.44140625" style="3" bestFit="1" customWidth="1"/>
    <col min="80" max="80" width="10.77734375" style="3" customWidth="1"/>
    <col min="81" max="81" width="13.109375" style="3" customWidth="1"/>
    <col min="82" max="82" width="11.44140625" style="3" customWidth="1"/>
    <col min="83" max="83" width="12.4414062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0937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77734375" style="3" bestFit="1" customWidth="1"/>
    <col min="93" max="93" width="11.77734375" style="3" bestFit="1" customWidth="1"/>
    <col min="94" max="94" width="11.77734375" style="3" customWidth="1"/>
    <col min="95" max="95" width="12.6640625" style="3" bestFit="1" customWidth="1"/>
    <col min="96" max="96" width="9.77734375" style="3" bestFit="1" customWidth="1"/>
    <col min="97" max="97" width="13.6640625" style="3" customWidth="1"/>
    <col min="98" max="98" width="12.109375" style="3" bestFit="1" customWidth="1"/>
    <col min="99" max="99" width="13.33203125" style="3" bestFit="1" customWidth="1"/>
    <col min="100" max="100" width="9.44140625" style="3" bestFit="1" customWidth="1"/>
    <col min="101" max="101" width="11.77734375" style="3" bestFit="1" customWidth="1"/>
    <col min="102" max="102" width="9.33203125" style="3" bestFit="1" customWidth="1"/>
    <col min="103" max="106" width="9" style="3" bestFit="1" customWidth="1"/>
    <col min="107" max="107" width="8.77734375" style="3"/>
    <col min="108" max="118" width="9" style="3" bestFit="1" customWidth="1"/>
    <col min="119" max="121" width="8.77734375" style="3"/>
    <col min="122" max="122" width="10.6640625" style="3" bestFit="1" customWidth="1"/>
    <col min="123" max="123" width="9.10937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77734375" style="3"/>
    <col min="128" max="128" width="9.33203125" style="3" bestFit="1" customWidth="1"/>
    <col min="129" max="129" width="9.77734375" style="3" bestFit="1" customWidth="1"/>
    <col min="130" max="130" width="9.33203125" style="3" customWidth="1"/>
    <col min="131" max="131" width="11.77734375" style="3" bestFit="1" customWidth="1"/>
    <col min="132" max="132" width="10.33203125" style="3" bestFit="1" customWidth="1"/>
    <col min="133" max="133" width="13" style="3" bestFit="1" customWidth="1"/>
    <col min="134" max="134" width="10.77734375" style="3" bestFit="1" customWidth="1"/>
    <col min="135" max="135" width="14.44140625" style="3" bestFit="1" customWidth="1"/>
    <col min="136" max="136" width="14.44140625" style="3" customWidth="1"/>
    <col min="137" max="137" width="14.44140625" style="3" bestFit="1" customWidth="1"/>
    <col min="138" max="138" width="11.33203125" style="3" bestFit="1" customWidth="1"/>
    <col min="139" max="139" width="15.109375" style="3" bestFit="1" customWidth="1"/>
    <col min="140" max="140" width="9.44140625" style="3" bestFit="1" customWidth="1"/>
    <col min="141" max="141" width="11.109375" style="3" bestFit="1" customWidth="1"/>
    <col min="142" max="142" width="12.7773437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44140625" style="3" bestFit="1" customWidth="1"/>
    <col min="148" max="150" width="9" style="3" bestFit="1" customWidth="1"/>
    <col min="151" max="151" width="8.77734375" style="3"/>
    <col min="152" max="152" width="12.109375" style="3" bestFit="1" customWidth="1"/>
    <col min="153" max="153" width="8.77734375" style="3"/>
    <col min="154" max="155" width="9" style="3" bestFit="1" customWidth="1"/>
    <col min="156" max="156" width="10.6640625" style="3" bestFit="1" customWidth="1"/>
    <col min="157" max="161" width="9.109375" style="3" bestFit="1" customWidth="1"/>
    <col min="162" max="162" width="9.109375" style="3" customWidth="1"/>
    <col min="163" max="163" width="9.109375" style="3" bestFit="1" customWidth="1"/>
    <col min="164" max="164" width="13.44140625" style="3" bestFit="1" customWidth="1"/>
    <col min="165" max="167" width="9" style="3" bestFit="1" customWidth="1"/>
    <col min="168" max="16384" width="8.77734375" style="3"/>
  </cols>
  <sheetData>
    <row r="1" spans="20:20">
      <c r="T1" s="16"/>
    </row>
    <row r="2" spans="20:20">
      <c r="T2" s="16"/>
    </row>
    <row r="3" spans="20:20">
      <c r="T3" s="16"/>
    </row>
    <row r="6" spans="20:20">
      <c r="T6" s="16"/>
    </row>
    <row r="7" spans="20:20">
      <c r="T7" s="16"/>
    </row>
    <row r="8" spans="20:20">
      <c r="T8" s="16"/>
    </row>
    <row r="9" spans="20:20">
      <c r="T9" s="16"/>
    </row>
    <row r="11" spans="20:20">
      <c r="T11" s="16"/>
    </row>
    <row r="12" spans="20:20">
      <c r="T12" s="16"/>
    </row>
    <row r="13" spans="20:20">
      <c r="T13" s="16"/>
    </row>
    <row r="22" spans="14:66">
      <c r="AO22" s="16" t="s">
        <v>193</v>
      </c>
      <c r="AP22" s="3" t="s">
        <v>195</v>
      </c>
      <c r="AQ22" s="3" t="s">
        <v>194</v>
      </c>
    </row>
    <row r="23" spans="14:66" ht="15" customHeight="1">
      <c r="P23" s="414" t="s">
        <v>360</v>
      </c>
      <c r="Q23" s="414"/>
      <c r="BG23" s="16" t="s">
        <v>191</v>
      </c>
      <c r="BH23" s="3" t="s">
        <v>299</v>
      </c>
      <c r="BI23" s="3" t="s">
        <v>300</v>
      </c>
    </row>
    <row r="24" spans="14:66" ht="16.05" customHeight="1" thickBot="1">
      <c r="P24" s="415"/>
      <c r="Q24" s="415"/>
    </row>
    <row r="25" spans="14:66" ht="15.6">
      <c r="P25" s="391" t="s">
        <v>340</v>
      </c>
      <c r="Q25" s="138" t="s">
        <v>314</v>
      </c>
      <c r="AO25" s="401" t="s">
        <v>422</v>
      </c>
      <c r="AP25" s="401"/>
      <c r="AQ25" s="401"/>
      <c r="AR25" s="401"/>
      <c r="AS25" s="401"/>
      <c r="AT25" s="401"/>
      <c r="AU25" s="401"/>
      <c r="BH25" s="401" t="s">
        <v>426</v>
      </c>
      <c r="BI25" s="401"/>
      <c r="BJ25" s="401"/>
      <c r="BK25" s="401"/>
      <c r="BL25" s="401"/>
      <c r="BM25" s="401"/>
      <c r="BN25" s="401"/>
    </row>
    <row r="26" spans="14:66">
      <c r="P26" s="392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5.6">
      <c r="P27" s="139" t="s">
        <v>337</v>
      </c>
      <c r="Q27" s="136">
        <f>(($AG$46*($AN$46-0))/$H$72)</f>
        <v>0.7073466118498688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>
      <c r="N28" s="4"/>
      <c r="O28" s="4"/>
      <c r="P28" s="139" t="s">
        <v>605</v>
      </c>
      <c r="Q28" s="136">
        <f>V42/V59</f>
        <v>1.1491154339468286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5" thickBot="1">
      <c r="N29" s="4"/>
      <c r="O29" s="4"/>
      <c r="P29" s="140" t="s">
        <v>339</v>
      </c>
      <c r="Q29" s="137">
        <f>V46/V59</f>
        <v>0.97030529353160899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5" thickBot="1"/>
    <row r="40" spans="5:80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.600000000000001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.05" customHeight="1" thickBot="1">
      <c r="E42" s="409" t="s">
        <v>408</v>
      </c>
      <c r="F42" s="409"/>
      <c r="G42" s="409"/>
      <c r="H42" s="409"/>
      <c r="J42" s="4"/>
      <c r="K42" s="4"/>
      <c r="L42" s="4"/>
      <c r="M42" s="4"/>
      <c r="N42" s="4"/>
      <c r="O42" s="4"/>
      <c r="P42" s="267"/>
      <c r="Q42" s="267" t="s">
        <v>409</v>
      </c>
      <c r="R42" s="267"/>
      <c r="S42" s="4"/>
      <c r="T42" s="4"/>
      <c r="U42" s="50">
        <f>K52</f>
        <v>1011.7674660019052</v>
      </c>
      <c r="V42" s="48">
        <f>V52</f>
        <v>108184.8596728804</v>
      </c>
      <c r="W42" s="419" t="s">
        <v>401</v>
      </c>
      <c r="X42" s="419"/>
      <c r="Y42" s="419"/>
      <c r="Z42" s="419"/>
      <c r="AA42" s="419"/>
      <c r="AB42" s="4"/>
      <c r="AC42" s="4"/>
      <c r="AD42" s="4"/>
      <c r="AE42" s="4"/>
      <c r="AF42" s="4"/>
      <c r="AG42" s="4"/>
      <c r="AH42" s="4"/>
      <c r="AI42" s="97"/>
      <c r="AJ42" s="4" t="s">
        <v>521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19" t="s">
        <v>534</v>
      </c>
      <c r="AQ42" s="419"/>
      <c r="AR42" s="419"/>
      <c r="AS42" s="419"/>
      <c r="AT42" s="419"/>
      <c r="AV42" s="4"/>
      <c r="AW42" s="4"/>
      <c r="AX42" s="4"/>
      <c r="AY42" s="4"/>
      <c r="AZ42" s="4"/>
      <c r="BA42" s="4"/>
      <c r="BB42" s="4"/>
      <c r="BC42" s="4" t="s">
        <v>520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19" t="s">
        <v>427</v>
      </c>
      <c r="BJ42" s="419"/>
      <c r="BK42" s="419"/>
      <c r="BL42" s="419"/>
      <c r="BM42" s="419"/>
      <c r="BV42" s="3" t="s">
        <v>518</v>
      </c>
      <c r="BZ42" s="50">
        <f>BP48</f>
        <v>1000.0000000000001</v>
      </c>
      <c r="CA42" s="48">
        <f>CA48</f>
        <v>88071.706245154463</v>
      </c>
    </row>
    <row r="43" spans="5:80" ht="16.05" customHeight="1" thickBot="1">
      <c r="E43" s="409"/>
      <c r="F43" s="409"/>
      <c r="G43" s="409"/>
      <c r="H43" s="409"/>
      <c r="J43" s="4"/>
      <c r="K43" s="4"/>
      <c r="L43" s="4"/>
      <c r="M43" s="4"/>
      <c r="N43" s="4"/>
      <c r="O43" s="4"/>
      <c r="P43" s="4"/>
      <c r="Q43" s="4"/>
      <c r="R43" s="4"/>
      <c r="S43" s="4"/>
      <c r="W43" s="426"/>
      <c r="X43" s="426"/>
      <c r="Y43" s="426"/>
      <c r="Z43" s="426"/>
      <c r="AA43" s="42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19"/>
      <c r="AQ43" s="419"/>
      <c r="AR43" s="419"/>
      <c r="AS43" s="419"/>
      <c r="AT43" s="419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19"/>
      <c r="BJ43" s="419"/>
      <c r="BK43" s="419"/>
      <c r="BL43" s="419"/>
      <c r="BM43" s="419"/>
    </row>
    <row r="44" spans="5:80" ht="19.2" customHeight="1">
      <c r="J44" s="4"/>
      <c r="K44" s="1" t="s">
        <v>528</v>
      </c>
      <c r="L44" s="1" t="s">
        <v>529</v>
      </c>
      <c r="M44" s="1" t="s">
        <v>701</v>
      </c>
      <c r="N44" s="1" t="s">
        <v>85</v>
      </c>
      <c r="O44" s="1" t="s">
        <v>628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530</v>
      </c>
      <c r="V44" s="1" t="s">
        <v>50</v>
      </c>
      <c r="W44" s="22" t="s">
        <v>415</v>
      </c>
      <c r="X44" s="100" t="s">
        <v>455</v>
      </c>
      <c r="Y44" s="189" t="s">
        <v>334</v>
      </c>
      <c r="Z44" s="423" t="s">
        <v>340</v>
      </c>
      <c r="AA44" s="138" t="s">
        <v>314</v>
      </c>
      <c r="AB44" s="4"/>
      <c r="AC44" s="4"/>
      <c r="AD44" s="1" t="s">
        <v>528</v>
      </c>
      <c r="AE44" s="1" t="s">
        <v>529</v>
      </c>
      <c r="AF44" s="1" t="s">
        <v>701</v>
      </c>
      <c r="AG44" s="1" t="s">
        <v>85</v>
      </c>
      <c r="AH44" s="1" t="s">
        <v>628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530</v>
      </c>
      <c r="AO44" s="1" t="s">
        <v>50</v>
      </c>
      <c r="AP44" s="22" t="s">
        <v>415</v>
      </c>
      <c r="AQ44" s="22" t="s">
        <v>455</v>
      </c>
      <c r="AR44" s="159" t="s">
        <v>334</v>
      </c>
      <c r="AS44" s="391" t="s">
        <v>340</v>
      </c>
      <c r="AT44" s="138" t="s">
        <v>314</v>
      </c>
      <c r="AU44" s="4"/>
      <c r="AV44" s="4"/>
      <c r="AW44" s="1" t="s">
        <v>528</v>
      </c>
      <c r="AX44" s="1" t="s">
        <v>529</v>
      </c>
      <c r="AY44" s="1" t="s">
        <v>701</v>
      </c>
      <c r="AZ44" s="1" t="s">
        <v>85</v>
      </c>
      <c r="BA44" s="1" t="s">
        <v>628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530</v>
      </c>
      <c r="BH44" s="1" t="s">
        <v>50</v>
      </c>
      <c r="BI44" s="22" t="s">
        <v>415</v>
      </c>
      <c r="BJ44" s="22" t="s">
        <v>455</v>
      </c>
      <c r="BK44" s="189" t="s">
        <v>334</v>
      </c>
      <c r="BL44" s="391" t="s">
        <v>340</v>
      </c>
      <c r="BM44" s="138" t="s">
        <v>314</v>
      </c>
      <c r="BN44" s="1"/>
      <c r="BO44" s="4"/>
      <c r="BP44" s="1" t="s">
        <v>528</v>
      </c>
      <c r="BQ44" s="1" t="s">
        <v>529</v>
      </c>
      <c r="BR44" s="1" t="s">
        <v>701</v>
      </c>
      <c r="BS44" s="1" t="s">
        <v>85</v>
      </c>
      <c r="BT44" s="1" t="s">
        <v>628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530</v>
      </c>
      <c r="CA44" s="1" t="s">
        <v>50</v>
      </c>
      <c r="CB44" s="1"/>
    </row>
    <row r="45" spans="5:80" ht="19.2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424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92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92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.05" customHeight="1" thickBot="1">
      <c r="I46" s="389" t="s">
        <v>409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4">
        <f>AO63</f>
        <v>2244.7960862667505</v>
      </c>
      <c r="X46" s="101">
        <f>SUM(V42,V59,V72) -AO63-AO42</f>
        <v>92026.437429115918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89" t="s">
        <v>521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89" t="s">
        <v>520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4">
        <f>CA55</f>
        <v>21722.892325740406</v>
      </c>
      <c r="BJ46" s="104">
        <f>BH42+BN35-CA42-CA55</f>
        <v>11016.359928324211</v>
      </c>
      <c r="BK46" s="191">
        <f>BZ42+BZ55-BG42</f>
        <v>0</v>
      </c>
      <c r="BL46" s="139" t="s">
        <v>337</v>
      </c>
      <c r="BM46" s="136">
        <f>((BS46*(BZ46-BG46))/BN35)</f>
        <v>0.10280653813967069</v>
      </c>
      <c r="BN46" s="389" t="s">
        <v>518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.2">
      <c r="I47" s="389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605</v>
      </c>
      <c r="AA47" s="136">
        <f>($AO$42+AO63)/(V59+V72+$V$42)</f>
        <v>0.54544989987759507</v>
      </c>
      <c r="AB47" s="389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605</v>
      </c>
      <c r="AT47" s="136">
        <f>BH42/(AU28+AO42)</f>
        <v>0.15068009543796188</v>
      </c>
      <c r="AU47" s="389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605</v>
      </c>
      <c r="BM47" s="136">
        <f>(CA42+CA55)/(BN35+BH42)</f>
        <v>0.90881323958376325</v>
      </c>
      <c r="BN47" s="389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>
      <c r="I48" s="389" t="s">
        <v>523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40" t="s">
        <v>394</v>
      </c>
      <c r="AA48" s="137">
        <f>$AO$46/(V59+V72+$V$42)</f>
        <v>0.45121172554462574</v>
      </c>
      <c r="AB48" s="389" t="s">
        <v>522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40" t="s">
        <v>394</v>
      </c>
      <c r="AT48" s="137">
        <f>BH46/(AU28+AO42)</f>
        <v>0.12723325256465715</v>
      </c>
      <c r="AU48" s="389" t="s">
        <v>519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40" t="s">
        <v>394</v>
      </c>
      <c r="BM48" s="137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9.2">
      <c r="I49" s="389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89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89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89</v>
      </c>
      <c r="BR49" s="3" t="s">
        <v>91</v>
      </c>
      <c r="BS49" s="3" t="s">
        <v>87</v>
      </c>
      <c r="BT49" s="1" t="s">
        <v>629</v>
      </c>
      <c r="BU49" s="4"/>
      <c r="BV49" s="4"/>
      <c r="BZ49" s="3" t="s">
        <v>96</v>
      </c>
      <c r="CA49" s="1" t="s">
        <v>93</v>
      </c>
    </row>
    <row r="50" spans="2:86">
      <c r="I50" s="389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89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89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>
      <c r="I51" s="389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89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89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5" thickBot="1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2" t="s">
        <v>554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2" t="s">
        <v>554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2" t="s">
        <v>554</v>
      </c>
    </row>
    <row r="53" spans="2:86" ht="19.2">
      <c r="J53" s="4"/>
      <c r="K53" s="1" t="s">
        <v>89</v>
      </c>
      <c r="L53" s="4"/>
      <c r="M53" s="3" t="s">
        <v>91</v>
      </c>
      <c r="N53" s="3" t="s">
        <v>87</v>
      </c>
      <c r="O53" s="1" t="s">
        <v>629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556</v>
      </c>
      <c r="Z53" s="1" t="s">
        <v>556</v>
      </c>
      <c r="AA53" s="1" t="s">
        <v>556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629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556</v>
      </c>
      <c r="AS53" s="1" t="s">
        <v>556</v>
      </c>
      <c r="AT53" s="1" t="s">
        <v>556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629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556</v>
      </c>
      <c r="BK53" s="1" t="s">
        <v>556</v>
      </c>
      <c r="BL53" s="1" t="s">
        <v>556</v>
      </c>
      <c r="BZ53" s="63" t="s">
        <v>1</v>
      </c>
      <c r="CA53" s="58" t="s">
        <v>0</v>
      </c>
    </row>
    <row r="54" spans="2:86" ht="18.600000000000001">
      <c r="T54" s="4"/>
      <c r="X54" s="4" t="s">
        <v>60</v>
      </c>
      <c r="Y54" s="3" t="s">
        <v>555</v>
      </c>
      <c r="Z54" s="3" t="s">
        <v>555</v>
      </c>
      <c r="AA54" s="3" t="s">
        <v>555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555</v>
      </c>
      <c r="AS54" s="3" t="s">
        <v>555</v>
      </c>
      <c r="AT54" s="3" t="s">
        <v>555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555</v>
      </c>
      <c r="BK54" s="3" t="s">
        <v>555</v>
      </c>
      <c r="BL54" s="3" t="s">
        <v>555</v>
      </c>
      <c r="BZ54" s="65" t="s">
        <v>89</v>
      </c>
      <c r="CA54" s="64" t="s">
        <v>93</v>
      </c>
    </row>
    <row r="55" spans="2:86" ht="16.2" thickBot="1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517</v>
      </c>
      <c r="BZ55" s="50">
        <f>BP63</f>
        <v>11.767466001905108</v>
      </c>
      <c r="CA55" s="48">
        <f>CA63</f>
        <v>21722.892325740406</v>
      </c>
    </row>
    <row r="56" spans="2:86" ht="16.2" thickBot="1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9.2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528</v>
      </c>
      <c r="BQ57" s="1" t="s">
        <v>529</v>
      </c>
      <c r="BR57" s="1" t="s">
        <v>701</v>
      </c>
      <c r="BS57" s="1" t="s">
        <v>85</v>
      </c>
      <c r="BT57" s="1" t="s">
        <v>628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530</v>
      </c>
      <c r="CA57" s="1" t="s">
        <v>50</v>
      </c>
      <c r="CG57" s="132"/>
      <c r="CH57" s="132"/>
    </row>
    <row r="58" spans="2:86" ht="18" customHeight="1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545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89" t="s">
        <v>517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6.2" thickBot="1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89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9.2">
      <c r="B61" s="394" t="s">
        <v>462</v>
      </c>
      <c r="C61" s="394"/>
      <c r="D61" s="394"/>
      <c r="E61" s="394"/>
      <c r="F61" s="394"/>
      <c r="G61" s="394"/>
      <c r="H61" s="394"/>
      <c r="J61" s="4"/>
      <c r="K61" s="3" t="s">
        <v>533</v>
      </c>
      <c r="L61" s="1" t="s">
        <v>528</v>
      </c>
      <c r="M61" s="1" t="s">
        <v>701</v>
      </c>
      <c r="N61" s="1" t="s">
        <v>85</v>
      </c>
      <c r="O61" s="1" t="s">
        <v>628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530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89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9.2">
      <c r="B62" s="407"/>
      <c r="C62" s="407"/>
      <c r="D62" s="407"/>
      <c r="E62" s="407"/>
      <c r="F62" s="407"/>
      <c r="G62" s="407"/>
      <c r="H62" s="407"/>
      <c r="J62" s="4" t="s">
        <v>41</v>
      </c>
      <c r="K62" s="3" t="s">
        <v>532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619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89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6.8" thickBot="1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545</v>
      </c>
      <c r="J63" s="62" t="s">
        <v>465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488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9.2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629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9.2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629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528</v>
      </c>
      <c r="AE65" s="1" t="s">
        <v>529</v>
      </c>
      <c r="AF65" s="1" t="s">
        <v>701</v>
      </c>
      <c r="AG65" s="1" t="s">
        <v>85</v>
      </c>
      <c r="AH65" s="1" t="s">
        <v>628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9.2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6.2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89" t="s">
        <v>488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6.95" customHeight="1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89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.8" thickBot="1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89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5.6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89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9.2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629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5" thickBot="1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499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9.2">
      <c r="E74" s="394" t="s">
        <v>493</v>
      </c>
      <c r="F74" s="394"/>
      <c r="G74" s="394"/>
      <c r="H74" s="394"/>
      <c r="K74" s="1" t="s">
        <v>528</v>
      </c>
      <c r="L74" s="1" t="s">
        <v>529</v>
      </c>
      <c r="M74" s="1" t="s">
        <v>701</v>
      </c>
      <c r="N74" s="1" t="s">
        <v>85</v>
      </c>
      <c r="O74" s="1" t="s">
        <v>628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9.2">
      <c r="E75" s="394"/>
      <c r="F75" s="394"/>
      <c r="G75" s="394"/>
      <c r="H75" s="394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9.2">
      <c r="I76" s="389" t="s">
        <v>499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9.2">
      <c r="I77" s="389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5.6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9.2">
      <c r="K79" s="1"/>
      <c r="L79" s="1"/>
      <c r="M79" s="3" t="s">
        <v>91</v>
      </c>
      <c r="N79" s="3" t="s">
        <v>87</v>
      </c>
      <c r="O79" s="1" t="s">
        <v>629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5" thickBot="1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8" customHeight="1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" customHeight="1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" customHeight="1" thickBot="1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391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.600000000000001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" customHeight="1" thickBot="1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490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8.4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9.2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94" t="s">
        <v>489</v>
      </c>
      <c r="DU103" s="394"/>
      <c r="DV103" s="394"/>
      <c r="DW103" s="394"/>
      <c r="DX103" s="394"/>
      <c r="DY103" s="394"/>
      <c r="EA103" s="4"/>
      <c r="EB103" s="3" t="s">
        <v>533</v>
      </c>
      <c r="EC103" s="1" t="s">
        <v>528</v>
      </c>
      <c r="ED103" s="3" t="s">
        <v>5</v>
      </c>
      <c r="EE103" s="1" t="s">
        <v>85</v>
      </c>
      <c r="EF103" s="1" t="s">
        <v>628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.8" thickBot="1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407"/>
      <c r="DU104" s="407"/>
      <c r="DV104" s="407"/>
      <c r="DW104" s="407"/>
      <c r="DX104" s="407"/>
      <c r="DY104" s="407"/>
      <c r="EA104" s="4" t="s">
        <v>41</v>
      </c>
      <c r="EB104" s="3" t="s">
        <v>532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536</v>
      </c>
      <c r="FL104" s="50">
        <f>FB109</f>
        <v>229.94813284002646</v>
      </c>
      <c r="FM104" s="48">
        <f>FM109</f>
        <v>67875.356217847453</v>
      </c>
    </row>
    <row r="105" spans="16:169" ht="18.45" customHeight="1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490</v>
      </c>
      <c r="EA105" s="96" t="s">
        <v>481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529</v>
      </c>
      <c r="FD106" s="1" t="s">
        <v>701</v>
      </c>
      <c r="FE106" s="1" t="s">
        <v>85</v>
      </c>
      <c r="FF106" s="1" t="s">
        <v>628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530</v>
      </c>
      <c r="FM106" s="1" t="s">
        <v>50</v>
      </c>
    </row>
    <row r="107" spans="16:169" ht="19.2" customHeight="1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629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531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9.2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536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5.6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" customHeight="1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420" t="s">
        <v>422</v>
      </c>
      <c r="AP110" s="416"/>
      <c r="AQ110" s="416"/>
      <c r="AR110" s="416"/>
      <c r="AS110" s="416"/>
      <c r="AT110" s="416"/>
      <c r="AU110" s="41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416" t="s">
        <v>426</v>
      </c>
      <c r="BH110" s="416"/>
      <c r="BI110" s="416"/>
      <c r="BJ110" s="416"/>
      <c r="BK110" s="416"/>
      <c r="BL110" s="416"/>
      <c r="BM110" s="41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629</v>
      </c>
      <c r="FG110" s="4"/>
      <c r="FH110" s="4"/>
      <c r="FL110" s="3" t="s">
        <v>96</v>
      </c>
      <c r="FM110" s="1" t="s">
        <v>93</v>
      </c>
    </row>
    <row r="111" spans="16:169" ht="19.95" customHeight="1" thickBot="1">
      <c r="P111" s="421" t="s">
        <v>360</v>
      </c>
      <c r="Q111" s="421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.05" customHeight="1" thickBot="1">
      <c r="P112" s="422"/>
      <c r="Q112" s="422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.600000000000001">
      <c r="P113" s="391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6.2" thickBot="1">
      <c r="P114" s="392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506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453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416" t="s">
        <v>428</v>
      </c>
      <c r="EQ114" s="416"/>
      <c r="ER114" s="416"/>
      <c r="ES114" s="416"/>
      <c r="ET114" s="416"/>
      <c r="EU114" s="416"/>
    </row>
    <row r="115" spans="5:176" ht="15.6">
      <c r="P115" s="139" t="s">
        <v>337</v>
      </c>
      <c r="Q115" s="136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" customHeight="1" thickBot="1">
      <c r="N116" s="6"/>
      <c r="O116" s="6"/>
      <c r="P116" s="139" t="s">
        <v>605</v>
      </c>
      <c r="Q116" s="136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528</v>
      </c>
      <c r="CM116" s="1" t="s">
        <v>529</v>
      </c>
      <c r="CN116" s="1" t="s">
        <v>701</v>
      </c>
      <c r="CO116" s="1" t="s">
        <v>85</v>
      </c>
      <c r="CP116" s="1" t="s">
        <v>628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530</v>
      </c>
      <c r="CW116" s="1" t="s">
        <v>50</v>
      </c>
      <c r="CX116" s="6"/>
      <c r="CY116" s="4"/>
      <c r="DB116" s="4"/>
      <c r="DC116" s="4"/>
      <c r="DT116" s="394" t="s">
        <v>452</v>
      </c>
      <c r="DU116" s="394"/>
      <c r="DV116" s="394"/>
      <c r="DW116" s="394"/>
      <c r="DX116" s="394"/>
      <c r="DY116" s="394"/>
      <c r="EA116" s="4"/>
      <c r="EB116" s="3" t="s">
        <v>533</v>
      </c>
      <c r="EC116" s="1" t="s">
        <v>528</v>
      </c>
      <c r="ED116" s="1" t="s">
        <v>701</v>
      </c>
      <c r="EE116" s="1" t="s">
        <v>85</v>
      </c>
      <c r="EF116" s="1" t="s">
        <v>628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530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.8" thickBot="1">
      <c r="N117" s="6"/>
      <c r="O117" s="6"/>
      <c r="P117" s="140" t="s">
        <v>339</v>
      </c>
      <c r="Q117" s="137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407"/>
      <c r="DU117" s="407"/>
      <c r="DV117" s="407"/>
      <c r="DW117" s="407"/>
      <c r="DX117" s="407"/>
      <c r="DY117" s="407"/>
      <c r="EA117" s="4" t="s">
        <v>41</v>
      </c>
      <c r="EB117" s="3" t="s">
        <v>532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6.2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506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453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9.2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629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629</v>
      </c>
      <c r="EG120" s="4"/>
      <c r="EH120" s="4"/>
      <c r="EL120" s="3" t="s">
        <v>96</v>
      </c>
      <c r="EM120" s="1" t="s">
        <v>93</v>
      </c>
    </row>
    <row r="121" spans="5:176" ht="19.2" customHeight="1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6.2" thickBot="1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6.2" thickBot="1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5.6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.2" thickBot="1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504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" customHeight="1" thickBot="1">
      <c r="E126" s="409" t="s">
        <v>492</v>
      </c>
      <c r="F126" s="409"/>
      <c r="G126" s="409"/>
      <c r="H126" s="409"/>
      <c r="J126" s="6"/>
      <c r="K126" s="121"/>
      <c r="L126" s="6"/>
      <c r="M126" s="6"/>
      <c r="N126" s="6"/>
      <c r="O126" s="6"/>
      <c r="P126" s="6"/>
      <c r="Q126" s="6" t="s">
        <v>411</v>
      </c>
      <c r="R126" s="6"/>
      <c r="S126" s="6"/>
      <c r="T126" s="6"/>
      <c r="U126" s="122">
        <f>K132</f>
        <v>208.55560337725498</v>
      </c>
      <c r="V126" s="123">
        <f>V132</f>
        <v>25297.051877142174</v>
      </c>
      <c r="W126" s="417" t="s">
        <v>402</v>
      </c>
      <c r="X126" s="417"/>
      <c r="Y126" s="417"/>
      <c r="Z126" s="417"/>
      <c r="AA126" s="417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491</v>
      </c>
      <c r="AL126" s="6"/>
      <c r="AM126" s="6"/>
      <c r="AN126" s="6"/>
      <c r="AO126" s="122">
        <f>AE132</f>
        <v>208.55560337725498</v>
      </c>
      <c r="AP126" s="123">
        <f>AP132</f>
        <v>25297.051877142174</v>
      </c>
      <c r="AQ126" s="417" t="s">
        <v>514</v>
      </c>
      <c r="AR126" s="417"/>
      <c r="AS126" s="417"/>
      <c r="AT126" s="417"/>
      <c r="AU126" s="417"/>
      <c r="AV126" s="6"/>
      <c r="AW126" s="6"/>
      <c r="AX126" s="121"/>
      <c r="AY126" s="6"/>
      <c r="AZ126" s="6"/>
      <c r="BA126" s="6"/>
      <c r="BB126" s="6"/>
      <c r="BC126" s="6"/>
      <c r="BD126" s="6" t="s">
        <v>515</v>
      </c>
      <c r="BE126" s="6"/>
      <c r="BF126" s="6"/>
      <c r="BG126" s="6"/>
      <c r="BH126" s="122">
        <f>AX132</f>
        <v>208.55560337725498</v>
      </c>
      <c r="BI126" s="123">
        <f>BI132</f>
        <v>25297.051877142174</v>
      </c>
      <c r="BJ126" s="417" t="s">
        <v>424</v>
      </c>
      <c r="BK126" s="417"/>
      <c r="BL126" s="417"/>
      <c r="BM126" s="417"/>
      <c r="BN126" s="417"/>
      <c r="BO126" s="6"/>
      <c r="BP126" s="6"/>
      <c r="BQ126" s="121"/>
      <c r="BR126" s="6"/>
      <c r="BS126" s="6"/>
      <c r="BT126" s="6"/>
      <c r="BU126" s="6"/>
      <c r="BV126" s="6"/>
      <c r="BW126" s="6" t="s">
        <v>458</v>
      </c>
      <c r="BX126" s="6"/>
      <c r="BY126" s="6"/>
      <c r="BZ126" s="6"/>
      <c r="CA126" s="122">
        <f>BQ132</f>
        <v>208.55560337725498</v>
      </c>
      <c r="CB126" s="123">
        <f>CB132</f>
        <v>25297.051877142174</v>
      </c>
      <c r="CC126" s="417" t="s">
        <v>425</v>
      </c>
      <c r="CD126" s="417"/>
      <c r="CE126" s="417"/>
      <c r="CF126" s="417"/>
      <c r="CG126" s="417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403" t="s">
        <v>81</v>
      </c>
      <c r="DT126" s="403"/>
      <c r="DU126" s="403"/>
      <c r="DV126" s="403"/>
      <c r="DW126" s="403"/>
      <c r="DX126" s="403"/>
      <c r="DY126" s="403"/>
      <c r="EG126" s="3" t="s">
        <v>524</v>
      </c>
      <c r="EL126" s="170">
        <f>EB134</f>
        <v>1314.2879334772852</v>
      </c>
      <c r="EM126" s="171">
        <f>EM134</f>
        <v>6682782.3361421349</v>
      </c>
      <c r="EN126" s="393" t="s">
        <v>413</v>
      </c>
      <c r="EO126" s="393"/>
      <c r="EP126" s="393"/>
      <c r="EQ126" s="393"/>
      <c r="ER126" s="393"/>
      <c r="ES126" s="393"/>
      <c r="ET126" s="393"/>
      <c r="EY126" s="1"/>
      <c r="EZ126" s="1"/>
      <c r="FA126" s="1"/>
      <c r="FB126" s="1"/>
      <c r="FC126" s="1"/>
      <c r="FD126" s="1"/>
      <c r="FE126" s="3" t="s">
        <v>525</v>
      </c>
      <c r="FL126" s="50">
        <f>FB131</f>
        <v>616.23583583508366</v>
      </c>
      <c r="FM126" s="48">
        <f>FM131</f>
        <v>4157895.2984628798</v>
      </c>
      <c r="FN126" s="393" t="s">
        <v>407</v>
      </c>
      <c r="FO126" s="393"/>
      <c r="FP126" s="393"/>
      <c r="FQ126" s="393"/>
      <c r="FR126" s="393"/>
      <c r="FS126" s="393"/>
      <c r="FT126" s="393"/>
    </row>
    <row r="127" spans="5:176" ht="16.2" customHeight="1" thickBot="1">
      <c r="E127" s="409"/>
      <c r="F127" s="409"/>
      <c r="G127" s="409"/>
      <c r="H127" s="40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18"/>
      <c r="X127" s="418"/>
      <c r="Y127" s="418"/>
      <c r="Z127" s="418"/>
      <c r="AA127" s="418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17"/>
      <c r="AR127" s="417"/>
      <c r="AS127" s="417"/>
      <c r="AT127" s="417"/>
      <c r="AU127" s="41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17"/>
      <c r="BK127" s="417"/>
      <c r="BL127" s="417"/>
      <c r="BM127" s="417"/>
      <c r="BN127" s="41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17"/>
      <c r="CD127" s="417"/>
      <c r="CE127" s="417"/>
      <c r="CF127" s="417"/>
      <c r="CG127" s="417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403"/>
      <c r="DT127" s="403"/>
      <c r="DU127" s="403"/>
      <c r="DV127" s="403"/>
      <c r="DW127" s="403"/>
      <c r="DX127" s="403"/>
      <c r="DY127" s="403"/>
      <c r="EN127" s="393"/>
      <c r="EO127" s="393"/>
      <c r="EP127" s="393"/>
      <c r="EQ127" s="393"/>
      <c r="ER127" s="393"/>
      <c r="ES127" s="393"/>
      <c r="ET127" s="393"/>
      <c r="EY127" s="1"/>
      <c r="EZ127" s="1"/>
      <c r="FA127" s="1"/>
      <c r="FB127" s="1"/>
      <c r="FC127" s="1"/>
      <c r="FD127" s="1"/>
      <c r="FE127" s="1"/>
      <c r="FF127" s="1"/>
      <c r="FG127" s="1"/>
      <c r="FN127" s="393"/>
      <c r="FO127" s="393"/>
      <c r="FP127" s="393"/>
      <c r="FQ127" s="393"/>
      <c r="FR127" s="393"/>
      <c r="FS127" s="393"/>
      <c r="FT127" s="393"/>
    </row>
    <row r="128" spans="5:176" ht="19.8" customHeight="1" thickBot="1">
      <c r="J128" s="4"/>
      <c r="K128" s="1" t="s">
        <v>528</v>
      </c>
      <c r="L128" s="1" t="s">
        <v>529</v>
      </c>
      <c r="M128" s="1" t="s">
        <v>701</v>
      </c>
      <c r="N128" s="1" t="s">
        <v>85</v>
      </c>
      <c r="O128" s="1" t="s">
        <v>628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530</v>
      </c>
      <c r="V128" s="1" t="s">
        <v>50</v>
      </c>
      <c r="W128" s="22" t="s">
        <v>415</v>
      </c>
      <c r="X128" s="100" t="s">
        <v>455</v>
      </c>
      <c r="Y128" s="135" t="s">
        <v>344</v>
      </c>
      <c r="Z128" s="391" t="s">
        <v>340</v>
      </c>
      <c r="AA128" s="138" t="s">
        <v>314</v>
      </c>
      <c r="AB128" s="1"/>
      <c r="AC128" s="6"/>
      <c r="AD128" s="4"/>
      <c r="AE128" s="1" t="s">
        <v>528</v>
      </c>
      <c r="AF128" s="1" t="s">
        <v>529</v>
      </c>
      <c r="AG128" s="1" t="s">
        <v>701</v>
      </c>
      <c r="AH128" s="1" t="s">
        <v>85</v>
      </c>
      <c r="AI128" s="1" t="s">
        <v>628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530</v>
      </c>
      <c r="AP128" s="1" t="s">
        <v>50</v>
      </c>
      <c r="AQ128" s="22" t="s">
        <v>415</v>
      </c>
      <c r="AR128" s="100" t="s">
        <v>455</v>
      </c>
      <c r="AS128" s="135" t="s">
        <v>344</v>
      </c>
      <c r="AT128" s="391" t="s">
        <v>340</v>
      </c>
      <c r="AU128" s="138" t="s">
        <v>314</v>
      </c>
      <c r="AV128" s="1"/>
      <c r="AW128" s="4"/>
      <c r="AX128" s="1" t="s">
        <v>528</v>
      </c>
      <c r="AY128" s="1" t="s">
        <v>529</v>
      </c>
      <c r="AZ128" s="1" t="s">
        <v>701</v>
      </c>
      <c r="BA128" s="1" t="s">
        <v>85</v>
      </c>
      <c r="BB128" s="1" t="s">
        <v>628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530</v>
      </c>
      <c r="BI128" s="1" t="s">
        <v>50</v>
      </c>
      <c r="BJ128" s="22" t="s">
        <v>415</v>
      </c>
      <c r="BK128" s="100" t="s">
        <v>455</v>
      </c>
      <c r="BL128" s="135" t="s">
        <v>344</v>
      </c>
      <c r="BM128" s="391" t="s">
        <v>340</v>
      </c>
      <c r="BN128" s="138" t="s">
        <v>314</v>
      </c>
      <c r="BO128" s="1"/>
      <c r="BP128" s="4"/>
      <c r="BQ128" s="1" t="s">
        <v>528</v>
      </c>
      <c r="BR128" s="1" t="s">
        <v>529</v>
      </c>
      <c r="BS128" s="1" t="s">
        <v>701</v>
      </c>
      <c r="BT128" s="1" t="s">
        <v>85</v>
      </c>
      <c r="BU128" s="1" t="s">
        <v>628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530</v>
      </c>
      <c r="CB128" s="1" t="s">
        <v>50</v>
      </c>
      <c r="CC128" s="22" t="s">
        <v>415</v>
      </c>
      <c r="CD128" s="100" t="s">
        <v>455</v>
      </c>
      <c r="CE128" s="135" t="s">
        <v>344</v>
      </c>
      <c r="CF128" s="391" t="s">
        <v>340</v>
      </c>
      <c r="CG128" s="138" t="s">
        <v>314</v>
      </c>
      <c r="CH128" s="113"/>
      <c r="CI128" s="113"/>
      <c r="CJ128" s="113"/>
      <c r="CK128" s="4"/>
      <c r="CL128" s="1" t="s">
        <v>528</v>
      </c>
      <c r="CM128" s="1" t="s">
        <v>529</v>
      </c>
      <c r="CN128" s="1" t="s">
        <v>701</v>
      </c>
      <c r="CO128" s="1" t="s">
        <v>85</v>
      </c>
      <c r="CP128" s="1" t="s">
        <v>628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530</v>
      </c>
      <c r="CW128" s="1" t="s">
        <v>50</v>
      </c>
      <c r="DS128" s="403"/>
      <c r="DT128" s="403"/>
      <c r="DU128" s="403"/>
      <c r="DV128" s="403"/>
      <c r="DW128" s="403"/>
      <c r="DX128" s="403"/>
      <c r="DY128" s="403"/>
      <c r="EA128" s="4"/>
      <c r="EB128" s="1" t="s">
        <v>528</v>
      </c>
      <c r="EC128" s="1" t="s">
        <v>529</v>
      </c>
      <c r="ED128" s="1" t="s">
        <v>701</v>
      </c>
      <c r="EE128" s="1" t="s">
        <v>85</v>
      </c>
      <c r="EF128" s="1" t="s">
        <v>628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530</v>
      </c>
      <c r="EM128" s="1" t="s">
        <v>50</v>
      </c>
      <c r="EN128" s="393"/>
      <c r="EO128" s="393"/>
      <c r="EP128" s="393"/>
      <c r="EQ128" s="393"/>
      <c r="ER128" s="393"/>
      <c r="ES128" s="393"/>
      <c r="ET128" s="393"/>
      <c r="EZ128" s="1"/>
      <c r="FA128" s="1"/>
      <c r="FB128" s="1" t="s">
        <v>528</v>
      </c>
      <c r="FC128" s="1" t="s">
        <v>529</v>
      </c>
      <c r="FD128" s="1" t="s">
        <v>701</v>
      </c>
      <c r="FE128" s="1" t="s">
        <v>85</v>
      </c>
      <c r="FF128" s="1" t="s">
        <v>628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530</v>
      </c>
      <c r="FM128" s="1" t="s">
        <v>50</v>
      </c>
      <c r="FN128" s="393"/>
      <c r="FO128" s="393"/>
      <c r="FP128" s="393"/>
      <c r="FQ128" s="393"/>
      <c r="FR128" s="393"/>
      <c r="FS128" s="393"/>
      <c r="FT128" s="393"/>
    </row>
    <row r="129" spans="2:171" ht="19.2" customHeight="1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92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92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92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92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415</v>
      </c>
      <c r="DU129" s="22" t="s">
        <v>455</v>
      </c>
      <c r="DV129" s="159" t="s">
        <v>334</v>
      </c>
      <c r="DW129" s="404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531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415</v>
      </c>
      <c r="EP129" s="22" t="s">
        <v>455</v>
      </c>
      <c r="EQ129" s="189" t="s">
        <v>334</v>
      </c>
      <c r="ER129" s="395" t="s">
        <v>340</v>
      </c>
      <c r="ES129" s="102" t="s">
        <v>314</v>
      </c>
      <c r="FA129" s="2" t="s">
        <v>41</v>
      </c>
      <c r="FB129" s="1" t="s">
        <v>88</v>
      </c>
      <c r="FC129" s="1" t="s">
        <v>531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.8" thickBot="1">
      <c r="I130" s="397" t="s">
        <v>411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4">
        <f>AP142</f>
        <v>6.7177820097776806</v>
      </c>
      <c r="X130" s="124">
        <f>SUM(V126,V140,V163,V151)-$AP$126-AP142</f>
        <v>275.72728743553762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97" t="s">
        <v>491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97" t="s">
        <v>515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97" t="s">
        <v>503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4">
        <f>CW114+CW138</f>
        <v>94961.386511485034</v>
      </c>
      <c r="CD130" s="124">
        <f>CB126+CB140+CB152-CW114-CW126-CW138</f>
        <v>1642067.5780806448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504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405"/>
      <c r="DX130" s="136" t="s">
        <v>82</v>
      </c>
      <c r="DY130" s="4"/>
      <c r="DZ130" s="397" t="s">
        <v>524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-3.9522795360119272</v>
      </c>
      <c r="EK130" s="174">
        <f>EG130+EJ130</f>
        <v>13.406120463988147</v>
      </c>
      <c r="EL130" s="174">
        <f>EK130*EH130</f>
        <v>2.7196099678002228</v>
      </c>
      <c r="EM130" s="174">
        <f>$EE$134*EL130</f>
        <v>73966.620551809072</v>
      </c>
      <c r="EO130" s="210" t="s">
        <v>48</v>
      </c>
      <c r="EP130" s="9" t="s">
        <v>48</v>
      </c>
      <c r="EQ130" s="9" t="s">
        <v>89</v>
      </c>
      <c r="ER130" s="396"/>
      <c r="ES130" s="136" t="s">
        <v>82</v>
      </c>
      <c r="EZ130" s="219" t="s">
        <v>525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.8" thickBot="1">
      <c r="I131" s="397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605</v>
      </c>
      <c r="AA131" s="136">
        <f>($AP$126+AP142)/(SUM(V126,V140,V163,V151))</f>
        <v>0.98922076974338935</v>
      </c>
      <c r="AB131" s="4"/>
      <c r="AC131" s="397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605</v>
      </c>
      <c r="AU131" s="136">
        <f>BI126/(AU113+AP126)</f>
        <v>0.89954868347015648</v>
      </c>
      <c r="AV131" s="397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605</v>
      </c>
      <c r="BN131" s="136">
        <f>CB126/(BM113+BI126)</f>
        <v>0.99884664645418608</v>
      </c>
      <c r="BO131" s="397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3"/>
      <c r="CD131" s="6"/>
      <c r="CF131" s="139" t="s">
        <v>605</v>
      </c>
      <c r="CG131" s="136">
        <f>(CW138+CW126+CW114)/(CB140+CB126+CB152)</f>
        <v>0.17027276068302746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55594.067320963368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97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-6.4918700587268221</v>
      </c>
      <c r="EK131" s="176">
        <f t="shared" ref="EK131:EK133" si="48">EG131+EJ131</f>
        <v>-4.9658700587267548</v>
      </c>
      <c r="EL131" s="176">
        <f t="shared" ref="EL131:EL133" si="49">EK131*EH131</f>
        <v>-0.36143743124995742</v>
      </c>
      <c r="EM131" s="176">
        <f>$EE$134*EL131</f>
        <v>-9830.1983177795246</v>
      </c>
      <c r="EO131" s="104">
        <f>FM141+FM104</f>
        <v>472084.51440660493</v>
      </c>
      <c r="EP131" s="277">
        <f>SUM(EM101,EM114,EM126,EM140,EM152)-(FM126+FM141+FM104)</f>
        <v>7253543.9652409712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.8" thickBot="1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40" t="s">
        <v>394</v>
      </c>
      <c r="AA132" s="137">
        <f>$AP$130/(SUM(V126,V140,V163,V151))</f>
        <v>0.85952404667389759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40" t="s">
        <v>394</v>
      </c>
      <c r="AU132" s="137">
        <f>BI130/(AU113+AP126)</f>
        <v>0.78181642740498758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40" t="s">
        <v>394</v>
      </c>
      <c r="BN132" s="137">
        <f>CB130/(BM113+BI126)</f>
        <v>0.86811834757376105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12.027717183038042</v>
      </c>
      <c r="CB132" s="27">
        <f>SUM(CB130:CB131)</f>
        <v>25297.051877142174</v>
      </c>
      <c r="CC132" s="113"/>
      <c r="CD132" s="113"/>
      <c r="CF132" s="140" t="s">
        <v>394</v>
      </c>
      <c r="CG132" s="137">
        <f>CW130/(CB126+CB152+CB140)</f>
        <v>0.1222893219234706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629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605</v>
      </c>
      <c r="DX132" s="103">
        <f>EM126/(CW126+CW206+CA42)</f>
        <v>0.99174963463121601</v>
      </c>
      <c r="DY132" s="4"/>
      <c r="DZ132" s="397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-6.4918700587268221</v>
      </c>
      <c r="EK132" s="176">
        <f t="shared" si="48"/>
        <v>115.76612994127311</v>
      </c>
      <c r="EL132" s="176">
        <f t="shared" si="49"/>
        <v>8.4259580168013581</v>
      </c>
      <c r="EM132" s="176">
        <f>$EE$134*EL132</f>
        <v>229165.08131433709</v>
      </c>
      <c r="EP132" s="4"/>
      <c r="EQ132" s="4"/>
      <c r="ER132" s="139" t="s">
        <v>605</v>
      </c>
      <c r="ES132" s="103">
        <f>SUM(FM104,FM126,FM141)/SUM(EU117,EM101,EM114,EM126,EM140,EM152)</f>
        <v>0.37943022424115741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629</v>
      </c>
      <c r="FG132" s="4"/>
      <c r="FH132" s="4"/>
      <c r="FL132" s="3" t="s">
        <v>96</v>
      </c>
      <c r="FM132" s="1" t="s">
        <v>93</v>
      </c>
    </row>
    <row r="133" spans="2:171" ht="19.8" thickBot="1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629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629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629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629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394</v>
      </c>
      <c r="DX133" s="99">
        <f>EM130/(CW126+CW206+CA42)</f>
        <v>1.0976920273227081E-2</v>
      </c>
      <c r="DY133" s="4"/>
      <c r="DZ133" s="397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-1.0613259633411913</v>
      </c>
      <c r="EK133" s="176">
        <f t="shared" si="48"/>
        <v>360.5592376739653</v>
      </c>
      <c r="EL133" s="176">
        <f t="shared" si="49"/>
        <v>234.92888591846685</v>
      </c>
      <c r="EM133" s="176">
        <f>$EE$134*EL133</f>
        <v>6389480.8325937679</v>
      </c>
      <c r="ER133" s="140" t="s">
        <v>394</v>
      </c>
      <c r="ES133" s="99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5.6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554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554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.8" thickBot="1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554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556</v>
      </c>
      <c r="AS135" s="1" t="s">
        <v>556</v>
      </c>
      <c r="AT135" s="1" t="s">
        <v>556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556</v>
      </c>
      <c r="BL135" s="1" t="s">
        <v>556</v>
      </c>
      <c r="BM135" s="1" t="s">
        <v>556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629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.600000000000001">
      <c r="T136" s="4"/>
      <c r="U136" s="4"/>
      <c r="V136" s="4"/>
      <c r="W136" s="4"/>
      <c r="X136" s="4"/>
      <c r="Y136" s="1" t="s">
        <v>556</v>
      </c>
      <c r="Z136" s="1" t="s">
        <v>556</v>
      </c>
      <c r="AA136" s="1" t="s">
        <v>556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555</v>
      </c>
      <c r="AS136" s="3" t="s">
        <v>555</v>
      </c>
      <c r="AT136" s="3" t="s">
        <v>555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555</v>
      </c>
      <c r="BL136" s="3" t="s">
        <v>555</v>
      </c>
      <c r="BM136" s="3" t="s">
        <v>555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554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.2" thickBot="1">
      <c r="B137" s="394" t="s">
        <v>462</v>
      </c>
      <c r="C137" s="394"/>
      <c r="D137" s="394"/>
      <c r="E137" s="394"/>
      <c r="F137" s="394"/>
      <c r="G137" s="394"/>
      <c r="H137" s="394"/>
      <c r="T137" s="4"/>
      <c r="U137" s="4"/>
      <c r="V137" s="4"/>
      <c r="W137" s="4"/>
      <c r="X137" s="4" t="s">
        <v>60</v>
      </c>
      <c r="Y137" s="3" t="s">
        <v>555</v>
      </c>
      <c r="Z137" s="3" t="s">
        <v>555</v>
      </c>
      <c r="AA137" s="3" t="s">
        <v>555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556</v>
      </c>
      <c r="CF137" s="1" t="s">
        <v>556</v>
      </c>
      <c r="CG137" s="1" t="s">
        <v>556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554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.2" thickBot="1">
      <c r="B138" s="407"/>
      <c r="C138" s="407"/>
      <c r="D138" s="407"/>
      <c r="E138" s="407"/>
      <c r="F138" s="407"/>
      <c r="G138" s="407"/>
      <c r="H138" s="407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555</v>
      </c>
      <c r="CF138" s="3" t="s">
        <v>555</v>
      </c>
      <c r="CG138" s="3" t="s">
        <v>555</v>
      </c>
      <c r="CH138" s="1"/>
      <c r="CI138" s="1"/>
      <c r="CJ138" s="1"/>
      <c r="CK138" s="1"/>
      <c r="CL138" s="1"/>
      <c r="CO138" s="4"/>
      <c r="CP138" s="4"/>
      <c r="CQ138" s="4"/>
      <c r="CR138" s="3" t="s">
        <v>505</v>
      </c>
      <c r="CV138" s="50">
        <f>CL145</f>
        <v>774.43493010294708</v>
      </c>
      <c r="CW138" s="48">
        <f>CW145</f>
        <v>87222.135331413883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556</v>
      </c>
      <c r="ER138" s="1" t="s">
        <v>556</v>
      </c>
      <c r="ES138" s="1" t="s">
        <v>556</v>
      </c>
      <c r="EZ138" s="1"/>
      <c r="FA138" s="1"/>
      <c r="FB138" s="1"/>
      <c r="FE138" s="4"/>
      <c r="FF138" s="4"/>
      <c r="FG138" s="4"/>
      <c r="FL138" s="1"/>
    </row>
    <row r="139" spans="2:171" ht="19.2" thickBot="1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555</v>
      </c>
      <c r="ER139" s="3" t="s">
        <v>555</v>
      </c>
      <c r="ES139" s="3" t="s">
        <v>555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.8" thickBot="1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545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499</v>
      </c>
      <c r="BZ140" s="122">
        <v>298.14999999999998</v>
      </c>
      <c r="CA140" s="156">
        <f>BQ146</f>
        <v>644.2421909044931</v>
      </c>
      <c r="CB140" s="48">
        <f>CB146</f>
        <v>2671.5132120132448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528</v>
      </c>
      <c r="CM140" s="1" t="s">
        <v>529</v>
      </c>
      <c r="CN140" s="1" t="s">
        <v>701</v>
      </c>
      <c r="CO140" s="1" t="s">
        <v>85</v>
      </c>
      <c r="CP140" s="1" t="s">
        <v>628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530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499</v>
      </c>
      <c r="EI140" s="165"/>
      <c r="EJ140" s="165"/>
      <c r="EK140" s="165"/>
      <c r="EL140" s="170">
        <f>EB146</f>
        <v>2852.0490535886452</v>
      </c>
      <c r="EM140" s="171">
        <f>EM146</f>
        <v>11826.742854693757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" customHeight="1" thickBot="1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526</v>
      </c>
      <c r="FL141" s="50">
        <f>FB149</f>
        <v>3402.2651449800928</v>
      </c>
      <c r="FM141" s="48">
        <f>FM149</f>
        <v>404209.15818875749</v>
      </c>
    </row>
    <row r="142" spans="2:171" ht="19.8" thickBot="1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533</v>
      </c>
      <c r="L142" s="1" t="s">
        <v>528</v>
      </c>
      <c r="M142" s="1" t="s">
        <v>701</v>
      </c>
      <c r="N142" s="1" t="s">
        <v>85</v>
      </c>
      <c r="O142" s="1" t="s">
        <v>628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530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516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94" t="s">
        <v>493</v>
      </c>
      <c r="BL142" s="394"/>
      <c r="BM142" s="394"/>
      <c r="BN142" s="394"/>
      <c r="BP142" s="4"/>
      <c r="BQ142" s="1" t="s">
        <v>528</v>
      </c>
      <c r="BR142" s="1" t="s">
        <v>529</v>
      </c>
      <c r="BS142" s="1" t="s">
        <v>701</v>
      </c>
      <c r="BT142" s="1" t="s">
        <v>85</v>
      </c>
      <c r="BU142" s="1" t="s">
        <v>628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530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89" t="s">
        <v>505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94" t="s">
        <v>493</v>
      </c>
      <c r="DW142" s="394"/>
      <c r="DX142" s="394"/>
      <c r="DY142" s="394"/>
      <c r="EA142" s="4"/>
      <c r="EB142" s="1" t="s">
        <v>528</v>
      </c>
      <c r="EC142" s="1" t="s">
        <v>529</v>
      </c>
      <c r="ED142" s="1" t="s">
        <v>701</v>
      </c>
      <c r="EE142" s="1" t="s">
        <v>85</v>
      </c>
      <c r="EF142" s="1" t="s">
        <v>628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530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9.2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532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618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94"/>
      <c r="BL143" s="394"/>
      <c r="BM143" s="394"/>
      <c r="BN143" s="394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89"/>
      <c r="CK143" s="3" t="s">
        <v>558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94"/>
      <c r="DW143" s="394"/>
      <c r="DX143" s="394"/>
      <c r="DY143" s="394"/>
      <c r="EA143" s="94" t="s">
        <v>41</v>
      </c>
      <c r="EB143" s="183" t="s">
        <v>88</v>
      </c>
      <c r="EC143" s="1" t="s">
        <v>531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528</v>
      </c>
      <c r="FC143" s="1" t="s">
        <v>529</v>
      </c>
      <c r="FD143" s="1" t="s">
        <v>701</v>
      </c>
      <c r="FE143" s="1" t="s">
        <v>85</v>
      </c>
      <c r="FF143" s="1" t="s">
        <v>628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530</v>
      </c>
      <c r="FM143" s="1" t="s">
        <v>50</v>
      </c>
    </row>
    <row r="144" spans="2:171" ht="18" customHeight="1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545</v>
      </c>
      <c r="J144" s="62" t="s">
        <v>465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528</v>
      </c>
      <c r="AF144" s="1" t="s">
        <v>529</v>
      </c>
      <c r="AG144" s="1" t="s">
        <v>701</v>
      </c>
      <c r="AH144" s="1" t="s">
        <v>85</v>
      </c>
      <c r="AI144" s="1" t="s">
        <v>628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89" t="s">
        <v>499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89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9" t="s">
        <v>499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-3.8656259359049594</v>
      </c>
      <c r="EK144" s="176">
        <f>EG144+EJ144</f>
        <v>0.1343740640950406</v>
      </c>
      <c r="EL144" s="176">
        <f>EK144*EH144</f>
        <v>2.8229845398117778E-2</v>
      </c>
      <c r="EM144" s="176">
        <f>$EE$146*EL144</f>
        <v>2790.671084853007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531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9.2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89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89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89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-0.58428261077705967</v>
      </c>
      <c r="EK145" s="184">
        <f>EG145+EJ145</f>
        <v>0.11571738922294028</v>
      </c>
      <c r="EL145" s="184">
        <f>EK145*EH145</f>
        <v>9.1407013335767964E-2</v>
      </c>
      <c r="EM145" s="184">
        <f>$EE$146*EL145</f>
        <v>9036.0717698407498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89" t="s">
        <v>526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629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89" t="s">
        <v>471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89</v>
      </c>
      <c r="CM146" s="1"/>
      <c r="CN146" s="3" t="s">
        <v>91</v>
      </c>
      <c r="CO146" s="3" t="s">
        <v>87</v>
      </c>
      <c r="CP146" s="1" t="s">
        <v>629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89"/>
      <c r="FA146" s="3" t="s">
        <v>435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9.2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89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629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629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89"/>
      <c r="FA147" s="318" t="s">
        <v>681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8" thickBot="1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89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2" thickBot="1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89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9.2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629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629</v>
      </c>
      <c r="FG150" s="4"/>
      <c r="FH150" s="4"/>
      <c r="FL150" s="3" t="s">
        <v>96</v>
      </c>
      <c r="FM150" s="1" t="s">
        <v>93</v>
      </c>
    </row>
    <row r="151" spans="2:169" ht="19.2" thickBot="1">
      <c r="J151" s="4"/>
      <c r="K151" s="4"/>
      <c r="L151" s="4"/>
      <c r="M151" s="4"/>
      <c r="N151" s="4"/>
      <c r="O151" s="4"/>
      <c r="P151" s="4"/>
      <c r="Q151" s="201" t="s">
        <v>546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6.2" thickBot="1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453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636</v>
      </c>
      <c r="EL152" s="170">
        <f>EB160</f>
        <v>32.269863299428096</v>
      </c>
      <c r="EM152" s="171">
        <f>EM160</f>
        <v>2830357.1263978118</v>
      </c>
    </row>
    <row r="153" spans="2:169" ht="19.2" customHeight="1">
      <c r="B153" s="394" t="s">
        <v>463</v>
      </c>
      <c r="C153" s="394"/>
      <c r="D153" s="394"/>
      <c r="E153" s="394"/>
      <c r="F153" s="394"/>
      <c r="G153" s="394"/>
      <c r="H153" s="394"/>
      <c r="J153" s="4"/>
      <c r="K153" s="3" t="s">
        <v>533</v>
      </c>
      <c r="L153" s="1" t="s">
        <v>528</v>
      </c>
      <c r="M153" s="1" t="s">
        <v>701</v>
      </c>
      <c r="N153" s="1" t="s">
        <v>85</v>
      </c>
      <c r="O153" s="1" t="s">
        <v>628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9.2">
      <c r="B154" s="407"/>
      <c r="C154" s="407"/>
      <c r="D154" s="407"/>
      <c r="E154" s="407"/>
      <c r="F154" s="407"/>
      <c r="G154" s="407"/>
      <c r="H154" s="407"/>
      <c r="J154" s="4" t="s">
        <v>41</v>
      </c>
      <c r="K154" s="3" t="s">
        <v>532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618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94" t="s">
        <v>452</v>
      </c>
      <c r="BL154" s="394"/>
      <c r="BM154" s="394"/>
      <c r="BN154" s="394"/>
      <c r="BP154" s="4"/>
      <c r="BQ154" s="3" t="s">
        <v>533</v>
      </c>
      <c r="BR154" s="1" t="s">
        <v>528</v>
      </c>
      <c r="BS154" s="1" t="s">
        <v>701</v>
      </c>
      <c r="BT154" s="3" t="s">
        <v>359</v>
      </c>
      <c r="BU154" s="1" t="s">
        <v>628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528</v>
      </c>
      <c r="EC154" s="1" t="s">
        <v>529</v>
      </c>
      <c r="ED154" s="1" t="s">
        <v>701</v>
      </c>
      <c r="EE154" s="1" t="s">
        <v>85</v>
      </c>
      <c r="EF154" s="1" t="s">
        <v>628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530</v>
      </c>
      <c r="EM154" s="1" t="s">
        <v>50</v>
      </c>
      <c r="EN154" s="1"/>
    </row>
    <row r="155" spans="2:169" ht="19.2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546</v>
      </c>
      <c r="J155" s="62" t="s">
        <v>464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94"/>
      <c r="BL155" s="394"/>
      <c r="BM155" s="394"/>
      <c r="BN155" s="394"/>
      <c r="BP155" s="4"/>
      <c r="BQ155" s="3" t="s">
        <v>532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531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453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98" t="s">
        <v>636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>
      <c r="B157" s="15" t="s">
        <v>461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629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392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8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9.2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629</v>
      </c>
      <c r="BV158" s="4"/>
      <c r="BW158" s="4"/>
      <c r="CA158" s="3" t="s">
        <v>96</v>
      </c>
      <c r="CB158" s="1" t="s">
        <v>93</v>
      </c>
      <c r="DZ158" s="398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6.2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98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6.2" thickBot="1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9.2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629</v>
      </c>
      <c r="EG161" s="4"/>
      <c r="EH161" s="4"/>
      <c r="EL161" s="3" t="s">
        <v>96</v>
      </c>
      <c r="EM161" s="1" t="s">
        <v>93</v>
      </c>
    </row>
    <row r="162" spans="1:143" ht="18.600000000000001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6.2" thickBot="1">
      <c r="Q163" s="3" t="s">
        <v>499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5.6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9.2">
      <c r="E165" s="394" t="s">
        <v>493</v>
      </c>
      <c r="F165" s="394"/>
      <c r="G165" s="394"/>
      <c r="H165" s="394"/>
      <c r="J165" s="4"/>
      <c r="K165" s="1" t="s">
        <v>528</v>
      </c>
      <c r="L165" s="1" t="s">
        <v>529</v>
      </c>
      <c r="M165" s="1" t="s">
        <v>701</v>
      </c>
      <c r="N165" s="1" t="s">
        <v>85</v>
      </c>
      <c r="O165" s="1" t="s">
        <v>628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9.2">
      <c r="E166" s="394"/>
      <c r="F166" s="394"/>
      <c r="G166" s="394"/>
      <c r="H166" s="394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9.2">
      <c r="I167" s="389" t="s">
        <v>499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9.2">
      <c r="I168" s="389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5.6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9.2">
      <c r="K170" s="1" t="s">
        <v>89</v>
      </c>
      <c r="L170" s="1"/>
      <c r="M170" s="3" t="s">
        <v>91</v>
      </c>
      <c r="N170" s="3" t="s">
        <v>87</v>
      </c>
      <c r="O170" s="1" t="s">
        <v>629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5.6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5.6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5.6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5.6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5.6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6.2" thickBo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5.6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5.6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5.6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5.6">
      <c r="T182" s="4"/>
      <c r="U182" s="4"/>
      <c r="V182" s="4"/>
      <c r="W182" s="401" t="s">
        <v>421</v>
      </c>
      <c r="X182" s="401"/>
      <c r="Y182" s="401"/>
      <c r="Z182" s="401"/>
      <c r="AA182" s="401"/>
      <c r="AB182" s="401"/>
      <c r="AC182" s="40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5.6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01" t="s">
        <v>422</v>
      </c>
      <c r="AP187" s="401"/>
      <c r="AQ187" s="401"/>
      <c r="AR187" s="401"/>
      <c r="AS187" s="401"/>
      <c r="AT187" s="401"/>
      <c r="AU187" s="40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01" t="s">
        <v>423</v>
      </c>
      <c r="BH187" s="401"/>
      <c r="BI187" s="401"/>
      <c r="BJ187" s="401"/>
      <c r="BK187" s="401"/>
      <c r="BL187" s="401"/>
      <c r="BM187" s="40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29.4">
      <c r="P189" s="410" t="s">
        <v>360</v>
      </c>
      <c r="Q189" s="410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5" thickBot="1">
      <c r="P190" s="411"/>
      <c r="Q190" s="411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5.6">
      <c r="P191" s="391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>
      <c r="P192" s="392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>
      <c r="P193" s="139" t="s">
        <v>337</v>
      </c>
      <c r="Q193" s="103">
        <f>((N210*(U210-0)/AC195))</f>
        <v>109.11201209723454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5" thickBot="1">
      <c r="N194" s="4"/>
      <c r="O194" s="4"/>
      <c r="P194" s="139" t="s">
        <v>605</v>
      </c>
      <c r="Q194" s="103">
        <f>V206/AC195</f>
        <v>109.79148941804274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5" thickBot="1">
      <c r="N195" s="4"/>
      <c r="O195" s="4"/>
      <c r="P195" s="140" t="s">
        <v>339</v>
      </c>
      <c r="Q195" s="99">
        <f>V210/AC195</f>
        <v>109.7914834438229</v>
      </c>
      <c r="T195" s="4"/>
      <c r="U195" s="4"/>
      <c r="V195" s="4"/>
      <c r="W195" s="412" t="s">
        <v>477</v>
      </c>
      <c r="X195" s="413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5" thickBot="1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.600000000000001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496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>
      <c r="J206" s="4"/>
      <c r="K206" s="4"/>
      <c r="L206" s="4"/>
      <c r="M206" s="4"/>
      <c r="N206" s="4"/>
      <c r="O206" s="4"/>
      <c r="P206" s="408" t="s">
        <v>412</v>
      </c>
      <c r="Q206" s="408"/>
      <c r="R206" s="408"/>
      <c r="S206" s="4"/>
      <c r="T206" s="4"/>
      <c r="U206" s="50">
        <f>K218</f>
        <v>298.6148747230165</v>
      </c>
      <c r="V206" s="48">
        <f>V218</f>
        <v>8850991.3601140417</v>
      </c>
      <c r="W206" s="390" t="s">
        <v>403</v>
      </c>
      <c r="X206" s="390"/>
      <c r="Y206" s="390"/>
      <c r="Z206" s="390"/>
      <c r="AA206" s="390"/>
      <c r="AB206" s="39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90" t="s">
        <v>513</v>
      </c>
      <c r="AR206" s="390"/>
      <c r="AS206" s="390"/>
      <c r="AT206" s="390"/>
      <c r="AU206" s="39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90" t="s">
        <v>438</v>
      </c>
      <c r="BK206" s="390"/>
      <c r="BL206" s="390"/>
      <c r="BM206" s="390"/>
      <c r="BN206" s="390"/>
      <c r="BO206" s="4"/>
      <c r="BP206" s="4"/>
      <c r="BQ206" s="4"/>
      <c r="BR206" s="4"/>
      <c r="BS206" s="4"/>
      <c r="BT206" s="4"/>
      <c r="BU206" s="4"/>
      <c r="BV206" s="4"/>
      <c r="BW206" s="4" t="s">
        <v>497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90" t="s">
        <v>420</v>
      </c>
      <c r="CE206" s="390"/>
      <c r="CF206" s="390"/>
      <c r="CG206" s="390"/>
      <c r="CH206" s="390"/>
      <c r="CI206" s="299"/>
      <c r="CR206" s="3" t="s">
        <v>600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90"/>
      <c r="X207" s="390"/>
      <c r="Y207" s="390"/>
      <c r="Z207" s="390"/>
      <c r="AA207" s="390"/>
      <c r="AB207" s="39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90"/>
      <c r="AR207" s="390"/>
      <c r="AS207" s="390"/>
      <c r="AT207" s="390"/>
      <c r="AU207" s="39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90"/>
      <c r="BK207" s="390"/>
      <c r="BL207" s="390"/>
      <c r="BM207" s="390"/>
      <c r="BN207" s="39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06"/>
      <c r="CE207" s="406"/>
      <c r="CF207" s="406"/>
      <c r="CG207" s="406"/>
      <c r="CH207" s="406"/>
      <c r="CI207" s="299"/>
      <c r="CU207" s="4"/>
      <c r="CV207" s="4"/>
    </row>
    <row r="208" spans="5:101" ht="19.2" customHeight="1">
      <c r="E208" s="394" t="s">
        <v>432</v>
      </c>
      <c r="F208" s="394"/>
      <c r="G208" s="394"/>
      <c r="H208" s="394"/>
      <c r="J208" s="4"/>
      <c r="K208" s="1" t="s">
        <v>528</v>
      </c>
      <c r="L208" s="1" t="s">
        <v>529</v>
      </c>
      <c r="M208" s="1" t="s">
        <v>701</v>
      </c>
      <c r="N208" s="1" t="s">
        <v>85</v>
      </c>
      <c r="O208" s="1" t="s">
        <v>628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530</v>
      </c>
      <c r="V208" s="1" t="s">
        <v>50</v>
      </c>
      <c r="W208" s="4"/>
      <c r="X208" s="22" t="s">
        <v>415</v>
      </c>
      <c r="Y208" s="22" t="s">
        <v>455</v>
      </c>
      <c r="Z208" s="253" t="s">
        <v>334</v>
      </c>
      <c r="AA208" s="391" t="s">
        <v>340</v>
      </c>
      <c r="AB208" s="102" t="s">
        <v>314</v>
      </c>
      <c r="AC208" s="1"/>
      <c r="AD208" s="4"/>
      <c r="AE208" s="1" t="s">
        <v>528</v>
      </c>
      <c r="AF208" s="1" t="s">
        <v>529</v>
      </c>
      <c r="AG208" s="1" t="s">
        <v>701</v>
      </c>
      <c r="AH208" s="1" t="s">
        <v>85</v>
      </c>
      <c r="AI208" s="1" t="s">
        <v>628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530</v>
      </c>
      <c r="AP208" s="1" t="s">
        <v>50</v>
      </c>
      <c r="AQ208" s="22" t="s">
        <v>415</v>
      </c>
      <c r="AR208" s="22" t="s">
        <v>455</v>
      </c>
      <c r="AS208" s="159" t="s">
        <v>334</v>
      </c>
      <c r="AT208" s="391" t="s">
        <v>340</v>
      </c>
      <c r="AU208" s="138" t="s">
        <v>314</v>
      </c>
      <c r="AV208" s="1"/>
      <c r="AW208" s="4"/>
      <c r="AX208" s="1" t="s">
        <v>528</v>
      </c>
      <c r="AY208" s="1" t="s">
        <v>529</v>
      </c>
      <c r="AZ208" s="1" t="s">
        <v>701</v>
      </c>
      <c r="BA208" s="1" t="s">
        <v>85</v>
      </c>
      <c r="BB208" s="1" t="s">
        <v>628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530</v>
      </c>
      <c r="BI208" s="1" t="s">
        <v>50</v>
      </c>
      <c r="BJ208" s="22" t="s">
        <v>415</v>
      </c>
      <c r="BK208" s="22" t="s">
        <v>455</v>
      </c>
      <c r="BL208" s="159" t="s">
        <v>334</v>
      </c>
      <c r="BM208" s="391" t="s">
        <v>340</v>
      </c>
      <c r="BN208" s="138" t="s">
        <v>314</v>
      </c>
      <c r="BO208" s="1"/>
      <c r="BP208" s="4"/>
      <c r="BQ208" s="1" t="s">
        <v>528</v>
      </c>
      <c r="BR208" s="1" t="s">
        <v>529</v>
      </c>
      <c r="BS208" s="1" t="s">
        <v>701</v>
      </c>
      <c r="BT208" s="1" t="s">
        <v>85</v>
      </c>
      <c r="BU208" s="1" t="s">
        <v>628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530</v>
      </c>
      <c r="CB208" s="1" t="s">
        <v>50</v>
      </c>
      <c r="CD208" s="22" t="s">
        <v>415</v>
      </c>
      <c r="CE208" s="22" t="s">
        <v>455</v>
      </c>
      <c r="CF208" s="189" t="s">
        <v>334</v>
      </c>
      <c r="CG208" s="391" t="s">
        <v>340</v>
      </c>
      <c r="CH208" s="138" t="s">
        <v>314</v>
      </c>
      <c r="CI208" s="1"/>
      <c r="CJ208" s="1"/>
      <c r="CK208" s="4"/>
      <c r="CL208" s="1" t="s">
        <v>528</v>
      </c>
      <c r="CM208" s="1" t="s">
        <v>529</v>
      </c>
      <c r="CN208" s="1" t="s">
        <v>701</v>
      </c>
      <c r="CO208" s="1" t="s">
        <v>85</v>
      </c>
      <c r="CP208" s="1" t="s">
        <v>628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530</v>
      </c>
      <c r="CW208" s="1" t="s">
        <v>50</v>
      </c>
    </row>
    <row r="209" spans="2:101" ht="19.2">
      <c r="E209" s="394"/>
      <c r="F209" s="394"/>
      <c r="G209" s="394"/>
      <c r="H209" s="394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92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92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92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427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5" thickBot="1">
      <c r="I210" s="208" t="s">
        <v>412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4">
        <f>AP227</f>
        <v>555.77441893806406</v>
      </c>
      <c r="Y210" s="99">
        <f>SUM(AC195,V206,V222,V236) - SUM(AP206,AP227)</f>
        <v>98587.635320095345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512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512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459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2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4">
        <f>SUM(CB206,CB225,CB232,CB244) - SUM(CW251,CW234,CW218,CW206)</f>
        <v>8706828.4095456321</v>
      </c>
      <c r="CE210" s="99">
        <f>SUM(CB244,CB206,CB225,CB232) - SUM(CW206,CW218,CW234,CW251)</f>
        <v>8706828.4095456358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601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32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6.95" customHeight="1">
      <c r="I211" s="402" t="s">
        <v>510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605</v>
      </c>
      <c r="AB211" s="103">
        <f>(AP206+AP227)/($AC$195+V206+V222+V236)</f>
        <v>0.98899070789782728</v>
      </c>
      <c r="AC211" s="402" t="s">
        <v>508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605</v>
      </c>
      <c r="AU211" s="136">
        <f>BI206/(AP206+AU190)</f>
        <v>0.99996814295200787</v>
      </c>
      <c r="AV211" s="402" t="s">
        <v>508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605</v>
      </c>
      <c r="BN211" s="136">
        <f>CB206/(BM195+BI206)</f>
        <v>0.99999431358282376</v>
      </c>
      <c r="BO211" s="402" t="s">
        <v>507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605</v>
      </c>
      <c r="CH211" s="136">
        <f>(CW218+CW206+CW234+CW251+CW267)/(CB244+CB206+CB232)</f>
        <v>0.60155306227269634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.8" thickBot="1">
      <c r="I212" s="402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40" t="s">
        <v>394</v>
      </c>
      <c r="AB212" s="99">
        <f>$AP$210/($AC$195+V206+V222+V236)</f>
        <v>0.98839112692609699</v>
      </c>
      <c r="AC212" s="402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40" t="s">
        <v>394</v>
      </c>
      <c r="AU212" s="137">
        <f>BI210/(AP206+AU190)</f>
        <v>0.9994246250143145</v>
      </c>
      <c r="AV212" s="402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40" t="s">
        <v>394</v>
      </c>
      <c r="BN212" s="137">
        <f>CB210/(BM195+BI206)</f>
        <v>0.99945078142046995</v>
      </c>
      <c r="BO212" s="402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40" t="s">
        <v>394</v>
      </c>
      <c r="CH212" s="137">
        <f>CW210/(CB244+CB206+CB232)</f>
        <v>0.32940597812032246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629</v>
      </c>
      <c r="CQ212" s="4"/>
      <c r="CR212" s="4"/>
      <c r="CV212" s="3" t="s">
        <v>96</v>
      </c>
      <c r="CW212" s="1" t="s">
        <v>93</v>
      </c>
    </row>
    <row r="213" spans="2:101">
      <c r="I213" s="402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02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02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02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6.2">
      <c r="I214" s="402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02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02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02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.8" thickBot="1">
      <c r="I215" s="402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2" t="s">
        <v>554</v>
      </c>
      <c r="AB215" s="16"/>
      <c r="AC215" s="402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2" t="s">
        <v>554</v>
      </c>
      <c r="AU215" s="4"/>
      <c r="AV215" s="402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2" t="s">
        <v>554</v>
      </c>
      <c r="BN215" s="4"/>
      <c r="BO215" s="402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2" t="s">
        <v>554</v>
      </c>
      <c r="CH215" s="132"/>
      <c r="CI215" s="132"/>
    </row>
    <row r="216" spans="2:101" ht="18.45" customHeight="1">
      <c r="I216" s="402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02" t="s">
        <v>372</v>
      </c>
      <c r="X216" s="4"/>
      <c r="Y216" s="1" t="s">
        <v>556</v>
      </c>
      <c r="Z216" s="1" t="s">
        <v>556</v>
      </c>
      <c r="AA216" s="1" t="s">
        <v>556</v>
      </c>
      <c r="AC216" s="402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556</v>
      </c>
      <c r="AS216" s="1" t="s">
        <v>556</v>
      </c>
      <c r="AT216" s="1" t="s">
        <v>556</v>
      </c>
      <c r="AU216" s="4"/>
      <c r="AV216" s="402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556</v>
      </c>
      <c r="BL216" s="1" t="s">
        <v>556</v>
      </c>
      <c r="BM216" s="1" t="s">
        <v>556</v>
      </c>
      <c r="BN216" s="4"/>
      <c r="BO216" s="402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556</v>
      </c>
      <c r="CF216" s="1" t="s">
        <v>556</v>
      </c>
      <c r="CG216" s="1" t="s">
        <v>556</v>
      </c>
      <c r="CH216" s="1"/>
      <c r="CI216" s="1"/>
      <c r="CU216" s="4"/>
      <c r="CV216" s="63" t="s">
        <v>1</v>
      </c>
      <c r="CW216" s="58" t="s">
        <v>0</v>
      </c>
    </row>
    <row r="217" spans="2:101" ht="19.2">
      <c r="J217" s="1" t="s">
        <v>647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02"/>
      <c r="X217" s="4" t="s">
        <v>60</v>
      </c>
      <c r="Y217" s="3" t="s">
        <v>555</v>
      </c>
      <c r="Z217" s="3" t="s">
        <v>555</v>
      </c>
      <c r="AA217" s="3" t="s">
        <v>555</v>
      </c>
      <c r="AC217" s="4"/>
      <c r="AD217" s="1" t="s">
        <v>647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60</v>
      </c>
      <c r="AR217" s="3" t="s">
        <v>555</v>
      </c>
      <c r="AS217" s="3" t="s">
        <v>555</v>
      </c>
      <c r="AT217" s="3" t="s">
        <v>555</v>
      </c>
      <c r="AU217" s="4"/>
      <c r="AV217" s="4"/>
      <c r="AW217" s="1" t="s">
        <v>647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60</v>
      </c>
      <c r="BK217" s="3" t="s">
        <v>555</v>
      </c>
      <c r="BL217" s="3" t="s">
        <v>555</v>
      </c>
      <c r="BM217" s="3" t="s">
        <v>555</v>
      </c>
      <c r="BN217" s="4"/>
      <c r="BO217" s="4"/>
      <c r="BP217" s="1" t="s">
        <v>647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60</v>
      </c>
      <c r="CE217" s="3" t="s">
        <v>555</v>
      </c>
      <c r="CF217" s="3" t="s">
        <v>555</v>
      </c>
      <c r="CG217" s="3" t="s">
        <v>555</v>
      </c>
      <c r="CJ217" s="309"/>
      <c r="CU217" s="4"/>
      <c r="CV217" s="65" t="s">
        <v>89</v>
      </c>
      <c r="CW217" s="64" t="s">
        <v>93</v>
      </c>
    </row>
    <row r="218" spans="2:101" ht="18" customHeight="1" thickBot="1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02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500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>
      <c r="K219" s="1" t="s">
        <v>89</v>
      </c>
      <c r="L219" s="1"/>
      <c r="M219" s="3" t="s">
        <v>91</v>
      </c>
      <c r="N219" s="3" t="s">
        <v>87</v>
      </c>
      <c r="O219" s="1" t="s">
        <v>629</v>
      </c>
      <c r="P219" s="4"/>
      <c r="Q219" s="4"/>
      <c r="U219" s="3" t="s">
        <v>96</v>
      </c>
      <c r="V219" s="1" t="s">
        <v>93</v>
      </c>
      <c r="W219" s="402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629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629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629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9.2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02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528</v>
      </c>
      <c r="CM220" s="1" t="s">
        <v>529</v>
      </c>
      <c r="CN220" s="1" t="s">
        <v>701</v>
      </c>
      <c r="CO220" s="1" t="s">
        <v>85</v>
      </c>
      <c r="CP220" s="1" t="s">
        <v>628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530</v>
      </c>
      <c r="CW220" s="1" t="s">
        <v>50</v>
      </c>
    </row>
    <row r="221" spans="2:101" ht="16.95" customHeight="1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402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6.95" customHeight="1" thickBot="1">
      <c r="B222" s="394" t="s">
        <v>462</v>
      </c>
      <c r="C222" s="394"/>
      <c r="D222" s="394"/>
      <c r="E222" s="394"/>
      <c r="F222" s="394"/>
      <c r="G222" s="394"/>
      <c r="H222" s="394"/>
      <c r="J222" s="4"/>
      <c r="K222" s="4"/>
      <c r="L222" s="4"/>
      <c r="M222" s="4"/>
      <c r="N222" s="4"/>
      <c r="O222" s="4"/>
      <c r="P222" s="4"/>
      <c r="Q222" s="201" t="s">
        <v>545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425" t="s">
        <v>500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>
      <c r="B223" s="407"/>
      <c r="C223" s="407"/>
      <c r="D223" s="407"/>
      <c r="E223" s="407"/>
      <c r="F223" s="407"/>
      <c r="G223" s="407"/>
      <c r="H223" s="407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425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.8" thickBot="1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533</v>
      </c>
      <c r="L224" s="1" t="s">
        <v>528</v>
      </c>
      <c r="M224" s="1" t="s">
        <v>701</v>
      </c>
      <c r="N224" s="1" t="s">
        <v>85</v>
      </c>
      <c r="O224" s="1" t="s">
        <v>628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530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425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9.2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532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618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425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602</v>
      </c>
    </row>
    <row r="226" spans="2:169" ht="19.2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545</v>
      </c>
      <c r="J226" s="96" t="s">
        <v>465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425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01" t="s">
        <v>423</v>
      </c>
      <c r="CZ226" s="401"/>
      <c r="DA226" s="401"/>
      <c r="DB226" s="401"/>
      <c r="DC226" s="401"/>
      <c r="DD226" s="401"/>
    </row>
    <row r="227" spans="2:169" ht="19.8" thickBot="1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495</v>
      </c>
      <c r="AO227" s="50">
        <f>AE234</f>
        <v>7.9771214256715108</v>
      </c>
      <c r="AP227" s="48">
        <f>AP234</f>
        <v>555.77441893806406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425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2.95" customHeight="1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629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425"/>
      <c r="CK228" s="1" t="s">
        <v>647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98</v>
      </c>
      <c r="CZ228" s="13" t="s">
        <v>539</v>
      </c>
      <c r="DA228" s="13" t="s">
        <v>437</v>
      </c>
      <c r="DB228" s="13" t="s">
        <v>48</v>
      </c>
      <c r="DC228" s="34" t="s">
        <v>98</v>
      </c>
      <c r="DD228" s="13" t="s">
        <v>48</v>
      </c>
    </row>
    <row r="229" spans="2:169" ht="19.8" thickBot="1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528</v>
      </c>
      <c r="AF229" s="1" t="s">
        <v>529</v>
      </c>
      <c r="AG229" s="1" t="s">
        <v>701</v>
      </c>
      <c r="AH229" s="1" t="s">
        <v>85</v>
      </c>
      <c r="AI229" s="1" t="s">
        <v>628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530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.8" thickBot="1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629</v>
      </c>
      <c r="CQ230" s="4"/>
      <c r="CR230" s="4"/>
      <c r="CV230" s="3" t="s">
        <v>96</v>
      </c>
      <c r="CW230" s="1" t="s">
        <v>93</v>
      </c>
    </row>
    <row r="231" spans="2:169" ht="18" customHeight="1" thickBot="1">
      <c r="AC231" s="389" t="s">
        <v>495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>
      <c r="AC232" s="389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499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.05" customHeight="1" thickBot="1">
      <c r="AC233" s="389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308"/>
      <c r="CV233" s="65" t="s">
        <v>89</v>
      </c>
      <c r="CW233" s="64" t="s">
        <v>93</v>
      </c>
      <c r="CY233" s="390" t="s">
        <v>633</v>
      </c>
      <c r="CZ233" s="390"/>
      <c r="DA233" s="390"/>
      <c r="DB233" s="390"/>
      <c r="DC233" s="390"/>
      <c r="DL233" s="3" t="s">
        <v>634</v>
      </c>
      <c r="DP233" s="50">
        <f>DF241</f>
        <v>46.099804713468714</v>
      </c>
      <c r="DQ233" s="48">
        <f>DQ241</f>
        <v>4043367.3234254471</v>
      </c>
      <c r="DS233" s="390" t="s">
        <v>635</v>
      </c>
      <c r="DT233" s="390"/>
      <c r="DU233" s="390"/>
      <c r="DV233" s="390"/>
      <c r="DW233" s="390"/>
      <c r="EG233" s="3" t="s">
        <v>636</v>
      </c>
      <c r="EK233" s="50">
        <f>EA241</f>
        <v>46.099804713468714</v>
      </c>
      <c r="EL233" s="48">
        <f>EL241</f>
        <v>4043367.3234254471</v>
      </c>
      <c r="FA233" s="3" t="s">
        <v>636</v>
      </c>
      <c r="FF233" s="50">
        <f>EV241</f>
        <v>13.829941414040613</v>
      </c>
      <c r="FG233" s="48">
        <f>FG241</f>
        <v>1213010.1970276341</v>
      </c>
      <c r="FI233" s="399" t="s">
        <v>407</v>
      </c>
      <c r="FJ233" s="400"/>
      <c r="FK233" s="400"/>
      <c r="FL233" s="400"/>
      <c r="FM233" s="400"/>
    </row>
    <row r="234" spans="2:169" ht="18" customHeight="1" thickBot="1">
      <c r="U234" s="63" t="s">
        <v>1</v>
      </c>
      <c r="V234" s="58" t="s">
        <v>0</v>
      </c>
      <c r="AC234" s="389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94" t="s">
        <v>493</v>
      </c>
      <c r="BL234" s="394"/>
      <c r="BM234" s="394"/>
      <c r="BN234" s="394"/>
      <c r="BP234" s="4"/>
      <c r="BQ234" s="1" t="s">
        <v>528</v>
      </c>
      <c r="BR234" s="1" t="s">
        <v>529</v>
      </c>
      <c r="BS234" s="1" t="s">
        <v>701</v>
      </c>
      <c r="BT234" s="1" t="s">
        <v>85</v>
      </c>
      <c r="BU234" s="1" t="s">
        <v>628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530</v>
      </c>
      <c r="CB234" s="1" t="s">
        <v>50</v>
      </c>
      <c r="CJ234" s="308"/>
      <c r="CR234" s="3" t="s">
        <v>501</v>
      </c>
      <c r="CV234" s="50">
        <f>CL243</f>
        <v>46.0998047134687</v>
      </c>
      <c r="CW234" s="48">
        <f>CW243</f>
        <v>4026178.1360752485</v>
      </c>
      <c r="CY234" s="390"/>
      <c r="CZ234" s="390"/>
      <c r="DA234" s="390"/>
      <c r="DB234" s="390"/>
      <c r="DC234" s="390"/>
      <c r="DS234" s="390"/>
      <c r="DT234" s="390"/>
      <c r="DU234" s="390"/>
      <c r="DV234" s="390"/>
      <c r="DW234" s="390"/>
      <c r="FI234" s="400"/>
      <c r="FJ234" s="400"/>
      <c r="FK234" s="400"/>
      <c r="FL234" s="400"/>
      <c r="FM234" s="400"/>
    </row>
    <row r="235" spans="2:169" ht="18" customHeight="1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629</v>
      </c>
      <c r="AJ235" s="4"/>
      <c r="AK235" s="4"/>
      <c r="AO235" s="3" t="s">
        <v>96</v>
      </c>
      <c r="AP235" s="1" t="s">
        <v>93</v>
      </c>
      <c r="BK235" s="394"/>
      <c r="BL235" s="394"/>
      <c r="BM235" s="394"/>
      <c r="BN235" s="394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415</v>
      </c>
      <c r="CZ235" s="22" t="s">
        <v>455</v>
      </c>
      <c r="DA235" s="159" t="s">
        <v>334</v>
      </c>
      <c r="DB235" s="404" t="s">
        <v>340</v>
      </c>
      <c r="DC235" s="138" t="s">
        <v>314</v>
      </c>
      <c r="DE235" s="4"/>
      <c r="DF235" s="1" t="s">
        <v>528</v>
      </c>
      <c r="DG235" s="1" t="s">
        <v>529</v>
      </c>
      <c r="DH235" s="1" t="s">
        <v>701</v>
      </c>
      <c r="DI235" s="1" t="s">
        <v>85</v>
      </c>
      <c r="DJ235" s="1" t="s">
        <v>628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530</v>
      </c>
      <c r="DQ235" s="1" t="s">
        <v>50</v>
      </c>
      <c r="DS235" s="22" t="s">
        <v>415</v>
      </c>
      <c r="DT235" s="22" t="s">
        <v>455</v>
      </c>
      <c r="DU235" s="159" t="s">
        <v>334</v>
      </c>
      <c r="DV235" s="404" t="s">
        <v>340</v>
      </c>
      <c r="DW235" s="138" t="s">
        <v>314</v>
      </c>
      <c r="DZ235" s="4"/>
      <c r="EA235" s="1" t="s">
        <v>528</v>
      </c>
      <c r="EB235" s="1" t="s">
        <v>529</v>
      </c>
      <c r="EC235" s="1" t="s">
        <v>701</v>
      </c>
      <c r="ED235" s="1" t="s">
        <v>85</v>
      </c>
      <c r="EE235" s="1" t="s">
        <v>628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530</v>
      </c>
      <c r="EL235" s="1" t="s">
        <v>50</v>
      </c>
      <c r="EU235" s="4"/>
      <c r="EV235" s="1" t="s">
        <v>528</v>
      </c>
      <c r="EW235" s="1" t="s">
        <v>529</v>
      </c>
      <c r="EX235" s="1" t="s">
        <v>701</v>
      </c>
      <c r="EY235" s="1" t="s">
        <v>85</v>
      </c>
      <c r="EZ235" s="1" t="s">
        <v>628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530</v>
      </c>
      <c r="FG235" s="1" t="s">
        <v>50</v>
      </c>
      <c r="FI235" s="400"/>
      <c r="FJ235" s="400"/>
      <c r="FK235" s="400"/>
      <c r="FL235" s="400"/>
      <c r="FM235" s="400"/>
    </row>
    <row r="236" spans="2:169" ht="22.05" customHeight="1" thickBot="1">
      <c r="Q236" s="3" t="s">
        <v>511</v>
      </c>
      <c r="U236" s="50">
        <f>K242</f>
        <v>7.4647476716394348</v>
      </c>
      <c r="V236" s="48">
        <f>V242</f>
        <v>30.954464502133519</v>
      </c>
      <c r="BO236" s="425" t="s">
        <v>494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308"/>
      <c r="CK236" s="4"/>
      <c r="CL236" s="1" t="s">
        <v>528</v>
      </c>
      <c r="CM236" s="1" t="s">
        <v>529</v>
      </c>
      <c r="CN236" s="1" t="s">
        <v>701</v>
      </c>
      <c r="CO236" s="1" t="s">
        <v>85</v>
      </c>
      <c r="CP236" s="1" t="s">
        <v>628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530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405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405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>
      <c r="BO237" s="425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16002.672043499071</v>
      </c>
      <c r="DA237" s="141">
        <f>DP233-CV234</f>
        <v>0</v>
      </c>
      <c r="DB237" s="139" t="s">
        <v>337</v>
      </c>
      <c r="DC237" s="136">
        <f>((DI238*(DP238-CV242)))/DD229</f>
        <v>0.19598481569901549</v>
      </c>
      <c r="DD237" s="397" t="s">
        <v>634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97" t="s">
        <v>498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398" t="s">
        <v>636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2.95" customHeight="1">
      <c r="E238" s="394" t="s">
        <v>493</v>
      </c>
      <c r="F238" s="394"/>
      <c r="G238" s="394"/>
      <c r="H238" s="394"/>
      <c r="J238" s="4"/>
      <c r="K238" s="1" t="s">
        <v>528</v>
      </c>
      <c r="L238" s="1" t="s">
        <v>529</v>
      </c>
      <c r="M238" s="1" t="s">
        <v>701</v>
      </c>
      <c r="N238" s="1" t="s">
        <v>85</v>
      </c>
      <c r="O238" s="1" t="s">
        <v>628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530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89" t="s">
        <v>501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605</v>
      </c>
      <c r="DC238" s="136">
        <f>DQ233/(CW234+DD229)</f>
        <v>0.9960578434433518</v>
      </c>
      <c r="DD238" s="397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605</v>
      </c>
      <c r="DW238" s="136">
        <f>EL233/DQ233</f>
        <v>1</v>
      </c>
      <c r="DY238" s="397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2"/>
      <c r="EN238" s="132"/>
      <c r="EO238" s="132"/>
      <c r="EP238" s="132"/>
      <c r="EQ238" s="132"/>
      <c r="ER238" s="132"/>
      <c r="ES238" s="132"/>
      <c r="ET238" s="398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.8" thickBot="1">
      <c r="E239" s="394"/>
      <c r="F239" s="394"/>
      <c r="G239" s="394"/>
      <c r="H239" s="394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629</v>
      </c>
      <c r="BV239" s="4"/>
      <c r="BW239" s="4"/>
      <c r="CA239" s="3" t="s">
        <v>96</v>
      </c>
      <c r="CB239" s="1" t="s">
        <v>93</v>
      </c>
      <c r="CJ239" s="389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40" t="s">
        <v>394</v>
      </c>
      <c r="DC239" s="137">
        <f>DQ238/(CW234+DD229)</f>
        <v>0.18236833377116268</v>
      </c>
      <c r="DD239" s="397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40" t="s">
        <v>394</v>
      </c>
      <c r="DW239" s="137">
        <f>EL233/DQ233</f>
        <v>1</v>
      </c>
      <c r="DY239" s="397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8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>
      <c r="I240" s="389" t="s">
        <v>499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89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97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97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98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9:163" ht="19.8" thickBot="1">
      <c r="I241" s="389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89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9:163" ht="19.2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89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89</v>
      </c>
      <c r="DG242" s="1"/>
      <c r="DH242" s="3" t="s">
        <v>91</v>
      </c>
      <c r="DI242" s="3" t="s">
        <v>87</v>
      </c>
      <c r="DJ242" s="1" t="s">
        <v>629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629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554</v>
      </c>
      <c r="EV242" s="1" t="s">
        <v>89</v>
      </c>
      <c r="EW242" s="1"/>
      <c r="EX242" s="3" t="s">
        <v>91</v>
      </c>
      <c r="EY242" s="3" t="s">
        <v>87</v>
      </c>
      <c r="EZ242" s="1" t="s">
        <v>629</v>
      </c>
      <c r="FA242" s="4"/>
      <c r="FB242" s="4"/>
      <c r="FF242" s="3" t="s">
        <v>96</v>
      </c>
      <c r="FG242" s="1" t="s">
        <v>93</v>
      </c>
    </row>
    <row r="243" spans="9:163" ht="19.2">
      <c r="K243" s="1" t="s">
        <v>89</v>
      </c>
      <c r="L243" s="1"/>
      <c r="M243" s="3" t="s">
        <v>91</v>
      </c>
      <c r="N243" s="3" t="s">
        <v>87</v>
      </c>
      <c r="O243" s="1" t="s">
        <v>629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2" t="s">
        <v>554</v>
      </c>
      <c r="EO243" s="4"/>
      <c r="EP243" s="1" t="s">
        <v>556</v>
      </c>
      <c r="EQ243" s="1" t="s">
        <v>556</v>
      </c>
      <c r="ER243" s="1" t="s">
        <v>556</v>
      </c>
    </row>
    <row r="244" spans="9:163" ht="24" customHeight="1" thickBot="1">
      <c r="BW244" s="3" t="s">
        <v>453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629</v>
      </c>
      <c r="CQ244" s="4"/>
      <c r="CR244" s="4"/>
      <c r="CV244" s="3" t="s">
        <v>96</v>
      </c>
      <c r="CW244" s="1" t="s">
        <v>93</v>
      </c>
      <c r="CY244" s="4"/>
      <c r="CZ244" s="1" t="s">
        <v>556</v>
      </c>
      <c r="DA244" s="1" t="s">
        <v>556</v>
      </c>
      <c r="DB244" s="1" t="s">
        <v>556</v>
      </c>
      <c r="EO244" s="4" t="s">
        <v>60</v>
      </c>
      <c r="EP244" s="3" t="s">
        <v>555</v>
      </c>
      <c r="EQ244" s="3" t="s">
        <v>555</v>
      </c>
      <c r="ER244" s="3" t="s">
        <v>555</v>
      </c>
    </row>
    <row r="245" spans="9:163">
      <c r="BO245" s="4"/>
      <c r="CY245" s="4" t="s">
        <v>60</v>
      </c>
      <c r="CZ245" s="3" t="s">
        <v>555</v>
      </c>
      <c r="DA245" s="3" t="s">
        <v>555</v>
      </c>
      <c r="DB245" s="3" t="s">
        <v>555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>
      <c r="BI246" s="313"/>
      <c r="BJ246" s="313"/>
      <c r="BK246" s="394" t="s">
        <v>452</v>
      </c>
      <c r="BL246" s="394"/>
      <c r="BM246" s="394"/>
      <c r="BN246" s="394"/>
      <c r="BO246" s="313"/>
      <c r="BP246" s="1"/>
      <c r="BQ246" s="3" t="s">
        <v>533</v>
      </c>
      <c r="BR246" s="1" t="s">
        <v>528</v>
      </c>
      <c r="BS246" s="1" t="s">
        <v>701</v>
      </c>
      <c r="BT246" s="1" t="s">
        <v>85</v>
      </c>
      <c r="BU246" s="1" t="s">
        <v>628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530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9.2">
      <c r="BI247" s="313"/>
      <c r="BJ247" s="313"/>
      <c r="BK247" s="394"/>
      <c r="BL247" s="394"/>
      <c r="BM247" s="394"/>
      <c r="BN247" s="394"/>
      <c r="BO247" s="313"/>
      <c r="BP247" s="1"/>
      <c r="BQ247" s="3" t="s">
        <v>532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6.8" thickBot="1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5.6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9.2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629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5" thickBot="1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502</v>
      </c>
      <c r="CV251" s="50">
        <f>CL258</f>
        <v>3698.8733194995434</v>
      </c>
      <c r="CW251" s="48">
        <f>CW258</f>
        <v>303788.26554911444</v>
      </c>
    </row>
    <row r="252" spans="9:163" ht="22.05" customHeight="1"/>
    <row r="253" spans="9:163" ht="13.95" customHeight="1">
      <c r="CK253" s="4"/>
      <c r="CL253" s="1" t="s">
        <v>528</v>
      </c>
      <c r="CM253" s="1" t="s">
        <v>529</v>
      </c>
      <c r="CN253" s="1" t="s">
        <v>701</v>
      </c>
      <c r="CO253" s="1" t="s">
        <v>85</v>
      </c>
      <c r="CP253" s="1" t="s">
        <v>628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530</v>
      </c>
      <c r="CW253" s="1" t="s">
        <v>50</v>
      </c>
    </row>
    <row r="254" spans="9:163" ht="19.95" customHeight="1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.05" customHeight="1">
      <c r="CJ255" s="389" t="s">
        <v>502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9:163" ht="19.2">
      <c r="CJ256" s="389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9.2">
      <c r="AZ257" s="16"/>
      <c r="CJ257" s="389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9.2">
      <c r="CL259" s="1" t="s">
        <v>89</v>
      </c>
      <c r="CM259" s="1"/>
      <c r="CN259" s="3" t="s">
        <v>91</v>
      </c>
      <c r="CO259" s="3" t="s">
        <v>87</v>
      </c>
      <c r="CP259" s="1" t="s">
        <v>629</v>
      </c>
      <c r="CQ259" s="4"/>
      <c r="CR259" s="4"/>
      <c r="CV259" s="3" t="s">
        <v>96</v>
      </c>
      <c r="CW259" s="1" t="s">
        <v>93</v>
      </c>
    </row>
    <row r="261" spans="52:101" ht="25.05" customHeight="1"/>
    <row r="264" spans="52:101" ht="15" thickBot="1"/>
    <row r="265" spans="52:101">
      <c r="CV265" s="63" t="s">
        <v>1</v>
      </c>
      <c r="CW265" s="58" t="s">
        <v>0</v>
      </c>
    </row>
    <row r="266" spans="52:101" ht="18.600000000000001">
      <c r="CV266" s="65" t="s">
        <v>89</v>
      </c>
      <c r="CW266" s="64" t="s">
        <v>93</v>
      </c>
    </row>
    <row r="267" spans="52:101" ht="15" thickBot="1">
      <c r="CR267" s="3" t="s">
        <v>502</v>
      </c>
      <c r="CV267" s="50">
        <f>CL282</f>
        <v>23.982067525572877</v>
      </c>
      <c r="CW267" s="48">
        <f>CW282</f>
        <v>955411.7785075705</v>
      </c>
    </row>
    <row r="268" spans="52:101" ht="18" customHeight="1"/>
    <row r="269" spans="52:101" ht="19.2">
      <c r="CK269" s="4"/>
      <c r="CL269" s="1" t="s">
        <v>528</v>
      </c>
      <c r="CM269" s="1" t="s">
        <v>529</v>
      </c>
      <c r="CN269" s="1" t="s">
        <v>701</v>
      </c>
      <c r="CO269" s="1" t="s">
        <v>85</v>
      </c>
      <c r="CP269" s="1" t="s">
        <v>628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530</v>
      </c>
      <c r="CW269" s="1" t="s">
        <v>50</v>
      </c>
    </row>
    <row r="270" spans="52:101" ht="19.2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>
      <c r="CJ271" s="425" t="s">
        <v>671</v>
      </c>
      <c r="CK271" s="17" t="s">
        <v>644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6.2">
      <c r="CJ272" s="425"/>
      <c r="CK272" s="3" t="s">
        <v>645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6.2">
      <c r="CJ273" s="425"/>
      <c r="CK273" s="3" t="s">
        <v>646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6.2">
      <c r="CJ274" s="425"/>
      <c r="CK274" s="3" t="s">
        <v>655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6.2">
      <c r="CJ275" s="425"/>
      <c r="CK275" s="3" t="s">
        <v>662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6.2">
      <c r="CJ276" s="425"/>
      <c r="CK276" s="3" t="s">
        <v>664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6.95" customHeight="1">
      <c r="CJ277" s="425"/>
      <c r="CK277" s="4" t="s">
        <v>665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>
      <c r="CJ278" s="425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5.6">
      <c r="CJ279" s="425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9.2">
      <c r="CJ280" s="425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9.2">
      <c r="CJ281" s="425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9.2">
      <c r="CL283" s="1" t="s">
        <v>89</v>
      </c>
      <c r="CM283" s="1"/>
      <c r="CN283" s="3" t="s">
        <v>91</v>
      </c>
      <c r="CO283" s="3" t="s">
        <v>87</v>
      </c>
      <c r="CP283" s="1" t="s">
        <v>629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3:V58"/>
  <sheetViews>
    <sheetView topLeftCell="A7" zoomScale="111" workbookViewId="0">
      <selection activeCell="M27" sqref="M27"/>
    </sheetView>
  </sheetViews>
  <sheetFormatPr defaultColWidth="11.5546875" defaultRowHeight="14.4"/>
  <cols>
    <col min="9" max="9" width="12.109375" customWidth="1"/>
  </cols>
  <sheetData>
    <row r="3" spans="2:22" ht="19.2">
      <c r="B3" s="4"/>
      <c r="C3" s="1" t="s">
        <v>528</v>
      </c>
      <c r="D3" s="1" t="s">
        <v>529</v>
      </c>
      <c r="E3" s="1" t="s">
        <v>701</v>
      </c>
      <c r="F3" s="1" t="s">
        <v>85</v>
      </c>
      <c r="G3" s="1" t="s">
        <v>628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49</v>
      </c>
      <c r="M3" s="1" t="s">
        <v>530</v>
      </c>
      <c r="N3" s="1" t="s">
        <v>50</v>
      </c>
    </row>
    <row r="4" spans="2:22" ht="19.2">
      <c r="B4" s="4" t="s">
        <v>41</v>
      </c>
      <c r="C4" s="1" t="s">
        <v>88</v>
      </c>
      <c r="D4" s="4" t="s">
        <v>282</v>
      </c>
      <c r="E4" s="2" t="s">
        <v>90</v>
      </c>
      <c r="F4" s="2" t="s">
        <v>86</v>
      </c>
      <c r="G4" s="1" t="s">
        <v>95</v>
      </c>
      <c r="H4" s="2" t="s">
        <v>95</v>
      </c>
      <c r="I4" s="2" t="s">
        <v>25</v>
      </c>
      <c r="J4" s="2" t="s">
        <v>98</v>
      </c>
      <c r="K4" s="2" t="s">
        <v>95</v>
      </c>
      <c r="L4" s="2" t="s">
        <v>95</v>
      </c>
      <c r="M4" s="2" t="s">
        <v>94</v>
      </c>
      <c r="N4" s="2" t="s">
        <v>92</v>
      </c>
      <c r="R4" s="417" t="s">
        <v>425</v>
      </c>
      <c r="S4" s="417"/>
      <c r="T4" s="417"/>
      <c r="U4" s="417"/>
      <c r="V4" s="417"/>
    </row>
    <row r="5" spans="2:22" ht="18.600000000000001" thickBot="1">
      <c r="B5" s="27" t="s">
        <v>324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17"/>
      <c r="S5" s="417"/>
      <c r="T5" s="417"/>
      <c r="U5" s="417"/>
      <c r="V5" s="417"/>
    </row>
    <row r="6" spans="2:22" ht="18">
      <c r="B6" s="6" t="s">
        <v>327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10" t="s">
        <v>336</v>
      </c>
    </row>
    <row r="7" spans="2:22" ht="15.6">
      <c r="B7" s="27" t="s">
        <v>19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6"/>
      <c r="K7" s="126"/>
      <c r="L7" s="126"/>
      <c r="M7" s="27">
        <f>SUM(M5:M6)</f>
        <v>12.027717183038042</v>
      </c>
      <c r="N7" s="27">
        <f>SUM(N5:N6)</f>
        <v>25297.051877142174</v>
      </c>
      <c r="T7" s="133" t="s">
        <v>63</v>
      </c>
    </row>
    <row r="8" spans="2:22" ht="19.8" thickBot="1">
      <c r="B8" s="6"/>
      <c r="C8" s="6" t="s">
        <v>321</v>
      </c>
      <c r="D8" s="6"/>
      <c r="E8" s="113" t="s">
        <v>328</v>
      </c>
      <c r="F8" s="113" t="s">
        <v>329</v>
      </c>
      <c r="G8" s="1" t="s">
        <v>629</v>
      </c>
      <c r="H8" s="6"/>
      <c r="I8" s="6"/>
      <c r="J8" s="113"/>
      <c r="K8" s="113"/>
      <c r="L8" s="113"/>
      <c r="M8" s="113" t="s">
        <v>330</v>
      </c>
      <c r="N8" s="6" t="s">
        <v>322</v>
      </c>
      <c r="T8" s="134">
        <v>1173.1500000000001</v>
      </c>
    </row>
    <row r="16" spans="2:22" ht="19.2">
      <c r="B16" s="3"/>
      <c r="C16" s="288" t="s">
        <v>703</v>
      </c>
      <c r="D16" s="288" t="s">
        <v>704</v>
      </c>
      <c r="E16" s="3" t="s">
        <v>705</v>
      </c>
      <c r="F16" s="1" t="s">
        <v>706</v>
      </c>
    </row>
    <row r="17" spans="2:9" ht="15.6">
      <c r="B17" s="3"/>
      <c r="C17" s="288" t="s">
        <v>58</v>
      </c>
      <c r="D17" s="288" t="s">
        <v>58</v>
      </c>
      <c r="E17" s="3" t="s">
        <v>63</v>
      </c>
      <c r="F17" s="288" t="s">
        <v>58</v>
      </c>
    </row>
    <row r="18" spans="2:9" ht="18">
      <c r="B18" s="27" t="s">
        <v>324</v>
      </c>
      <c r="C18" s="17">
        <f>cp_CaCO3*(T8-Constants!O5)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>
      <c r="B19" s="6" t="s">
        <v>327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>
      <c r="B20" s="354"/>
      <c r="C20" s="354"/>
      <c r="D20" s="354"/>
      <c r="E20" s="354"/>
      <c r="F20" s="354"/>
      <c r="G20" s="354"/>
    </row>
    <row r="22" spans="2:9" ht="19.2">
      <c r="C22" s="1" t="s">
        <v>6</v>
      </c>
    </row>
    <row r="23" spans="2:9" ht="19.2">
      <c r="C23" s="2" t="s">
        <v>95</v>
      </c>
    </row>
    <row r="24" spans="2:9" ht="18">
      <c r="B24" s="27" t="s">
        <v>324</v>
      </c>
      <c r="C24" s="27">
        <f>b_ch_CaCO3</f>
        <v>11.256799999999885</v>
      </c>
    </row>
    <row r="25" spans="2:9" ht="18">
      <c r="B25" s="6" t="s">
        <v>327</v>
      </c>
      <c r="C25" s="6">
        <f>b_ch_MgCO3</f>
        <v>33.790400000000034</v>
      </c>
    </row>
    <row r="26" spans="2:9">
      <c r="B26" s="354"/>
      <c r="C26" s="354"/>
    </row>
    <row r="28" spans="2:9" ht="19.2">
      <c r="C28" s="1" t="s">
        <v>528</v>
      </c>
      <c r="D28" s="1" t="s">
        <v>529</v>
      </c>
      <c r="E28" s="1" t="s">
        <v>701</v>
      </c>
      <c r="F28" s="1" t="s">
        <v>85</v>
      </c>
      <c r="G28" s="1" t="s">
        <v>7</v>
      </c>
      <c r="H28" s="1" t="s">
        <v>8</v>
      </c>
      <c r="I28" s="1" t="s">
        <v>9</v>
      </c>
    </row>
    <row r="29" spans="2:9" ht="19.2">
      <c r="C29" s="1" t="s">
        <v>88</v>
      </c>
      <c r="D29" s="4" t="s">
        <v>282</v>
      </c>
      <c r="E29" s="2" t="s">
        <v>90</v>
      </c>
      <c r="F29" s="2" t="s">
        <v>86</v>
      </c>
      <c r="G29" s="2" t="s">
        <v>25</v>
      </c>
      <c r="H29" s="2" t="s">
        <v>98</v>
      </c>
      <c r="I29" s="2" t="s">
        <v>95</v>
      </c>
    </row>
    <row r="30" spans="2:9" ht="18">
      <c r="B30" s="27" t="s">
        <v>324</v>
      </c>
      <c r="C30" s="27">
        <f>Limestone_for_BF</f>
        <v>198.12782320839224</v>
      </c>
      <c r="D30" s="27">
        <v>0.95</v>
      </c>
      <c r="E30" s="27">
        <f>MW_CaCO3</f>
        <v>0.1000872</v>
      </c>
      <c r="F30" s="27">
        <f>C30/E30</f>
        <v>1979.5520626852608</v>
      </c>
      <c r="G30" s="27">
        <f>D30/D32</f>
        <v>0.95</v>
      </c>
      <c r="H30" s="27">
        <f>LN(G30)</f>
        <v>-5.1293294387550578E-2</v>
      </c>
      <c r="I30" s="27">
        <f>RT0*H30</f>
        <v>-0.12708282996235246</v>
      </c>
    </row>
    <row r="31" spans="2:9" ht="18">
      <c r="B31" s="6" t="s">
        <v>327</v>
      </c>
      <c r="C31" s="6">
        <f>(C30*D31)/D30</f>
        <v>10.427780168862752</v>
      </c>
      <c r="D31" s="6">
        <v>0.05</v>
      </c>
      <c r="E31" s="6">
        <f>MW_MgCO3</f>
        <v>8.4314200000000006E-2</v>
      </c>
      <c r="F31" s="6">
        <f>C31/E31</f>
        <v>123.6776268868441</v>
      </c>
      <c r="G31" s="6">
        <f>D31/D32</f>
        <v>0.05</v>
      </c>
      <c r="H31" s="6">
        <f>LN(G31)</f>
        <v>-2.9957322735539909</v>
      </c>
      <c r="I31" s="6">
        <f>RT0*H31</f>
        <v>-7.4221424004537075</v>
      </c>
    </row>
    <row r="32" spans="2:9" ht="15.6">
      <c r="B32" s="354"/>
      <c r="C32" s="27">
        <f>SUM(C30:C31)</f>
        <v>208.55560337725498</v>
      </c>
      <c r="D32" s="27">
        <f>SUM(D30:D31)</f>
        <v>1</v>
      </c>
      <c r="E32" s="27">
        <f>SUM(E30:E31)</f>
        <v>0.18440139999999999</v>
      </c>
      <c r="F32" s="27">
        <f>SUM(F30:F31)</f>
        <v>2103.2296895721047</v>
      </c>
      <c r="G32" s="27">
        <f>SUM(G30:G31)</f>
        <v>1</v>
      </c>
      <c r="H32" s="126"/>
      <c r="I32" s="126"/>
    </row>
    <row r="33" spans="2:9" ht="18">
      <c r="C33" s="6" t="s">
        <v>321</v>
      </c>
      <c r="D33" s="6"/>
      <c r="E33" s="113" t="s">
        <v>328</v>
      </c>
      <c r="F33" s="113" t="s">
        <v>329</v>
      </c>
    </row>
    <row r="40" spans="2:9" ht="16.2">
      <c r="B40" s="3"/>
      <c r="C40" s="3" t="s">
        <v>710</v>
      </c>
      <c r="D40" s="3" t="s">
        <v>712</v>
      </c>
      <c r="E40" s="3" t="s">
        <v>713</v>
      </c>
      <c r="F40" s="3" t="s">
        <v>716</v>
      </c>
      <c r="G40" s="3" t="s">
        <v>716</v>
      </c>
      <c r="H40" s="3" t="s">
        <v>715</v>
      </c>
      <c r="I40" s="3" t="s">
        <v>715</v>
      </c>
    </row>
    <row r="41" spans="2:9" ht="19.2">
      <c r="B41" s="3"/>
      <c r="C41" s="3" t="s">
        <v>98</v>
      </c>
      <c r="D41" s="3" t="s">
        <v>718</v>
      </c>
      <c r="E41" s="3" t="s">
        <v>711</v>
      </c>
      <c r="F41" s="3" t="s">
        <v>714</v>
      </c>
      <c r="G41" s="3" t="s">
        <v>717</v>
      </c>
      <c r="H41" s="3" t="s">
        <v>342</v>
      </c>
      <c r="I41" s="1" t="s">
        <v>95</v>
      </c>
    </row>
    <row r="42" spans="2:9" ht="18">
      <c r="B42" s="27" t="s">
        <v>324</v>
      </c>
      <c r="C42" s="17">
        <v>1.373</v>
      </c>
      <c r="D42" s="17">
        <f>0.025*0.001</f>
        <v>2.5000000000000001E-5</v>
      </c>
      <c r="E42" s="17">
        <v>6</v>
      </c>
      <c r="F42" s="17">
        <v>1E-3</v>
      </c>
      <c r="G42" s="17">
        <f>1/1000</f>
        <v>1E-3</v>
      </c>
      <c r="H42" s="17">
        <f>((E42*C42)/D42)*F42*G42</f>
        <v>0.32951999999999992</v>
      </c>
      <c r="I42" s="17">
        <f>H42*MW_CaCO3</f>
        <v>3.298073414399999E-2</v>
      </c>
    </row>
    <row r="43" spans="2:9" ht="18">
      <c r="B43" s="6" t="s">
        <v>327</v>
      </c>
      <c r="C43" s="3">
        <v>1.373</v>
      </c>
      <c r="D43" s="3">
        <v>1.5475E-3</v>
      </c>
      <c r="E43" s="3">
        <v>6</v>
      </c>
      <c r="F43" s="3">
        <v>1E-3</v>
      </c>
      <c r="G43" s="3">
        <v>1E-3</v>
      </c>
      <c r="H43" s="3">
        <f>((E43*C43)/D43)*F43*G43</f>
        <v>5.3234248788368334E-3</v>
      </c>
      <c r="I43" s="3">
        <f>H43*MW_MgCO3</f>
        <v>4.4884030991922455E-4</v>
      </c>
    </row>
    <row r="44" spans="2:9">
      <c r="B44" s="17"/>
      <c r="C44" s="17"/>
      <c r="D44" s="17"/>
      <c r="E44" s="17"/>
      <c r="F44" s="17"/>
      <c r="G44" s="17"/>
      <c r="H44" s="17"/>
      <c r="I44" s="17"/>
    </row>
    <row r="48" spans="2:9" ht="19.2">
      <c r="C48" s="1" t="s">
        <v>7</v>
      </c>
      <c r="D48" s="1" t="s">
        <v>719</v>
      </c>
      <c r="E48" s="1" t="s">
        <v>720</v>
      </c>
      <c r="F48" s="1" t="s">
        <v>721</v>
      </c>
      <c r="G48" s="1" t="s">
        <v>722</v>
      </c>
      <c r="H48" s="1" t="s">
        <v>723</v>
      </c>
    </row>
    <row r="49" spans="2:8" ht="19.2">
      <c r="C49" s="2" t="s">
        <v>25</v>
      </c>
      <c r="D49" s="2" t="s">
        <v>94</v>
      </c>
      <c r="E49" s="2" t="s">
        <v>94</v>
      </c>
      <c r="F49" s="2" t="s">
        <v>94</v>
      </c>
      <c r="G49" s="2" t="s">
        <v>94</v>
      </c>
      <c r="H49" s="2" t="s">
        <v>94</v>
      </c>
    </row>
    <row r="50" spans="2:8" ht="18">
      <c r="B50" s="27" t="s">
        <v>324</v>
      </c>
      <c r="C50" s="27">
        <f>I5</f>
        <v>0.94119632891260407</v>
      </c>
      <c r="D50">
        <f>b_ph_CaCO3*C50</f>
        <v>33.418636498178707</v>
      </c>
      <c r="E50">
        <f>C24*C50</f>
        <v>10.594858835303294</v>
      </c>
      <c r="F50">
        <f>I30*C50</f>
        <v>-0.11960989302839081</v>
      </c>
      <c r="G50">
        <f>I42*C50</f>
        <v>3.1041345901175365E-2</v>
      </c>
      <c r="H50">
        <f>D50+E50+F50+G50</f>
        <v>43.924926786354781</v>
      </c>
    </row>
    <row r="51" spans="2:8" ht="18">
      <c r="B51" s="6" t="s">
        <v>327</v>
      </c>
      <c r="C51" s="6">
        <f>I6</f>
        <v>5.880367108739603E-2</v>
      </c>
      <c r="D51">
        <f>b_ph_CaCO3*C51</f>
        <v>2.0879156117178441</v>
      </c>
      <c r="E51">
        <f>C25*C51</f>
        <v>1.9869995675115488</v>
      </c>
      <c r="F51">
        <f>I31*C51</f>
        <v>-0.43644922048009582</v>
      </c>
      <c r="G51">
        <f>I43*C51</f>
        <v>2.6393457955254979E-5</v>
      </c>
      <c r="H51">
        <f>D51+E51+F51+G51</f>
        <v>3.6384923522072521</v>
      </c>
    </row>
    <row r="52" spans="2:8" ht="15.6">
      <c r="B52" s="354"/>
      <c r="C52" s="27">
        <f>SUM(C50:C51)</f>
        <v>1</v>
      </c>
      <c r="D52" s="27">
        <f t="shared" ref="D52:F52" si="0">SUM(D50:D51)</f>
        <v>35.506552109896553</v>
      </c>
      <c r="E52" s="27">
        <f t="shared" si="0"/>
        <v>12.581858402814841</v>
      </c>
      <c r="F52" s="27">
        <f t="shared" si="0"/>
        <v>-0.55605911350848669</v>
      </c>
      <c r="G52" s="354">
        <f>G50+G51</f>
        <v>3.1067739359130622E-2</v>
      </c>
      <c r="H52" s="354">
        <f>H50+H51</f>
        <v>47.563419138562033</v>
      </c>
    </row>
    <row r="55" spans="2:8" ht="19.2">
      <c r="C55" s="1" t="s">
        <v>725</v>
      </c>
      <c r="D55" s="1" t="s">
        <v>723</v>
      </c>
      <c r="E55" s="1" t="s">
        <v>724</v>
      </c>
    </row>
    <row r="56" spans="2:8" ht="19.2">
      <c r="C56" s="2" t="s">
        <v>94</v>
      </c>
      <c r="D56" s="2" t="s">
        <v>94</v>
      </c>
      <c r="E56" s="3" t="s">
        <v>726</v>
      </c>
    </row>
    <row r="57" spans="2:8">
      <c r="C57" s="3">
        <f>G52</f>
        <v>3.1067739359130622E-2</v>
      </c>
      <c r="D57" s="3">
        <f>H52</f>
        <v>47.563419138562033</v>
      </c>
      <c r="E57" s="95">
        <f>(C57/D57)*100</f>
        <v>6.531855766849709E-2</v>
      </c>
    </row>
    <row r="58" spans="2:8">
      <c r="C58" s="354"/>
      <c r="D58" s="354"/>
      <c r="E58" s="354"/>
    </row>
  </sheetData>
  <mergeCells count="1">
    <mergeCell ref="R4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11" zoomScale="171" workbookViewId="0">
      <selection activeCell="H34" sqref="H34"/>
    </sheetView>
  </sheetViews>
  <sheetFormatPr defaultColWidth="11.5546875" defaultRowHeight="14.4"/>
  <cols>
    <col min="3" max="4" width="11.109375" bestFit="1" customWidth="1"/>
    <col min="5" max="5" width="12.109375" bestFit="1" customWidth="1"/>
    <col min="6" max="7" width="12.77734375" bestFit="1" customWidth="1"/>
    <col min="8" max="9" width="14" bestFit="1" customWidth="1"/>
  </cols>
  <sheetData>
    <row r="4" spans="4:9" ht="15" thickBot="1"/>
    <row r="5" spans="4:9" ht="18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18.600000000000001" thickBot="1">
      <c r="D6" s="211"/>
      <c r="E6" s="269" t="s">
        <v>98</v>
      </c>
      <c r="F6" s="270" t="s">
        <v>48</v>
      </c>
      <c r="G6" s="271" t="s">
        <v>48</v>
      </c>
      <c r="H6" s="270" t="s">
        <v>417</v>
      </c>
      <c r="I6" s="271" t="s">
        <v>417</v>
      </c>
    </row>
    <row r="7" spans="4:9" ht="18">
      <c r="D7" s="428" t="s">
        <v>416</v>
      </c>
      <c r="E7" s="214" t="s">
        <v>541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18.600000000000001" thickBot="1">
      <c r="D8" s="429"/>
      <c r="E8" s="214" t="s">
        <v>418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8">
      <c r="D9" s="430" t="s">
        <v>20</v>
      </c>
      <c r="E9" s="214" t="s">
        <v>541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8">
      <c r="D10" s="431"/>
      <c r="E10" s="214" t="s">
        <v>542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8">
      <c r="D11" s="431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18.600000000000001" thickBot="1">
      <c r="D12" s="432"/>
      <c r="E12" s="214" t="s">
        <v>419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8">
      <c r="D13" s="433" t="s">
        <v>349</v>
      </c>
      <c r="E13" s="214" t="s">
        <v>541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8">
      <c r="D14" s="434"/>
      <c r="E14" s="214" t="s">
        <v>419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18.600000000000001" thickBot="1">
      <c r="D15" s="435"/>
      <c r="E15" s="214" t="s">
        <v>418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8">
      <c r="D16" s="436" t="s">
        <v>348</v>
      </c>
      <c r="E16" s="214" t="s">
        <v>418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8">
      <c r="D17" s="436"/>
      <c r="E17" s="214" t="s">
        <v>419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18.600000000000001" thickBot="1">
      <c r="D18" s="437"/>
      <c r="E18" s="213" t="s">
        <v>527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>
      <c r="F19">
        <f>SUM(F7:F18)</f>
        <v>15696824.560040887</v>
      </c>
    </row>
    <row r="23" spans="4:9">
      <c r="E23" s="201" t="s">
        <v>544</v>
      </c>
      <c r="F23" s="3" t="s">
        <v>543</v>
      </c>
      <c r="G23" s="3" t="s">
        <v>608</v>
      </c>
    </row>
    <row r="24" spans="4:9">
      <c r="E24" s="201" t="s">
        <v>541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201" t="s">
        <v>418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201" t="s">
        <v>419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201" t="s">
        <v>542</v>
      </c>
      <c r="F27">
        <f>Ore_to_PI!V151</f>
        <v>24.076233417548465</v>
      </c>
      <c r="G27">
        <f t="shared" si="2"/>
        <v>2.4076233417548466E-8</v>
      </c>
    </row>
    <row r="28" spans="4:9">
      <c r="E28" s="201" t="s">
        <v>527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abSelected="1" topLeftCell="AN96" zoomScale="72" zoomScaleNormal="20" workbookViewId="0">
      <selection activeCell="BE119" sqref="BE119"/>
    </sheetView>
  </sheetViews>
  <sheetFormatPr defaultColWidth="10.77734375" defaultRowHeight="14.4"/>
  <cols>
    <col min="1" max="2" width="10.77734375" style="3"/>
    <col min="3" max="3" width="11" style="3" bestFit="1" customWidth="1"/>
    <col min="4" max="4" width="10.77734375" style="3"/>
    <col min="5" max="5" width="17" style="3" bestFit="1" customWidth="1"/>
    <col min="6" max="6" width="13" style="3" bestFit="1" customWidth="1"/>
    <col min="7" max="7" width="11.109375" style="3" bestFit="1" customWidth="1"/>
    <col min="8" max="8" width="13" style="3" bestFit="1" customWidth="1"/>
    <col min="9" max="9" width="11.109375" style="3" bestFit="1" customWidth="1"/>
    <col min="10" max="10" width="13" style="3" bestFit="1" customWidth="1"/>
    <col min="11" max="11" width="11.109375" style="3" bestFit="1" customWidth="1"/>
    <col min="12" max="14" width="13" style="3" bestFit="1" customWidth="1"/>
    <col min="15" max="29" width="11.109375" style="3" bestFit="1" customWidth="1"/>
    <col min="30" max="30" width="13" style="3" bestFit="1" customWidth="1"/>
    <col min="31" max="31" width="11.7773437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7773437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77734375" style="3"/>
    <col min="67" max="67" width="11.7773437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77734375" style="3"/>
  </cols>
  <sheetData>
    <row r="1" spans="2:81" ht="109.8">
      <c r="C1" s="204" t="s">
        <v>553</v>
      </c>
      <c r="AT1" s="256"/>
      <c r="AU1" s="204" t="s">
        <v>401</v>
      </c>
      <c r="AV1" s="204" t="s">
        <v>402</v>
      </c>
      <c r="AW1" s="204" t="s">
        <v>403</v>
      </c>
      <c r="AX1" s="204" t="s">
        <v>534</v>
      </c>
      <c r="AY1" s="204" t="s">
        <v>514</v>
      </c>
      <c r="AZ1" s="204" t="s">
        <v>513</v>
      </c>
      <c r="BA1" s="204" t="s">
        <v>427</v>
      </c>
      <c r="BB1" s="204" t="s">
        <v>424</v>
      </c>
      <c r="BC1" s="204" t="s">
        <v>438</v>
      </c>
      <c r="BD1" s="204" t="s">
        <v>425</v>
      </c>
      <c r="BE1" s="204" t="s">
        <v>420</v>
      </c>
      <c r="BF1" s="204" t="s">
        <v>633</v>
      </c>
      <c r="BG1" s="204" t="s">
        <v>635</v>
      </c>
      <c r="BH1" s="204" t="s">
        <v>81</v>
      </c>
      <c r="BI1" s="204" t="s">
        <v>413</v>
      </c>
      <c r="BN1" s="256"/>
      <c r="BO1" s="204" t="s">
        <v>401</v>
      </c>
      <c r="BP1" s="204" t="s">
        <v>402</v>
      </c>
      <c r="BQ1" s="204" t="s">
        <v>403</v>
      </c>
      <c r="BR1" s="204" t="s">
        <v>534</v>
      </c>
      <c r="BS1" s="204" t="s">
        <v>514</v>
      </c>
      <c r="BT1" s="204" t="s">
        <v>513</v>
      </c>
      <c r="BU1" s="204" t="s">
        <v>427</v>
      </c>
      <c r="BV1" s="204" t="s">
        <v>424</v>
      </c>
      <c r="BW1" s="204" t="s">
        <v>438</v>
      </c>
      <c r="BX1" s="204" t="s">
        <v>425</v>
      </c>
      <c r="BY1" s="204" t="s">
        <v>420</v>
      </c>
      <c r="BZ1" s="204" t="s">
        <v>633</v>
      </c>
      <c r="CA1" s="204" t="s">
        <v>635</v>
      </c>
      <c r="CB1" s="204" t="s">
        <v>81</v>
      </c>
      <c r="CC1" s="204" t="s">
        <v>413</v>
      </c>
    </row>
    <row r="2" spans="2:81">
      <c r="B2" s="201" t="s">
        <v>409</v>
      </c>
      <c r="C2" s="280">
        <v>1</v>
      </c>
      <c r="AT2" s="201" t="s">
        <v>409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409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>
      <c r="B3" s="201" t="s">
        <v>411</v>
      </c>
      <c r="C3" s="280">
        <v>1</v>
      </c>
      <c r="AT3" s="201" t="s">
        <v>411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411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>
      <c r="B4" s="201" t="s">
        <v>412</v>
      </c>
      <c r="C4" s="280">
        <v>1</v>
      </c>
      <c r="AT4" s="201" t="s">
        <v>412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412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>
      <c r="B5" s="201" t="s">
        <v>431</v>
      </c>
      <c r="C5" s="280">
        <v>1</v>
      </c>
      <c r="AT5" s="201" t="s">
        <v>431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431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>
      <c r="B6" s="201" t="s">
        <v>453</v>
      </c>
      <c r="C6" s="280">
        <v>1</v>
      </c>
      <c r="AM6" s="201"/>
      <c r="AT6" s="201" t="s">
        <v>453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453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>
      <c r="B7" s="201" t="s">
        <v>545</v>
      </c>
      <c r="C7" s="280">
        <v>1</v>
      </c>
      <c r="AM7" s="201"/>
      <c r="AT7" s="201" t="s">
        <v>545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545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>
      <c r="B8" s="201" t="s">
        <v>546</v>
      </c>
      <c r="C8" s="280">
        <v>1</v>
      </c>
      <c r="AM8" s="201"/>
      <c r="AT8" s="201" t="s">
        <v>546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546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>
      <c r="B9" s="201" t="s">
        <v>490</v>
      </c>
      <c r="C9" s="280">
        <v>1</v>
      </c>
      <c r="AM9" s="201"/>
      <c r="AT9" s="201" t="s">
        <v>490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>
      <c r="B10" s="201" t="s">
        <v>538</v>
      </c>
      <c r="C10" s="280">
        <v>1</v>
      </c>
      <c r="AM10" s="201"/>
      <c r="AT10" s="201" t="s">
        <v>538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538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5.6">
      <c r="B11" s="202" t="s">
        <v>521</v>
      </c>
      <c r="C11" s="280">
        <v>1</v>
      </c>
      <c r="AT11" s="202" t="s">
        <v>521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521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>
      <c r="B12" s="201" t="s">
        <v>488</v>
      </c>
      <c r="C12" s="280">
        <v>1</v>
      </c>
      <c r="AT12" s="201" t="s">
        <v>488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488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5.6">
      <c r="B13" s="202" t="s">
        <v>491</v>
      </c>
      <c r="C13" s="280">
        <v>1</v>
      </c>
      <c r="AT13" s="202" t="s">
        <v>491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491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>
      <c r="B14" s="201" t="s">
        <v>516</v>
      </c>
      <c r="C14" s="280">
        <v>1</v>
      </c>
      <c r="AT14" s="201" t="s">
        <v>516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516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>
      <c r="B15" s="203" t="s">
        <v>509</v>
      </c>
      <c r="C15" s="280">
        <v>1</v>
      </c>
      <c r="AT15" s="203" t="s">
        <v>509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509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>
      <c r="B16" s="201" t="s">
        <v>495</v>
      </c>
      <c r="C16" s="280">
        <v>1</v>
      </c>
      <c r="AT16" s="201" t="s">
        <v>495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495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5.6">
      <c r="B17" s="202" t="s">
        <v>520</v>
      </c>
      <c r="C17" s="280">
        <v>1</v>
      </c>
      <c r="AT17" s="202" t="s">
        <v>520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5.6">
      <c r="B18" s="202" t="s">
        <v>515</v>
      </c>
      <c r="C18" s="280">
        <v>1</v>
      </c>
      <c r="AT18" s="202" t="s">
        <v>515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515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5.6">
      <c r="B19" s="202" t="s">
        <v>512</v>
      </c>
      <c r="C19" s="280">
        <v>1</v>
      </c>
      <c r="AT19" s="202" t="s">
        <v>512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512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5.6">
      <c r="B20" s="202" t="s">
        <v>518</v>
      </c>
      <c r="C20" s="280">
        <v>1</v>
      </c>
      <c r="AT20" s="202" t="s">
        <v>518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518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>
      <c r="B21" s="203" t="s">
        <v>517</v>
      </c>
      <c r="C21" s="280">
        <v>1</v>
      </c>
      <c r="AT21" s="203" t="s">
        <v>517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517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>
      <c r="B22" s="203" t="s">
        <v>503</v>
      </c>
      <c r="C22" s="280">
        <v>1</v>
      </c>
      <c r="AT22" s="203" t="s">
        <v>503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503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>
      <c r="B23" s="203" t="s">
        <v>535</v>
      </c>
      <c r="C23" s="280">
        <v>1</v>
      </c>
      <c r="AT23" s="203" t="s">
        <v>535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535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>
      <c r="B24" s="203" t="s">
        <v>504</v>
      </c>
      <c r="C24" s="280">
        <v>1</v>
      </c>
      <c r="AT24" s="203" t="s">
        <v>504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504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>
      <c r="B25" s="203" t="s">
        <v>506</v>
      </c>
      <c r="C25" s="280">
        <v>1</v>
      </c>
      <c r="AT25" s="203" t="s">
        <v>506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506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>
      <c r="B26" s="203" t="s">
        <v>505</v>
      </c>
      <c r="C26" s="280">
        <v>1</v>
      </c>
      <c r="AT26" s="203" t="s">
        <v>505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505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>
      <c r="B27" s="203" t="s">
        <v>600</v>
      </c>
      <c r="C27" s="280">
        <v>1</v>
      </c>
      <c r="AT27" s="203" t="s">
        <v>600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5.6">
      <c r="B28" s="249" t="s">
        <v>501</v>
      </c>
      <c r="C28" s="280">
        <v>1</v>
      </c>
      <c r="AT28" s="249" t="s">
        <v>501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501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5.6">
      <c r="B29" s="249" t="s">
        <v>671</v>
      </c>
      <c r="C29" s="280">
        <v>1</v>
      </c>
      <c r="AT29" s="249" t="s">
        <v>671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671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>
      <c r="B30" s="203" t="s">
        <v>500</v>
      </c>
      <c r="C30" s="280">
        <v>1</v>
      </c>
      <c r="AT30" s="203" t="s">
        <v>500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>
      <c r="B31" s="201" t="s">
        <v>502</v>
      </c>
      <c r="C31" s="280">
        <v>1</v>
      </c>
      <c r="AT31" s="201" t="s">
        <v>502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502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>
      <c r="B32" s="203" t="s">
        <v>634</v>
      </c>
      <c r="C32" s="280">
        <v>1</v>
      </c>
      <c r="AT32" s="203" t="s">
        <v>634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634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>
      <c r="B33" s="203" t="s">
        <v>636</v>
      </c>
      <c r="C33" s="280">
        <v>1</v>
      </c>
      <c r="AT33" s="203" t="s">
        <v>636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636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>
      <c r="B34" s="203" t="s">
        <v>524</v>
      </c>
      <c r="C34" s="280">
        <v>1</v>
      </c>
      <c r="AT34" s="203" t="s">
        <v>524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524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>
      <c r="B35" s="203" t="s">
        <v>525</v>
      </c>
      <c r="C35" s="280">
        <v>1</v>
      </c>
      <c r="AT35" s="203" t="s">
        <v>525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525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>
      <c r="B36" s="203" t="s">
        <v>526</v>
      </c>
      <c r="C36" s="280">
        <v>1</v>
      </c>
      <c r="AT36" s="203" t="s">
        <v>526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526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>
      <c r="B37" s="203" t="s">
        <v>536</v>
      </c>
      <c r="C37" s="280">
        <v>1</v>
      </c>
      <c r="AT37" s="203" t="s">
        <v>536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536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>
      <c r="C38" s="169" t="s">
        <v>552</v>
      </c>
      <c r="AT38" s="203"/>
      <c r="AU38" s="438" t="s">
        <v>549</v>
      </c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G38" s="438"/>
      <c r="BH38" s="438"/>
      <c r="BI38" s="438"/>
      <c r="BN38" s="203"/>
      <c r="BO38" s="438" t="s">
        <v>550</v>
      </c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  <c r="BZ38" s="438"/>
      <c r="CA38" s="438"/>
      <c r="CB38" s="438"/>
      <c r="CC38" s="438"/>
    </row>
    <row r="39" spans="2:81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09.8">
      <c r="AT41" s="256"/>
      <c r="AU41" s="204" t="s">
        <v>401</v>
      </c>
      <c r="AV41" s="204" t="s">
        <v>402</v>
      </c>
      <c r="AW41" s="204" t="s">
        <v>403</v>
      </c>
      <c r="AX41" s="204" t="s">
        <v>534</v>
      </c>
      <c r="AY41" s="204" t="s">
        <v>514</v>
      </c>
      <c r="AZ41" s="204" t="s">
        <v>513</v>
      </c>
      <c r="BA41" s="204" t="s">
        <v>427</v>
      </c>
      <c r="BB41" s="204" t="s">
        <v>424</v>
      </c>
      <c r="BC41" s="204" t="s">
        <v>438</v>
      </c>
      <c r="BD41" s="204" t="s">
        <v>425</v>
      </c>
      <c r="BE41" s="204" t="s">
        <v>420</v>
      </c>
      <c r="BF41" s="204" t="s">
        <v>633</v>
      </c>
      <c r="BG41" s="204" t="s">
        <v>635</v>
      </c>
      <c r="BH41" s="204" t="s">
        <v>81</v>
      </c>
      <c r="BI41" s="204" t="s">
        <v>413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>
      <c r="AT42" s="201" t="s">
        <v>409</v>
      </c>
      <c r="AU42" s="280">
        <f>AU87</f>
        <v>108184.8596728804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>
      <c r="AT43" s="201" t="s">
        <v>411</v>
      </c>
      <c r="AU43" s="280">
        <f t="shared" ref="AU43:AU68" si="1">AU88</f>
        <v>0</v>
      </c>
      <c r="AV43" s="280">
        <f t="shared" ref="AV43:BI43" si="2">AV88</f>
        <v>25297.051877142174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>
      <c r="AT44" s="201" t="s">
        <v>412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8850991.3601140417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>
      <c r="AT45" s="201" t="s">
        <v>431</v>
      </c>
      <c r="AU45" s="280">
        <f t="shared" si="1"/>
        <v>125.02637472887361</v>
      </c>
      <c r="AV45" s="280">
        <f t="shared" ref="AV45:BI45" si="4">AV90</f>
        <v>0.37484270351331089</v>
      </c>
      <c r="AW45" s="280">
        <f t="shared" si="4"/>
        <v>30.954464502133519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2671.5132120132448</v>
      </c>
      <c r="BE45" s="280">
        <f t="shared" si="4"/>
        <v>14491.84871754296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11826.742854693757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>
      <c r="AT46" s="201" t="s">
        <v>453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>
      <c r="AT47" s="201" t="s">
        <v>545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>
      <c r="AT48" s="201" t="s">
        <v>546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>
      <c r="AT49" s="201" t="s">
        <v>490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>
      <c r="AT50" s="201" t="s">
        <v>538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5.6">
      <c r="AT51" s="202" t="s">
        <v>521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108184.8596728804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>
      <c r="AT52" s="201" t="s">
        <v>488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5.6">
      <c r="AT53" s="202" t="s">
        <v>491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25297.051877142174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>
      <c r="AT54" s="201" t="s">
        <v>516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>
      <c r="AT55" s="203" t="s">
        <v>509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8855804.320336977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>
      <c r="AT56" s="201" t="s">
        <v>495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5.6">
      <c r="AT57" s="202" t="s">
        <v>520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108184.8596728804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5.6">
      <c r="AT58" s="202" t="s">
        <v>515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25297.051877142174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5.6">
      <c r="AT59" s="202" t="s">
        <v>512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8855804.320336977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5.6">
      <c r="AT60" s="202" t="s">
        <v>518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88071.706245154463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>
      <c r="AT61" s="203" t="s">
        <v>517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>
      <c r="AT62" s="203" t="s">
        <v>503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25297.051877142174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>
      <c r="AT63" s="203" t="s">
        <v>535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8855804.320336977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>
      <c r="AT64" s="203" t="s">
        <v>504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>
      <c r="AT65" s="203" t="s">
        <v>506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>
      <c r="AT66" s="203" t="s">
        <v>505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>
      <c r="AT67" s="203" t="s">
        <v>600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5.6">
      <c r="AT68" s="249" t="s">
        <v>501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4026178.1360752485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5.6">
      <c r="AT69" s="249" t="s">
        <v>671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>
      <c r="AT70" s="203" t="s">
        <v>500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>
      <c r="AT71" s="201" t="s">
        <v>502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>
      <c r="AT72" s="203" t="s">
        <v>634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4043367.3234254471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>
      <c r="AT73" s="203" t="s">
        <v>636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2830357.1263978118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>
      <c r="AT74" s="203" t="s">
        <v>524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6682782.3361421349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>
      <c r="AT75" s="203" t="s">
        <v>525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>
      <c r="AT76" s="203" t="s">
        <v>526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>
      <c r="AT77" s="203" t="s">
        <v>536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>
      <c r="AT78" s="203"/>
      <c r="AU78" s="438" t="s">
        <v>551</v>
      </c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  <c r="BG78" s="438"/>
      <c r="BH78" s="438"/>
      <c r="BI78" s="438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09.8">
      <c r="AT86" s="256"/>
      <c r="AU86" s="204" t="s">
        <v>401</v>
      </c>
      <c r="AV86" s="204" t="s">
        <v>402</v>
      </c>
      <c r="AW86" s="204" t="s">
        <v>403</v>
      </c>
      <c r="AX86" s="204" t="s">
        <v>534</v>
      </c>
      <c r="AY86" s="204" t="s">
        <v>514</v>
      </c>
      <c r="AZ86" s="204" t="s">
        <v>513</v>
      </c>
      <c r="BA86" s="204" t="s">
        <v>427</v>
      </c>
      <c r="BB86" s="204" t="s">
        <v>424</v>
      </c>
      <c r="BC86" s="204" t="s">
        <v>438</v>
      </c>
      <c r="BD86" s="204" t="s">
        <v>425</v>
      </c>
      <c r="BE86" s="204" t="s">
        <v>420</v>
      </c>
      <c r="BF86" s="204" t="s">
        <v>633</v>
      </c>
      <c r="BG86" s="204" t="s">
        <v>635</v>
      </c>
      <c r="BH86" s="204" t="s">
        <v>81</v>
      </c>
      <c r="BI86" s="204" t="s">
        <v>413</v>
      </c>
      <c r="BN86" s="204"/>
      <c r="BO86" s="204" t="s">
        <v>407</v>
      </c>
      <c r="BP86" s="204" t="s">
        <v>352</v>
      </c>
    </row>
    <row r="87" spans="36:81">
      <c r="AJ87" s="201"/>
      <c r="AK87" s="201"/>
      <c r="AT87" s="201" t="s">
        <v>409</v>
      </c>
      <c r="AU87" s="227">
        <f>Ore_to_PI!$V$42</f>
        <v>108184.8596728804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108184.8596728804</v>
      </c>
      <c r="BN87" s="201" t="s">
        <v>409</v>
      </c>
      <c r="BO87" s="240"/>
      <c r="BP87" s="240"/>
      <c r="BQ87" s="248">
        <f>SUM(BO87:BP87)</f>
        <v>0</v>
      </c>
    </row>
    <row r="88" spans="36:81">
      <c r="AJ88" s="201"/>
      <c r="AK88" s="201"/>
      <c r="AT88" s="201" t="s">
        <v>411</v>
      </c>
      <c r="AU88" s="227"/>
      <c r="AV88" s="227">
        <f>Ore_to_PI!$V$126</f>
        <v>25297.051877142174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25297.051877142174</v>
      </c>
      <c r="BN88" s="201" t="s">
        <v>411</v>
      </c>
      <c r="BO88" s="240"/>
      <c r="BP88" s="240"/>
      <c r="BQ88" s="248">
        <f>SUM(BO88:BP88)</f>
        <v>0</v>
      </c>
    </row>
    <row r="89" spans="36:81">
      <c r="AJ89" s="201"/>
      <c r="AK89" s="201"/>
      <c r="AT89" s="201" t="s">
        <v>412</v>
      </c>
      <c r="AU89" s="227"/>
      <c r="AV89" s="227"/>
      <c r="AW89" s="227">
        <f>Ore_to_PI!$V$206</f>
        <v>8850991.3601140417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8850991.3601140417</v>
      </c>
      <c r="BN89" s="201" t="s">
        <v>412</v>
      </c>
      <c r="BO89" s="240"/>
      <c r="BP89" s="240"/>
      <c r="BQ89" s="248">
        <f>SUM(BO89:BP89)</f>
        <v>0</v>
      </c>
    </row>
    <row r="90" spans="36:81">
      <c r="AJ90" s="201"/>
      <c r="AK90" s="201"/>
      <c r="AT90" s="201" t="s">
        <v>431</v>
      </c>
      <c r="AU90" s="227">
        <f>Ore_to_PI!V72</f>
        <v>125.02637472887361</v>
      </c>
      <c r="AV90" s="227">
        <f>Ore_to_PI!V163</f>
        <v>0.37484270351331089</v>
      </c>
      <c r="AW90" s="227">
        <f>Ore_to_PI!V236</f>
        <v>30.954464502133519</v>
      </c>
      <c r="AX90" s="227"/>
      <c r="AY90" s="227"/>
      <c r="AZ90" s="227"/>
      <c r="BA90" s="227"/>
      <c r="BB90" s="227"/>
      <c r="BC90" s="227"/>
      <c r="BD90" s="227">
        <f>Ore_to_PI!CB140</f>
        <v>2671.5132120132448</v>
      </c>
      <c r="BE90" s="227">
        <f>Ore_to_PI!CB232</f>
        <v>14491.84871754296</v>
      </c>
      <c r="BF90" s="227"/>
      <c r="BG90" s="227"/>
      <c r="BH90" s="227"/>
      <c r="BI90" s="239">
        <f>Ore_to_PI!EM140</f>
        <v>11826.742854693757</v>
      </c>
      <c r="BJ90" s="248">
        <f t="shared" si="47"/>
        <v>29146.460466184486</v>
      </c>
      <c r="BN90" s="201" t="s">
        <v>431</v>
      </c>
      <c r="BO90" s="240"/>
      <c r="BP90" s="240"/>
      <c r="BQ90" s="248">
        <f t="shared" ref="BQ90:BQ94" si="48">SUM(BO90:BP90)</f>
        <v>0</v>
      </c>
    </row>
    <row r="91" spans="36:81">
      <c r="AJ91" s="201"/>
      <c r="AK91" s="201"/>
      <c r="AM91" s="201"/>
      <c r="AT91" s="201" t="s">
        <v>453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453</v>
      </c>
      <c r="BO91" s="240"/>
      <c r="BP91" s="240"/>
      <c r="BQ91" s="248">
        <f t="shared" si="48"/>
        <v>0</v>
      </c>
    </row>
    <row r="92" spans="36:81">
      <c r="AJ92" s="201"/>
      <c r="AK92" s="201"/>
      <c r="AM92" s="201"/>
      <c r="AT92" s="201" t="s">
        <v>545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545</v>
      </c>
      <c r="BO92" s="240"/>
      <c r="BP92" s="240"/>
      <c r="BQ92" s="248">
        <f t="shared" si="48"/>
        <v>0</v>
      </c>
    </row>
    <row r="93" spans="36:81">
      <c r="AJ93" s="201"/>
      <c r="AK93" s="201"/>
      <c r="AM93" s="201"/>
      <c r="AT93" s="201" t="s">
        <v>546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546</v>
      </c>
      <c r="BO93" s="240"/>
      <c r="BP93" s="240"/>
      <c r="BQ93" s="248">
        <f t="shared" si="48"/>
        <v>0</v>
      </c>
    </row>
    <row r="94" spans="36:81">
      <c r="AJ94" s="201"/>
      <c r="AK94" s="201"/>
      <c r="AM94" s="201"/>
      <c r="AT94" s="201" t="s">
        <v>490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490</v>
      </c>
      <c r="BO94" s="240"/>
      <c r="BP94" s="240"/>
      <c r="BQ94" s="248">
        <f t="shared" si="48"/>
        <v>0</v>
      </c>
    </row>
    <row r="95" spans="36:81">
      <c r="AJ95" s="201"/>
      <c r="AK95" s="201"/>
      <c r="AM95" s="201"/>
      <c r="AT95" s="201" t="s">
        <v>538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538</v>
      </c>
      <c r="BO95" s="240"/>
      <c r="BP95" s="240"/>
      <c r="BQ95" s="248">
        <f t="shared" ref="BQ95:BQ101" si="49">SUM(BO95:BP95)</f>
        <v>0</v>
      </c>
    </row>
    <row r="96" spans="36:81" ht="15.6">
      <c r="AJ96" s="242"/>
      <c r="AK96" s="242"/>
      <c r="AT96" s="202" t="s">
        <v>521</v>
      </c>
      <c r="AU96" s="227"/>
      <c r="AV96" s="227"/>
      <c r="AW96" s="227"/>
      <c r="AX96" s="227">
        <f>Ore_to_PI!$AO$42</f>
        <v>108184.8596728804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108184.8596728804</v>
      </c>
      <c r="BN96" s="202" t="s">
        <v>521</v>
      </c>
      <c r="BO96" s="240"/>
      <c r="BP96" s="240"/>
      <c r="BQ96" s="248">
        <f t="shared" si="49"/>
        <v>0</v>
      </c>
    </row>
    <row r="97" spans="36:74" ht="15.6">
      <c r="AJ97" s="202"/>
      <c r="AK97" s="202"/>
      <c r="AT97" s="201" t="s">
        <v>488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488</v>
      </c>
      <c r="BO97" s="240"/>
      <c r="BP97" s="240">
        <f>Ore_to_PI!AO63</f>
        <v>2244.7960862667505</v>
      </c>
      <c r="BQ97" s="248">
        <f t="shared" si="49"/>
        <v>2244.7960862667505</v>
      </c>
    </row>
    <row r="98" spans="36:74" ht="15.6">
      <c r="AJ98" s="203"/>
      <c r="AK98" s="203"/>
      <c r="AT98" s="202" t="s">
        <v>491</v>
      </c>
      <c r="AU98" s="227"/>
      <c r="AV98" s="227"/>
      <c r="AW98" s="227"/>
      <c r="AX98" s="227"/>
      <c r="AY98" s="227">
        <f>Ore_to_PI!$AP$126</f>
        <v>25297.051877142174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25297.051877142174</v>
      </c>
      <c r="BN98" s="202" t="s">
        <v>491</v>
      </c>
      <c r="BO98" s="240"/>
      <c r="BP98" s="244"/>
      <c r="BQ98" s="248">
        <f t="shared" si="49"/>
        <v>0</v>
      </c>
    </row>
    <row r="99" spans="36:74">
      <c r="AJ99" s="203"/>
      <c r="AK99" s="203"/>
      <c r="AT99" s="201" t="s">
        <v>516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516</v>
      </c>
      <c r="BO99" s="240"/>
      <c r="BP99" s="240">
        <f>Ore_to_PI!AP142</f>
        <v>6.7177820097776806</v>
      </c>
      <c r="BQ99" s="248">
        <f t="shared" si="49"/>
        <v>6.7177820097776806</v>
      </c>
    </row>
    <row r="100" spans="36:74">
      <c r="AJ100" s="203"/>
      <c r="AK100" s="203"/>
      <c r="AT100" s="203" t="s">
        <v>509</v>
      </c>
      <c r="AU100" s="227"/>
      <c r="AV100" s="227"/>
      <c r="AW100" s="227"/>
      <c r="AX100" s="227"/>
      <c r="AY100" s="227"/>
      <c r="AZ100" s="227">
        <f>Ore_to_PI!$AP$206</f>
        <v>8855804.320336977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8855804.320336977</v>
      </c>
      <c r="BN100" s="203" t="s">
        <v>509</v>
      </c>
      <c r="BO100" s="240"/>
      <c r="BP100" s="240"/>
      <c r="BQ100" s="248">
        <f t="shared" si="49"/>
        <v>0</v>
      </c>
    </row>
    <row r="101" spans="36:74">
      <c r="AJ101" s="203"/>
      <c r="AK101" s="203"/>
      <c r="AT101" s="201" t="s">
        <v>495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495</v>
      </c>
      <c r="BO101" s="240"/>
      <c r="BP101" s="240">
        <f>Ore_to_PI!AP227</f>
        <v>555.77441893806406</v>
      </c>
      <c r="BQ101" s="248">
        <f t="shared" si="49"/>
        <v>555.77441893806406</v>
      </c>
      <c r="BR101" s="25"/>
      <c r="BS101" s="25"/>
      <c r="BT101" s="25"/>
      <c r="BU101" s="25"/>
      <c r="BV101" s="25"/>
    </row>
    <row r="102" spans="36:74" ht="15.6">
      <c r="AJ102" s="203"/>
      <c r="AK102" s="203"/>
      <c r="AT102" s="202" t="s">
        <v>520</v>
      </c>
      <c r="AU102" s="227"/>
      <c r="AV102" s="227"/>
      <c r="AW102" s="227"/>
      <c r="AX102" s="227"/>
      <c r="AY102" s="227"/>
      <c r="AZ102" s="227"/>
      <c r="BA102" s="227">
        <f>Ore_to_PI!$BH$42</f>
        <v>108184.8596728804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108184.8596728804</v>
      </c>
      <c r="BN102" s="202" t="s">
        <v>520</v>
      </c>
      <c r="BO102" s="240"/>
      <c r="BP102" s="240"/>
      <c r="BQ102" s="248">
        <f t="shared" ref="BQ102:BQ122" si="50">SUM(BO102:BP102)</f>
        <v>0</v>
      </c>
    </row>
    <row r="103" spans="36:74" ht="15.6">
      <c r="AJ103" s="203"/>
      <c r="AK103" s="203"/>
      <c r="AT103" s="202" t="s">
        <v>515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25297.051877142174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25297.051877142174</v>
      </c>
      <c r="BN103" s="202" t="s">
        <v>515</v>
      </c>
      <c r="BO103" s="240"/>
      <c r="BP103" s="240"/>
      <c r="BQ103" s="248">
        <f t="shared" si="50"/>
        <v>0</v>
      </c>
    </row>
    <row r="104" spans="36:74" ht="15.6">
      <c r="AJ104" s="203"/>
      <c r="AK104" s="203"/>
      <c r="AT104" s="202" t="s">
        <v>512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8855804.320336977</v>
      </c>
      <c r="BD104" s="227"/>
      <c r="BE104" s="227"/>
      <c r="BF104" s="227"/>
      <c r="BG104" s="227"/>
      <c r="BH104" s="227"/>
      <c r="BI104" s="227"/>
      <c r="BJ104" s="248">
        <f t="shared" si="47"/>
        <v>8855804.320336977</v>
      </c>
      <c r="BN104" s="202" t="s">
        <v>512</v>
      </c>
      <c r="BO104" s="240"/>
      <c r="BP104" s="240"/>
      <c r="BQ104" s="248">
        <f t="shared" si="50"/>
        <v>0</v>
      </c>
    </row>
    <row r="105" spans="36:74" ht="15.6">
      <c r="AJ105" s="249"/>
      <c r="AK105" s="249"/>
      <c r="AT105" s="202" t="s">
        <v>518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88071.706245154463</v>
      </c>
      <c r="BI105" s="227"/>
      <c r="BJ105" s="248">
        <f t="shared" si="47"/>
        <v>88071.706245154463</v>
      </c>
      <c r="BN105" s="202" t="s">
        <v>518</v>
      </c>
      <c r="BO105" s="240"/>
      <c r="BP105" s="240"/>
      <c r="BQ105" s="248">
        <f t="shared" si="50"/>
        <v>0</v>
      </c>
    </row>
    <row r="106" spans="36:74">
      <c r="AJ106" s="203"/>
      <c r="AK106" s="203"/>
      <c r="AT106" s="203" t="s">
        <v>517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517</v>
      </c>
      <c r="BO106" s="240"/>
      <c r="BP106" s="240">
        <f>Ore_to_PI!CA55</f>
        <v>21722.892325740406</v>
      </c>
      <c r="BQ106" s="248">
        <f t="shared" si="50"/>
        <v>21722.892325740406</v>
      </c>
    </row>
    <row r="107" spans="36:74">
      <c r="AJ107" s="203"/>
      <c r="AK107" s="203"/>
      <c r="AT107" s="203" t="s">
        <v>503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25297.051877142174</v>
      </c>
      <c r="BE107" s="227"/>
      <c r="BF107" s="227"/>
      <c r="BG107" s="227"/>
      <c r="BH107" s="227"/>
      <c r="BI107" s="227"/>
      <c r="BJ107" s="248">
        <f t="shared" si="47"/>
        <v>25297.051877142174</v>
      </c>
      <c r="BN107" s="203" t="s">
        <v>503</v>
      </c>
      <c r="BO107" s="240"/>
      <c r="BP107" s="240"/>
      <c r="BQ107" s="248">
        <f t="shared" si="50"/>
        <v>0</v>
      </c>
    </row>
    <row r="108" spans="36:74">
      <c r="AJ108" s="203"/>
      <c r="AK108" s="203"/>
      <c r="AT108" s="203" t="s">
        <v>535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8855804.320336977</v>
      </c>
      <c r="BF108" s="227"/>
      <c r="BG108" s="227"/>
      <c r="BH108" s="227"/>
      <c r="BI108" s="227"/>
      <c r="BJ108" s="248">
        <f t="shared" si="47"/>
        <v>8855804.320336977</v>
      </c>
      <c r="BN108" s="203" t="s">
        <v>535</v>
      </c>
      <c r="BO108" s="240"/>
      <c r="BP108" s="240"/>
      <c r="BQ108" s="248">
        <f t="shared" si="50"/>
        <v>0</v>
      </c>
    </row>
    <row r="109" spans="36:74">
      <c r="AJ109" s="203"/>
      <c r="AK109" s="203"/>
      <c r="AT109" s="203" t="s">
        <v>504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504</v>
      </c>
      <c r="BO109" s="240"/>
      <c r="BP109" s="240"/>
      <c r="BQ109" s="248">
        <f t="shared" si="50"/>
        <v>0</v>
      </c>
    </row>
    <row r="110" spans="36:74">
      <c r="AJ110" s="203"/>
      <c r="AK110" s="203"/>
      <c r="AT110" s="203" t="s">
        <v>506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506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>
      <c r="AJ111" s="203"/>
      <c r="AK111" s="203"/>
      <c r="AT111" s="203" t="s">
        <v>505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505</v>
      </c>
      <c r="BO111" s="240"/>
      <c r="BP111" s="240">
        <f>Ore_to_PI!CW138</f>
        <v>87222.135331413883</v>
      </c>
      <c r="BQ111" s="248">
        <f t="shared" si="50"/>
        <v>87222.135331413883</v>
      </c>
    </row>
    <row r="112" spans="36:74">
      <c r="AJ112" s="203"/>
      <c r="AK112" s="203"/>
      <c r="AT112" s="203" t="s">
        <v>600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600</v>
      </c>
      <c r="BO112" s="240"/>
      <c r="BP112" s="240"/>
      <c r="BQ112" s="248">
        <f t="shared" si="50"/>
        <v>0</v>
      </c>
    </row>
    <row r="113" spans="5:69" ht="15.6">
      <c r="AJ113" s="203"/>
      <c r="AK113" s="203"/>
      <c r="AT113" s="249" t="s">
        <v>501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4026178.1360752485</v>
      </c>
      <c r="BG113" s="227"/>
      <c r="BH113" s="227"/>
      <c r="BI113" s="227"/>
      <c r="BJ113" s="248">
        <f t="shared" si="47"/>
        <v>4026178.1360752485</v>
      </c>
      <c r="BN113" s="249" t="s">
        <v>501</v>
      </c>
      <c r="BO113" s="240"/>
      <c r="BP113" s="240"/>
      <c r="BQ113" s="248">
        <f t="shared" si="50"/>
        <v>0</v>
      </c>
    </row>
    <row r="114" spans="5:69" ht="15.6">
      <c r="AJ114" s="203"/>
      <c r="AK114" s="203"/>
      <c r="AT114" s="249" t="s">
        <v>671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671</v>
      </c>
      <c r="BO114" s="240"/>
      <c r="BP114" s="240">
        <f>Ore_to_PI!CW267</f>
        <v>955411.7785075705</v>
      </c>
      <c r="BQ114" s="248">
        <f t="shared" si="50"/>
        <v>955411.7785075705</v>
      </c>
    </row>
    <row r="115" spans="5:69">
      <c r="AJ115" s="203"/>
      <c r="AK115" s="203"/>
      <c r="AT115" s="203" t="s">
        <v>500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500</v>
      </c>
      <c r="BO115" s="240"/>
      <c r="BP115" s="240">
        <f>Ore_to_PI!CW218</f>
        <v>8991.620323109395</v>
      </c>
      <c r="BQ115" s="248">
        <f t="shared" si="50"/>
        <v>8991.620323109395</v>
      </c>
    </row>
    <row r="116" spans="5:69">
      <c r="AJ116" s="203"/>
      <c r="AK116" s="203"/>
      <c r="AT116" s="201" t="s">
        <v>502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502</v>
      </c>
      <c r="BO116" s="240"/>
      <c r="BP116" s="240">
        <f>Ore_to_PI!CW251</f>
        <v>303788.26554911444</v>
      </c>
      <c r="BQ116" s="248">
        <f t="shared" si="50"/>
        <v>303788.26554911444</v>
      </c>
    </row>
    <row r="117" spans="5:69">
      <c r="AJ117" s="203"/>
      <c r="AK117" s="203"/>
      <c r="AT117" s="203" t="s">
        <v>634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4043367.3234254471</v>
      </c>
      <c r="BH117" s="227"/>
      <c r="BI117" s="239"/>
      <c r="BJ117" s="248">
        <f t="shared" si="47"/>
        <v>4043367.3234254471</v>
      </c>
      <c r="BN117" s="203" t="s">
        <v>634</v>
      </c>
      <c r="BO117" s="240"/>
      <c r="BP117" s="240"/>
      <c r="BQ117" s="248">
        <f t="shared" si="50"/>
        <v>0</v>
      </c>
    </row>
    <row r="118" spans="5:69">
      <c r="AJ118" s="203"/>
      <c r="AK118" s="203"/>
      <c r="AT118" s="203" t="s">
        <v>636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27"/>
      <c r="BH118" s="227"/>
      <c r="BI118" s="239">
        <f>Ore_to_PI!$EM$152</f>
        <v>2830357.1263978118</v>
      </c>
      <c r="BJ118" s="248">
        <f t="shared" si="47"/>
        <v>2830357.1263978118</v>
      </c>
      <c r="BN118" s="203" t="s">
        <v>636</v>
      </c>
      <c r="BO118" s="240">
        <f>Ore_to_PI!$FG$233</f>
        <v>1213010.1970276341</v>
      </c>
      <c r="BP118" s="240"/>
      <c r="BQ118" s="248">
        <f t="shared" si="50"/>
        <v>1213010.1970276341</v>
      </c>
    </row>
    <row r="119" spans="5:69">
      <c r="AJ119" s="203"/>
      <c r="AK119" s="203"/>
      <c r="AT119" s="203" t="s">
        <v>524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6682782.3361421349</v>
      </c>
      <c r="BJ119" s="248">
        <f t="shared" si="47"/>
        <v>6682782.3361421349</v>
      </c>
      <c r="BN119" s="203" t="s">
        <v>524</v>
      </c>
      <c r="BO119" s="240"/>
      <c r="BP119" s="240"/>
      <c r="BQ119" s="248">
        <f t="shared" si="50"/>
        <v>0</v>
      </c>
    </row>
    <row r="120" spans="5:69">
      <c r="AJ120" s="203"/>
      <c r="AK120" s="203"/>
      <c r="AT120" s="203" t="s">
        <v>525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525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>
      <c r="AJ121" s="203"/>
      <c r="AK121" s="203"/>
      <c r="AT121" s="203" t="s">
        <v>526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526</v>
      </c>
      <c r="BO121" s="240"/>
      <c r="BP121" s="240">
        <f>Ore_to_PI!FM141</f>
        <v>404209.15818875749</v>
      </c>
      <c r="BQ121" s="248">
        <f t="shared" si="50"/>
        <v>404209.15818875749</v>
      </c>
    </row>
    <row r="122" spans="5:69">
      <c r="AJ122" s="203"/>
      <c r="AK122" s="203"/>
      <c r="AT122" s="203" t="s">
        <v>536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536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>
      <c r="AJ123" s="203"/>
      <c r="AK123" s="203"/>
      <c r="AT123" s="203"/>
      <c r="AU123" s="438" t="s">
        <v>404</v>
      </c>
      <c r="AV123" s="438"/>
      <c r="AW123" s="438"/>
      <c r="AX123" s="438"/>
      <c r="AY123" s="438"/>
      <c r="AZ123" s="438"/>
      <c r="BA123" s="438"/>
      <c r="BB123" s="438"/>
      <c r="BC123" s="438"/>
      <c r="BD123" s="438"/>
      <c r="BE123" s="438"/>
      <c r="BF123" s="438"/>
      <c r="BG123" s="438"/>
      <c r="BH123" s="438"/>
      <c r="BI123" s="438"/>
      <c r="BJ123" s="25" t="s">
        <v>445</v>
      </c>
      <c r="BO123" s="438" t="s">
        <v>406</v>
      </c>
      <c r="BP123" s="438"/>
      <c r="BQ123" s="25" t="s">
        <v>457</v>
      </c>
    </row>
    <row r="124" spans="5:69">
      <c r="AJ124" s="203"/>
      <c r="AK124" s="203"/>
      <c r="AT124" s="203"/>
      <c r="AU124" s="248">
        <f>SUM(AU87:AU122)</f>
        <v>202456.09318826307</v>
      </c>
      <c r="AV124" s="248">
        <f>SUM(AV87:AV122)</f>
        <v>25579.496946587489</v>
      </c>
      <c r="AW124" s="248">
        <f>SUM(AW87:AW122)</f>
        <v>8954947.7300760113</v>
      </c>
      <c r="AX124" s="248">
        <f t="shared" ref="AX124:BI124" si="51">SUM(AX87:AX122)</f>
        <v>717977.11143222859</v>
      </c>
      <c r="AY124" s="248">
        <f t="shared" si="51"/>
        <v>28121.937524887093</v>
      </c>
      <c r="AZ124" s="248">
        <f t="shared" si="51"/>
        <v>8856086.4491080083</v>
      </c>
      <c r="BA124" s="248">
        <f t="shared" si="51"/>
        <v>120810.95849921908</v>
      </c>
      <c r="BB124" s="248">
        <f t="shared" si="51"/>
        <v>25331.72997230629</v>
      </c>
      <c r="BC124" s="248">
        <f t="shared" si="51"/>
        <v>8855854.6784211304</v>
      </c>
      <c r="BD124" s="248">
        <f t="shared" si="51"/>
        <v>1979045.0406719043</v>
      </c>
      <c r="BE124" s="248">
        <f t="shared" si="51"/>
        <v>19454075.052631274</v>
      </c>
      <c r="BF124" s="248">
        <f t="shared" si="51"/>
        <v>4059369.9954689462</v>
      </c>
      <c r="BG124" s="248">
        <f t="shared" si="51"/>
        <v>4043367.3234254471</v>
      </c>
      <c r="BH124" s="248">
        <f t="shared" si="51"/>
        <v>6738376.4034630982</v>
      </c>
      <c r="BI124" s="248">
        <f t="shared" si="51"/>
        <v>12202453.882342203</v>
      </c>
      <c r="BO124" s="25"/>
      <c r="BP124" s="25"/>
    </row>
    <row r="125" spans="5:69" ht="13.05" customHeight="1">
      <c r="F125" s="439"/>
      <c r="G125" s="439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38" t="s">
        <v>444</v>
      </c>
      <c r="AV125" s="438"/>
      <c r="AW125" s="438"/>
      <c r="AX125" s="438"/>
      <c r="AY125" s="438"/>
      <c r="AZ125" s="438"/>
      <c r="BA125" s="438"/>
      <c r="BB125" s="438"/>
      <c r="BC125" s="438"/>
      <c r="BD125" s="438"/>
      <c r="BE125" s="438"/>
      <c r="BF125" s="438"/>
      <c r="BG125" s="438"/>
      <c r="BH125" s="438"/>
      <c r="BI125" s="438"/>
      <c r="BO125" s="25"/>
      <c r="BP125" s="25"/>
    </row>
    <row r="126" spans="5:69" ht="228">
      <c r="E126" s="236"/>
      <c r="F126" s="204" t="s">
        <v>409</v>
      </c>
      <c r="G126" s="204" t="s">
        <v>411</v>
      </c>
      <c r="H126" s="204" t="s">
        <v>412</v>
      </c>
      <c r="I126" s="204" t="s">
        <v>431</v>
      </c>
      <c r="J126" s="204" t="s">
        <v>453</v>
      </c>
      <c r="K126" s="204" t="s">
        <v>545</v>
      </c>
      <c r="L126" s="204" t="s">
        <v>546</v>
      </c>
      <c r="M126" s="204" t="s">
        <v>490</v>
      </c>
      <c r="N126" s="204" t="s">
        <v>538</v>
      </c>
      <c r="O126" s="206" t="s">
        <v>521</v>
      </c>
      <c r="P126" s="204" t="s">
        <v>488</v>
      </c>
      <c r="Q126" s="206" t="s">
        <v>491</v>
      </c>
      <c r="R126" s="204" t="s">
        <v>516</v>
      </c>
      <c r="S126" s="207" t="s">
        <v>509</v>
      </c>
      <c r="T126" s="204" t="s">
        <v>495</v>
      </c>
      <c r="U126" s="206" t="s">
        <v>520</v>
      </c>
      <c r="V126" s="206" t="s">
        <v>515</v>
      </c>
      <c r="W126" s="206" t="s">
        <v>512</v>
      </c>
      <c r="X126" s="206" t="s">
        <v>518</v>
      </c>
      <c r="Y126" s="207" t="s">
        <v>517</v>
      </c>
      <c r="Z126" s="207" t="s">
        <v>503</v>
      </c>
      <c r="AA126" s="207" t="s">
        <v>535</v>
      </c>
      <c r="AB126" s="207" t="s">
        <v>504</v>
      </c>
      <c r="AC126" s="207" t="s">
        <v>506</v>
      </c>
      <c r="AD126" s="207" t="s">
        <v>505</v>
      </c>
      <c r="AE126" s="207" t="s">
        <v>600</v>
      </c>
      <c r="AF126" s="229" t="s">
        <v>501</v>
      </c>
      <c r="AG126" s="229" t="s">
        <v>671</v>
      </c>
      <c r="AH126" s="207" t="s">
        <v>500</v>
      </c>
      <c r="AI126" s="204" t="s">
        <v>502</v>
      </c>
      <c r="AJ126" s="207" t="s">
        <v>634</v>
      </c>
      <c r="AK126" s="207" t="s">
        <v>636</v>
      </c>
      <c r="AL126" s="207" t="s">
        <v>524</v>
      </c>
      <c r="AM126" s="207" t="s">
        <v>525</v>
      </c>
      <c r="AN126" s="207" t="s">
        <v>526</v>
      </c>
      <c r="AO126" s="207" t="s">
        <v>536</v>
      </c>
    </row>
    <row r="127" spans="5:69">
      <c r="E127" s="201" t="s">
        <v>401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108184.8596728804</v>
      </c>
      <c r="P127" s="227">
        <f>Ore_to_PI!AO63</f>
        <v>2244.7960862667505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110429.65575914715</v>
      </c>
    </row>
    <row r="128" spans="5:69">
      <c r="E128" s="201" t="s">
        <v>402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25297.051877142174</v>
      </c>
      <c r="R128" s="227">
        <f>Ore_to_PI!AP142</f>
        <v>6.7177820097776806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25303.769659151953</v>
      </c>
    </row>
    <row r="129" spans="5:68">
      <c r="E129" s="201" t="s">
        <v>403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8855804.320336977</v>
      </c>
      <c r="T129" s="227">
        <f>Ore_to_PI!AP227</f>
        <v>555.77441893806406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>
      <c r="E130" s="201" t="s">
        <v>534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108184.8596728804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>
      <c r="E131" s="201" t="s">
        <v>514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25297.051877142174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>
      <c r="E132" s="201" t="s">
        <v>513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8855804.320336977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>
      <c r="E133" s="201" t="s">
        <v>427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88071.706245154463</v>
      </c>
      <c r="Y133" s="227">
        <f>Ore_to_PI!CA55</f>
        <v>21722.892325740406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>
      <c r="E134" s="201" t="s">
        <v>424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25297.051877142174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>
      <c r="E135" s="201" t="s">
        <v>438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8855804.320336977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>
      <c r="E136" s="201" t="s">
        <v>425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87222.135331413883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>
      <c r="E137" s="201" t="s">
        <v>420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4026178.1360752485</v>
      </c>
      <c r="AG137" s="227">
        <f>Ore_to_PI!CW267</f>
        <v>955411.7785075705</v>
      </c>
      <c r="AH137" s="227">
        <f>Ore_to_PI!CW218</f>
        <v>8991.620323109395</v>
      </c>
      <c r="AI137" s="227">
        <f>Ore_to_PI!CW251</f>
        <v>303788.26554911444</v>
      </c>
      <c r="AJ137" s="227"/>
      <c r="AK137" s="227"/>
      <c r="AL137" s="227"/>
      <c r="AM137" s="227"/>
      <c r="AN137" s="227"/>
      <c r="AO137" s="227"/>
      <c r="AP137" s="24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>
      <c r="E138" s="201" t="s">
        <v>633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4043367.3234254471</v>
      </c>
      <c r="AK138" s="227"/>
      <c r="AL138" s="227"/>
      <c r="AM138" s="227"/>
      <c r="AN138" s="227"/>
      <c r="AO138" s="227"/>
      <c r="AP138" s="248">
        <f t="shared" si="52"/>
        <v>4043367.3234254471</v>
      </c>
    </row>
    <row r="139" spans="5:68">
      <c r="E139" s="201" t="s">
        <v>635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4043367.3234254471</v>
      </c>
      <c r="AL139" s="227"/>
      <c r="AM139" s="227"/>
      <c r="AN139" s="227"/>
      <c r="AO139" s="227"/>
      <c r="AP139" s="248">
        <f t="shared" si="52"/>
        <v>4043367.3234254471</v>
      </c>
    </row>
    <row r="140" spans="5:68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6682782.3361421349</v>
      </c>
      <c r="AM140" s="227"/>
      <c r="AN140" s="227"/>
      <c r="AO140" s="227"/>
      <c r="AP140" s="248">
        <f t="shared" si="52"/>
        <v>6682782.3361421349</v>
      </c>
    </row>
    <row r="141" spans="5:68">
      <c r="E141" s="201" t="s">
        <v>413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404209.15818875749</v>
      </c>
      <c r="AO141" s="227">
        <f>Ore_to_PI!FM104</f>
        <v>67875.356217847453</v>
      </c>
      <c r="AP141" s="248">
        <f t="shared" si="52"/>
        <v>4629979.8128694845</v>
      </c>
    </row>
    <row r="142" spans="5:68">
      <c r="E142" s="201"/>
      <c r="F142" s="438" t="s">
        <v>405</v>
      </c>
      <c r="G142" s="438"/>
      <c r="H142" s="438"/>
      <c r="I142" s="438"/>
      <c r="J142" s="438"/>
      <c r="K142" s="438"/>
      <c r="L142" s="438"/>
      <c r="M142" s="438"/>
      <c r="N142" s="438"/>
      <c r="O142" s="438"/>
      <c r="P142" s="438"/>
      <c r="Q142" s="438"/>
      <c r="R142" s="438"/>
      <c r="S142" s="438"/>
      <c r="T142" s="438"/>
      <c r="U142" s="438"/>
      <c r="V142" s="438"/>
      <c r="W142" s="438"/>
      <c r="X142" s="438"/>
      <c r="Y142" s="438"/>
      <c r="Z142" s="438"/>
      <c r="AA142" s="438"/>
      <c r="AB142" s="438"/>
      <c r="AC142" s="438"/>
      <c r="AD142" s="438"/>
      <c r="AE142" s="438"/>
      <c r="AF142" s="438"/>
      <c r="AG142" s="438"/>
      <c r="AH142" s="438"/>
      <c r="AI142" s="438"/>
      <c r="AJ142" s="438"/>
      <c r="AK142" s="438"/>
      <c r="AL142" s="438"/>
      <c r="AM142" s="438"/>
      <c r="AN142" s="438"/>
      <c r="AO142" s="438"/>
      <c r="AP142" s="25" t="s">
        <v>441</v>
      </c>
      <c r="AQ142" s="25"/>
    </row>
    <row r="143" spans="5:68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108184.8596728804</v>
      </c>
      <c r="P143" s="248">
        <f t="shared" si="53"/>
        <v>2244.7960862667505</v>
      </c>
      <c r="Q143" s="248">
        <f t="shared" si="53"/>
        <v>25297.051877142174</v>
      </c>
      <c r="R143" s="248">
        <f t="shared" si="53"/>
        <v>6.7177820097776806</v>
      </c>
      <c r="S143" s="248">
        <f t="shared" si="53"/>
        <v>8855804.320336977</v>
      </c>
      <c r="T143" s="248">
        <f t="shared" si="53"/>
        <v>555.77441893806406</v>
      </c>
      <c r="U143" s="248">
        <f t="shared" si="53"/>
        <v>108184.8596728804</v>
      </c>
      <c r="V143" s="248">
        <f t="shared" si="53"/>
        <v>25297.051877142174</v>
      </c>
      <c r="W143" s="248">
        <f t="shared" si="53"/>
        <v>8855804.320336977</v>
      </c>
      <c r="X143" s="248">
        <f t="shared" si="53"/>
        <v>88071.706245154463</v>
      </c>
      <c r="Y143" s="248">
        <f t="shared" si="53"/>
        <v>21722.892325740406</v>
      </c>
      <c r="Z143" s="248">
        <f t="shared" si="53"/>
        <v>25297.051877142174</v>
      </c>
      <c r="AA143" s="248">
        <f t="shared" si="53"/>
        <v>8855804.320336977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87222.135331413883</v>
      </c>
      <c r="AE143" s="248">
        <f t="shared" si="53"/>
        <v>6408288.6211381694</v>
      </c>
      <c r="AF143" s="248">
        <f t="shared" si="53"/>
        <v>4026178.1360752485</v>
      </c>
      <c r="AG143" s="248">
        <f t="shared" si="53"/>
        <v>955411.7785075705</v>
      </c>
      <c r="AH143" s="248">
        <f t="shared" si="53"/>
        <v>8991.620323109395</v>
      </c>
      <c r="AI143" s="248">
        <f t="shared" si="53"/>
        <v>303788.26554911444</v>
      </c>
      <c r="AJ143" s="248">
        <f t="shared" si="53"/>
        <v>4043367.3234254471</v>
      </c>
      <c r="AK143" s="248">
        <f t="shared" si="53"/>
        <v>4043367.3234254471</v>
      </c>
      <c r="AL143" s="248">
        <f t="shared" si="53"/>
        <v>6682782.3361421349</v>
      </c>
      <c r="AM143" s="248">
        <f t="shared" si="53"/>
        <v>4157895.2984628798</v>
      </c>
      <c r="AN143" s="248">
        <f t="shared" si="53"/>
        <v>404209.15818875749</v>
      </c>
      <c r="AO143" s="248">
        <f t="shared" si="53"/>
        <v>67875.356217847453</v>
      </c>
    </row>
    <row r="144" spans="5:68">
      <c r="E144" s="201"/>
      <c r="F144" s="438" t="s">
        <v>442</v>
      </c>
      <c r="G144" s="438"/>
      <c r="H144" s="438"/>
      <c r="I144" s="438"/>
      <c r="J144" s="438"/>
      <c r="K144" s="438"/>
      <c r="L144" s="438"/>
      <c r="M144" s="438"/>
      <c r="N144" s="438"/>
      <c r="O144" s="438"/>
      <c r="P144" s="438"/>
      <c r="Q144" s="438"/>
      <c r="R144" s="438"/>
      <c r="S144" s="438"/>
      <c r="T144" s="438"/>
      <c r="U144" s="438"/>
      <c r="V144" s="438"/>
      <c r="W144" s="438"/>
      <c r="X144" s="438"/>
      <c r="Y144" s="438"/>
      <c r="Z144" s="438"/>
      <c r="AA144" s="438"/>
      <c r="AB144" s="438"/>
      <c r="AC144" s="438"/>
      <c r="AD144" s="438"/>
      <c r="AE144" s="438"/>
      <c r="AF144" s="438"/>
      <c r="AG144" s="438"/>
      <c r="AH144" s="438"/>
      <c r="AI144" s="438"/>
      <c r="AJ144" s="438"/>
      <c r="AK144" s="438"/>
      <c r="AL144" s="438"/>
      <c r="AM144" s="438"/>
      <c r="AN144" s="438"/>
      <c r="AO144" s="438"/>
    </row>
    <row r="145" spans="5:43">
      <c r="E145" s="201"/>
    </row>
    <row r="146" spans="5:43">
      <c r="E146" s="201"/>
    </row>
    <row r="147" spans="5:43">
      <c r="E147" s="201"/>
    </row>
    <row r="148" spans="5:43">
      <c r="E148" s="201"/>
    </row>
    <row r="149" spans="5:43">
      <c r="E149" s="201"/>
    </row>
    <row r="150" spans="5:43">
      <c r="E150" s="201"/>
    </row>
    <row r="151" spans="5:43">
      <c r="E151" s="201"/>
    </row>
    <row r="152" spans="5:43">
      <c r="E152" s="201"/>
    </row>
    <row r="153" spans="5:43">
      <c r="E153" s="201"/>
    </row>
    <row r="154" spans="5:43">
      <c r="E154" s="201"/>
    </row>
    <row r="155" spans="5:43" ht="228">
      <c r="E155" s="201"/>
      <c r="F155" s="204" t="s">
        <v>409</v>
      </c>
      <c r="G155" s="204" t="s">
        <v>411</v>
      </c>
      <c r="H155" s="204" t="s">
        <v>412</v>
      </c>
      <c r="I155" s="204" t="s">
        <v>431</v>
      </c>
      <c r="J155" s="204" t="s">
        <v>453</v>
      </c>
      <c r="K155" s="204" t="s">
        <v>545</v>
      </c>
      <c r="L155" s="204" t="s">
        <v>546</v>
      </c>
      <c r="M155" s="204" t="s">
        <v>490</v>
      </c>
      <c r="N155" s="204" t="s">
        <v>538</v>
      </c>
      <c r="O155" s="206" t="s">
        <v>521</v>
      </c>
      <c r="P155" s="204" t="s">
        <v>488</v>
      </c>
      <c r="Q155" s="206" t="s">
        <v>491</v>
      </c>
      <c r="R155" s="204" t="s">
        <v>516</v>
      </c>
      <c r="S155" s="207" t="s">
        <v>509</v>
      </c>
      <c r="T155" s="204" t="s">
        <v>495</v>
      </c>
      <c r="U155" s="206" t="s">
        <v>520</v>
      </c>
      <c r="V155" s="206" t="s">
        <v>515</v>
      </c>
      <c r="W155" s="206" t="s">
        <v>512</v>
      </c>
      <c r="X155" s="206" t="s">
        <v>518</v>
      </c>
      <c r="Y155" s="207" t="s">
        <v>517</v>
      </c>
      <c r="Z155" s="207" t="s">
        <v>503</v>
      </c>
      <c r="AA155" s="207" t="s">
        <v>535</v>
      </c>
      <c r="AB155" s="207" t="s">
        <v>504</v>
      </c>
      <c r="AC155" s="207" t="s">
        <v>506</v>
      </c>
      <c r="AD155" s="207" t="s">
        <v>505</v>
      </c>
      <c r="AE155" s="207" t="s">
        <v>600</v>
      </c>
      <c r="AF155" s="229" t="s">
        <v>501</v>
      </c>
      <c r="AG155" s="229" t="s">
        <v>671</v>
      </c>
      <c r="AH155" s="207" t="s">
        <v>500</v>
      </c>
      <c r="AI155" s="204" t="s">
        <v>502</v>
      </c>
      <c r="AJ155" s="207" t="s">
        <v>634</v>
      </c>
      <c r="AK155" s="207" t="s">
        <v>636</v>
      </c>
      <c r="AL155" s="207" t="s">
        <v>524</v>
      </c>
      <c r="AM155" s="207" t="s">
        <v>525</v>
      </c>
      <c r="AN155" s="207" t="s">
        <v>526</v>
      </c>
      <c r="AO155" s="207" t="s">
        <v>536</v>
      </c>
      <c r="AP155" s="207"/>
      <c r="AQ155" s="207"/>
    </row>
    <row r="156" spans="5:43">
      <c r="E156" s="201" t="s">
        <v>408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5.6">
      <c r="E157" s="202" t="s">
        <v>410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03" t="s">
        <v>432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201" t="s">
        <v>456</v>
      </c>
      <c r="F159" s="240"/>
      <c r="G159" s="240"/>
      <c r="H159" s="240"/>
      <c r="I159" s="246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201" t="s">
        <v>452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201" t="s">
        <v>548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>
      <c r="E162" s="201" t="s">
        <v>547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201" t="s">
        <v>489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201" t="s">
        <v>537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438" t="s">
        <v>57</v>
      </c>
      <c r="G165" s="438"/>
      <c r="H165" s="438"/>
      <c r="I165" s="438"/>
      <c r="J165" s="438"/>
      <c r="K165" s="438"/>
      <c r="L165" s="438"/>
      <c r="M165" s="438"/>
      <c r="N165" s="438"/>
      <c r="O165" s="438"/>
      <c r="P165" s="438"/>
      <c r="Q165" s="438"/>
      <c r="R165" s="438"/>
      <c r="S165" s="438"/>
      <c r="T165" s="438"/>
      <c r="U165" s="438"/>
      <c r="V165" s="438"/>
      <c r="W165" s="438"/>
      <c r="X165" s="438"/>
      <c r="Y165" s="438"/>
      <c r="Z165" s="438"/>
      <c r="AA165" s="438"/>
      <c r="AB165" s="438"/>
      <c r="AC165" s="438"/>
      <c r="AD165" s="438"/>
      <c r="AE165" s="438"/>
      <c r="AF165" s="438"/>
      <c r="AG165" s="438"/>
      <c r="AH165" s="438"/>
      <c r="AI165" s="438"/>
      <c r="AJ165" s="438"/>
      <c r="AK165" s="438"/>
      <c r="AL165" s="438"/>
      <c r="AM165" s="438"/>
      <c r="AN165" s="438"/>
      <c r="AO165" s="438"/>
      <c r="AP165" s="25"/>
      <c r="AQ165" s="25"/>
    </row>
    <row r="166" spans="5:47">
      <c r="F166" s="248">
        <f t="shared" ref="F166:AO166" si="54">SUM(F156:F164)</f>
        <v>108184.8596728804</v>
      </c>
      <c r="G166" s="248">
        <f t="shared" si="54"/>
        <v>25297.051877142174</v>
      </c>
      <c r="H166" s="248">
        <f t="shared" si="54"/>
        <v>8850991.3601140417</v>
      </c>
      <c r="I166" s="248">
        <f t="shared" si="54"/>
        <v>29146.460466184486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>
      <c r="F167" s="438" t="s">
        <v>443</v>
      </c>
      <c r="G167" s="438"/>
      <c r="H167" s="438"/>
      <c r="I167" s="438"/>
      <c r="J167" s="438"/>
      <c r="K167" s="438"/>
      <c r="L167" s="438"/>
      <c r="M167" s="438"/>
      <c r="N167" s="438"/>
      <c r="O167" s="438"/>
      <c r="P167" s="438"/>
      <c r="Q167" s="438"/>
      <c r="R167" s="438"/>
      <c r="S167" s="438"/>
      <c r="T167" s="438"/>
      <c r="U167" s="438"/>
      <c r="V167" s="438"/>
      <c r="W167" s="438"/>
      <c r="X167" s="438"/>
      <c r="Y167" s="438"/>
      <c r="Z167" s="438"/>
      <c r="AA167" s="438"/>
      <c r="AB167" s="438"/>
      <c r="AC167" s="438"/>
      <c r="AD167" s="438"/>
      <c r="AE167" s="438"/>
      <c r="AF167" s="438"/>
      <c r="AG167" s="438"/>
      <c r="AH167" s="438"/>
      <c r="AI167" s="438"/>
      <c r="AJ167" s="438"/>
      <c r="AK167" s="438"/>
      <c r="AL167" s="438"/>
      <c r="AM167" s="438"/>
      <c r="AN167" s="438"/>
      <c r="AO167" s="438"/>
      <c r="AP167" s="25"/>
      <c r="AQ167" s="25"/>
    </row>
    <row r="171" spans="5:47">
      <c r="F171" s="438" t="s">
        <v>540</v>
      </c>
      <c r="G171" s="438"/>
      <c r="H171" s="438"/>
      <c r="I171" s="438"/>
      <c r="J171" s="438"/>
      <c r="K171" s="438"/>
      <c r="L171" s="438"/>
      <c r="M171" s="438"/>
      <c r="N171" s="438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>
      <c r="E174" s="201" t="s">
        <v>409</v>
      </c>
      <c r="F174" s="248" cm="1">
        <f t="array" ref="F174:F209">TRANSPOSE((F166:AO166))</f>
        <v>108184.8596728804</v>
      </c>
      <c r="H174" s="248" cm="1">
        <f t="array" ref="H174:H209">TRANSPOSE(F143:AO143)</f>
        <v>0</v>
      </c>
      <c r="J174" s="248">
        <f t="shared" ref="J174:J200" si="55">BJ87</f>
        <v>108184.8596728804</v>
      </c>
      <c r="L174" s="248" cm="1">
        <f t="array" ref="L174:L209">BQ87:BQ122</f>
        <v>0</v>
      </c>
      <c r="N174" s="295">
        <f>F174+H174-J174-L174</f>
        <v>0</v>
      </c>
    </row>
    <row r="175" spans="5:47">
      <c r="E175" s="201" t="s">
        <v>411</v>
      </c>
      <c r="F175" s="248">
        <v>25297.051877142174</v>
      </c>
      <c r="H175" s="248">
        <v>0</v>
      </c>
      <c r="J175" s="248">
        <f t="shared" si="55"/>
        <v>25297.051877142174</v>
      </c>
      <c r="L175" s="248">
        <v>0</v>
      </c>
      <c r="N175" s="295">
        <f>F175+H175-J175-L175</f>
        <v>0</v>
      </c>
    </row>
    <row r="176" spans="5:47">
      <c r="E176" s="201" t="s">
        <v>412</v>
      </c>
      <c r="F176" s="248">
        <v>8850991.3601140417</v>
      </c>
      <c r="H176" s="248">
        <v>0</v>
      </c>
      <c r="J176" s="248">
        <f t="shared" si="55"/>
        <v>8850991.3601140417</v>
      </c>
      <c r="L176" s="248">
        <v>0</v>
      </c>
      <c r="N176" s="295">
        <f>F176+H176-J176-L176</f>
        <v>0</v>
      </c>
    </row>
    <row r="177" spans="5:14">
      <c r="E177" s="201" t="s">
        <v>431</v>
      </c>
      <c r="F177" s="248">
        <v>29146.460466184486</v>
      </c>
      <c r="H177" s="248">
        <v>0</v>
      </c>
      <c r="J177" s="248">
        <f t="shared" si="55"/>
        <v>29146.460466184486</v>
      </c>
      <c r="L177" s="248">
        <v>0</v>
      </c>
      <c r="N177" s="295">
        <f>ROUND(F177+H177-J177-L177, 10)</f>
        <v>0</v>
      </c>
    </row>
    <row r="178" spans="5:14">
      <c r="E178" s="201" t="s">
        <v>453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>
      <c r="E179" s="201" t="s">
        <v>545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>
      <c r="E180" s="201" t="s">
        <v>546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>
      <c r="E181" s="201" t="s">
        <v>490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>
      <c r="E182" s="201" t="s">
        <v>538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5.6">
      <c r="E183" s="202" t="s">
        <v>521</v>
      </c>
      <c r="F183" s="248">
        <v>0</v>
      </c>
      <c r="H183" s="248">
        <v>108184.8596728804</v>
      </c>
      <c r="J183" s="248">
        <f t="shared" si="55"/>
        <v>108184.8596728804</v>
      </c>
      <c r="L183" s="248">
        <v>0</v>
      </c>
      <c r="N183" s="295">
        <f t="shared" si="56"/>
        <v>0</v>
      </c>
    </row>
    <row r="184" spans="5:14">
      <c r="E184" s="201" t="s">
        <v>488</v>
      </c>
      <c r="F184" s="248">
        <v>0</v>
      </c>
      <c r="H184" s="248">
        <v>2244.7960862667505</v>
      </c>
      <c r="J184" s="248">
        <f t="shared" si="55"/>
        <v>0</v>
      </c>
      <c r="L184" s="248">
        <v>2244.7960862667505</v>
      </c>
      <c r="N184" s="295">
        <f t="shared" si="56"/>
        <v>0</v>
      </c>
    </row>
    <row r="185" spans="5:14" ht="15.6">
      <c r="E185" s="202" t="s">
        <v>491</v>
      </c>
      <c r="F185" s="248">
        <v>0</v>
      </c>
      <c r="H185" s="248">
        <v>25297.051877142174</v>
      </c>
      <c r="J185" s="248">
        <f t="shared" si="55"/>
        <v>25297.051877142174</v>
      </c>
      <c r="L185" s="248">
        <v>0</v>
      </c>
      <c r="N185" s="295">
        <f t="shared" si="56"/>
        <v>0</v>
      </c>
    </row>
    <row r="186" spans="5:14">
      <c r="E186" s="201" t="s">
        <v>516</v>
      </c>
      <c r="F186" s="248">
        <v>0</v>
      </c>
      <c r="H186" s="248">
        <v>6.7177820097776806</v>
      </c>
      <c r="J186" s="248">
        <f t="shared" si="55"/>
        <v>0</v>
      </c>
      <c r="L186" s="248">
        <v>6.7177820097776806</v>
      </c>
      <c r="N186" s="295">
        <f t="shared" si="56"/>
        <v>0</v>
      </c>
    </row>
    <row r="187" spans="5:14">
      <c r="E187" s="203" t="s">
        <v>509</v>
      </c>
      <c r="F187" s="248">
        <v>0</v>
      </c>
      <c r="G187" s="255" t="s">
        <v>447</v>
      </c>
      <c r="H187" s="248">
        <v>8855804.320336977</v>
      </c>
      <c r="I187" s="169" t="s">
        <v>449</v>
      </c>
      <c r="J187" s="248">
        <f t="shared" si="55"/>
        <v>8855804.320336977</v>
      </c>
      <c r="K187" s="169" t="s">
        <v>449</v>
      </c>
      <c r="L187" s="248">
        <v>0</v>
      </c>
      <c r="M187" s="255" t="s">
        <v>450</v>
      </c>
      <c r="N187" s="295">
        <f t="shared" si="56"/>
        <v>0</v>
      </c>
    </row>
    <row r="188" spans="5:14">
      <c r="E188" s="201" t="s">
        <v>495</v>
      </c>
      <c r="F188" s="248">
        <v>0</v>
      </c>
      <c r="H188" s="248">
        <v>555.77441893806406</v>
      </c>
      <c r="J188" s="248">
        <f t="shared" si="55"/>
        <v>0</v>
      </c>
      <c r="L188" s="248">
        <v>555.77441893806406</v>
      </c>
      <c r="N188" s="295">
        <f t="shared" si="56"/>
        <v>0</v>
      </c>
    </row>
    <row r="189" spans="5:14" ht="15.6">
      <c r="E189" s="202" t="s">
        <v>520</v>
      </c>
      <c r="F189" s="248">
        <v>0</v>
      </c>
      <c r="H189" s="248">
        <v>108184.8596728804</v>
      </c>
      <c r="J189" s="248">
        <f t="shared" si="55"/>
        <v>108184.8596728804</v>
      </c>
      <c r="L189" s="248">
        <v>0</v>
      </c>
      <c r="N189" s="295">
        <f t="shared" si="56"/>
        <v>0</v>
      </c>
    </row>
    <row r="190" spans="5:14" ht="15.6">
      <c r="E190" s="202" t="s">
        <v>515</v>
      </c>
      <c r="F190" s="248">
        <v>0</v>
      </c>
      <c r="H190" s="248">
        <v>25297.051877142174</v>
      </c>
      <c r="J190" s="248">
        <f t="shared" si="55"/>
        <v>25297.051877142174</v>
      </c>
      <c r="L190" s="248">
        <v>0</v>
      </c>
      <c r="N190" s="295">
        <f t="shared" si="56"/>
        <v>0</v>
      </c>
    </row>
    <row r="191" spans="5:14" ht="15.6">
      <c r="E191" s="202" t="s">
        <v>512</v>
      </c>
      <c r="F191" s="248">
        <v>0</v>
      </c>
      <c r="H191" s="248">
        <v>8855804.320336977</v>
      </c>
      <c r="J191" s="248">
        <f t="shared" si="55"/>
        <v>8855804.320336977</v>
      </c>
      <c r="L191" s="248">
        <v>0</v>
      </c>
      <c r="N191" s="295">
        <f t="shared" si="56"/>
        <v>0</v>
      </c>
    </row>
    <row r="192" spans="5:14" ht="15.6">
      <c r="E192" s="202" t="s">
        <v>518</v>
      </c>
      <c r="F192" s="248">
        <v>0</v>
      </c>
      <c r="H192" s="248">
        <v>88071.706245154463</v>
      </c>
      <c r="J192" s="248">
        <f t="shared" si="55"/>
        <v>88071.706245154463</v>
      </c>
      <c r="L192" s="248">
        <v>0</v>
      </c>
      <c r="N192" s="295">
        <f t="shared" si="56"/>
        <v>0</v>
      </c>
    </row>
    <row r="193" spans="5:22">
      <c r="E193" s="203" t="s">
        <v>517</v>
      </c>
      <c r="F193" s="248">
        <v>0</v>
      </c>
      <c r="H193" s="248">
        <v>21722.892325740406</v>
      </c>
      <c r="J193" s="248">
        <f t="shared" si="55"/>
        <v>0</v>
      </c>
      <c r="L193" s="248">
        <v>21722.892325740406</v>
      </c>
      <c r="N193" s="295">
        <f t="shared" si="56"/>
        <v>0</v>
      </c>
    </row>
    <row r="194" spans="5:22">
      <c r="E194" s="203" t="s">
        <v>503</v>
      </c>
      <c r="F194" s="248">
        <v>0</v>
      </c>
      <c r="H194" s="248">
        <v>25297.051877142174</v>
      </c>
      <c r="J194" s="248">
        <f t="shared" si="55"/>
        <v>25297.051877142174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>
      <c r="E195" s="203" t="s">
        <v>535</v>
      </c>
      <c r="F195" s="248">
        <v>0</v>
      </c>
      <c r="H195" s="248">
        <v>8855804.320336977</v>
      </c>
      <c r="J195" s="248">
        <f t="shared" si="55"/>
        <v>8855804.320336977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>
      <c r="E196" s="203" t="s">
        <v>504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>
      <c r="E197" s="203" t="s">
        <v>506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>
      <c r="E198" s="203" t="s">
        <v>505</v>
      </c>
      <c r="F198" s="248">
        <v>0</v>
      </c>
      <c r="H198" s="248">
        <v>87222.135331413883</v>
      </c>
      <c r="J198" s="248">
        <f t="shared" si="55"/>
        <v>0</v>
      </c>
      <c r="L198" s="248">
        <v>87222.135331413883</v>
      </c>
      <c r="N198" s="295">
        <f t="shared" si="57"/>
        <v>0</v>
      </c>
      <c r="Q198" s="25"/>
      <c r="S198" s="25"/>
      <c r="T198" s="25"/>
      <c r="U198" s="25"/>
    </row>
    <row r="199" spans="5:22">
      <c r="E199" s="203" t="s">
        <v>600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5.6">
      <c r="E200" s="249" t="s">
        <v>501</v>
      </c>
      <c r="F200" s="248">
        <v>0</v>
      </c>
      <c r="H200" s="248">
        <v>4026178.1360752485</v>
      </c>
      <c r="J200" s="248">
        <f t="shared" si="55"/>
        <v>4026178.1360752485</v>
      </c>
      <c r="L200" s="248">
        <v>0</v>
      </c>
      <c r="N200" s="295">
        <f t="shared" si="57"/>
        <v>0</v>
      </c>
    </row>
    <row r="201" spans="5:22" ht="15.6">
      <c r="E201" s="249" t="s">
        <v>671</v>
      </c>
      <c r="F201" s="248">
        <v>0</v>
      </c>
      <c r="H201" s="248">
        <v>955411.7785075705</v>
      </c>
      <c r="J201" s="248">
        <f t="shared" ref="J201:J209" si="58">BJ114</f>
        <v>0</v>
      </c>
      <c r="L201" s="248">
        <v>955411.7785075705</v>
      </c>
      <c r="N201" s="295">
        <f t="shared" si="57"/>
        <v>0</v>
      </c>
    </row>
    <row r="202" spans="5:22">
      <c r="E202" s="203" t="s">
        <v>500</v>
      </c>
      <c r="F202" s="248">
        <v>0</v>
      </c>
      <c r="H202" s="248">
        <v>8991.620323109395</v>
      </c>
      <c r="J202" s="248">
        <f t="shared" si="58"/>
        <v>0</v>
      </c>
      <c r="L202" s="248">
        <v>8991.620323109395</v>
      </c>
      <c r="N202" s="295">
        <f t="shared" si="57"/>
        <v>0</v>
      </c>
      <c r="O202" s="25"/>
    </row>
    <row r="203" spans="5:22">
      <c r="E203" s="201" t="s">
        <v>502</v>
      </c>
      <c r="F203" s="248">
        <v>0</v>
      </c>
      <c r="H203" s="248">
        <v>303788.26554911444</v>
      </c>
      <c r="J203" s="248">
        <f t="shared" si="58"/>
        <v>0</v>
      </c>
      <c r="L203" s="248">
        <v>303788.26554911444</v>
      </c>
      <c r="N203" s="295">
        <f t="shared" si="57"/>
        <v>0</v>
      </c>
    </row>
    <row r="204" spans="5:22">
      <c r="E204" s="203" t="s">
        <v>634</v>
      </c>
      <c r="F204" s="248">
        <v>0</v>
      </c>
      <c r="H204" s="248">
        <v>4043367.3234254471</v>
      </c>
      <c r="J204" s="248">
        <f t="shared" si="58"/>
        <v>4043367.3234254471</v>
      </c>
      <c r="L204" s="248">
        <v>0</v>
      </c>
      <c r="N204" s="295">
        <f t="shared" si="57"/>
        <v>0</v>
      </c>
    </row>
    <row r="205" spans="5:22">
      <c r="E205" s="203" t="s">
        <v>636</v>
      </c>
      <c r="F205" s="248">
        <v>0</v>
      </c>
      <c r="H205" s="248">
        <v>4043367.3234254471</v>
      </c>
      <c r="J205" s="248">
        <f t="shared" si="58"/>
        <v>2830357.1263978118</v>
      </c>
      <c r="L205" s="248">
        <v>1213010.1970276341</v>
      </c>
      <c r="N205" s="295">
        <f t="shared" si="57"/>
        <v>0</v>
      </c>
    </row>
    <row r="206" spans="5:22">
      <c r="E206" s="203" t="s">
        <v>524</v>
      </c>
      <c r="F206" s="248">
        <v>0</v>
      </c>
      <c r="H206" s="248">
        <v>6682782.3361421349</v>
      </c>
      <c r="J206" s="248">
        <f t="shared" si="58"/>
        <v>6682782.3361421349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>
      <c r="E207" s="203" t="s">
        <v>525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>
      <c r="E208" s="203" t="s">
        <v>526</v>
      </c>
      <c r="F208" s="248">
        <v>0</v>
      </c>
      <c r="H208" s="248">
        <v>404209.15818875749</v>
      </c>
      <c r="J208" s="248">
        <f t="shared" si="58"/>
        <v>0</v>
      </c>
      <c r="L208" s="248">
        <v>404209.15818875749</v>
      </c>
      <c r="N208" s="295">
        <f t="shared" si="57"/>
        <v>0</v>
      </c>
    </row>
    <row r="209" spans="5:18">
      <c r="E209" s="203" t="s">
        <v>536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6.8">
      <c r="E210" s="203"/>
      <c r="F210" s="3" t="s">
        <v>446</v>
      </c>
      <c r="H210" s="3" t="s">
        <v>448</v>
      </c>
      <c r="J210" s="25" t="s">
        <v>445</v>
      </c>
      <c r="L210" s="25" t="s">
        <v>39</v>
      </c>
      <c r="N210" s="25">
        <v>0</v>
      </c>
    </row>
    <row r="211" spans="5:18">
      <c r="E211" s="203"/>
      <c r="J211" s="25"/>
      <c r="L211" s="25"/>
    </row>
    <row r="212" spans="5:18">
      <c r="E212" s="203"/>
    </row>
    <row r="213" spans="5:18">
      <c r="F213" s="438" t="s">
        <v>606</v>
      </c>
      <c r="G213" s="438"/>
      <c r="H213" s="438"/>
      <c r="I213" s="438"/>
      <c r="J213" s="438"/>
      <c r="O213" s="241"/>
      <c r="P213" s="241"/>
    </row>
    <row r="216" spans="5:18">
      <c r="E216" s="201" t="s">
        <v>401</v>
      </c>
      <c r="F216" s="248" cm="1">
        <f t="array" ref="F216:F230">TRANSPOSE((AU124:BI124))</f>
        <v>202456.09318826307</v>
      </c>
      <c r="H216" s="248">
        <f t="shared" ref="H216:H230" si="59">AP127</f>
        <v>110429.65575914715</v>
      </c>
      <c r="J216" s="248">
        <f>F216-H216</f>
        <v>92026.437429115918</v>
      </c>
    </row>
    <row r="217" spans="5:18">
      <c r="E217" s="201" t="s">
        <v>402</v>
      </c>
      <c r="F217" s="248">
        <v>25579.496946587489</v>
      </c>
      <c r="H217" s="248">
        <f t="shared" si="59"/>
        <v>25303.769659151953</v>
      </c>
      <c r="J217" s="248">
        <f t="shared" ref="J217:J230" si="60">F217-H217</f>
        <v>275.72728743553671</v>
      </c>
      <c r="Q217" s="241"/>
      <c r="R217" s="241"/>
    </row>
    <row r="218" spans="5:18">
      <c r="E218" s="201" t="s">
        <v>403</v>
      </c>
      <c r="F218" s="248">
        <v>8954947.7300760113</v>
      </c>
      <c r="H218" s="248">
        <f t="shared" si="59"/>
        <v>8856360.0947559159</v>
      </c>
      <c r="J218" s="248">
        <f t="shared" si="60"/>
        <v>98587.635320095345</v>
      </c>
    </row>
    <row r="219" spans="5:18">
      <c r="E219" s="201" t="s">
        <v>534</v>
      </c>
      <c r="F219" s="248">
        <v>717977.11143222859</v>
      </c>
      <c r="G219" s="250"/>
      <c r="H219" s="248">
        <f t="shared" si="59"/>
        <v>108184.8596728804</v>
      </c>
      <c r="I219" s="250"/>
      <c r="J219" s="248">
        <f t="shared" si="60"/>
        <v>609792.2517593482</v>
      </c>
    </row>
    <row r="220" spans="5:18">
      <c r="E220" s="201" t="s">
        <v>514</v>
      </c>
      <c r="F220" s="248">
        <v>28121.937524887093</v>
      </c>
      <c r="H220" s="248">
        <f t="shared" si="59"/>
        <v>25297.051877142174</v>
      </c>
      <c r="J220" s="248">
        <f t="shared" si="60"/>
        <v>2824.885647744919</v>
      </c>
      <c r="K220" s="241"/>
      <c r="L220" s="241"/>
      <c r="M220" s="241"/>
      <c r="N220" s="241"/>
    </row>
    <row r="221" spans="5:18">
      <c r="E221" s="201" t="s">
        <v>513</v>
      </c>
      <c r="F221" s="248">
        <v>8856086.4491080083</v>
      </c>
      <c r="H221" s="248">
        <f t="shared" si="59"/>
        <v>8855804.320336977</v>
      </c>
      <c r="J221" s="248">
        <f t="shared" si="60"/>
        <v>282.12877103127539</v>
      </c>
    </row>
    <row r="222" spans="5:18">
      <c r="E222" s="201" t="s">
        <v>427</v>
      </c>
      <c r="F222" s="248">
        <v>120810.95849921908</v>
      </c>
      <c r="H222" s="248">
        <f t="shared" si="59"/>
        <v>109794.59857089487</v>
      </c>
      <c r="J222" s="248">
        <f t="shared" si="60"/>
        <v>11016.359928324207</v>
      </c>
    </row>
    <row r="223" spans="5:18">
      <c r="E223" s="201" t="s">
        <v>424</v>
      </c>
      <c r="F223" s="248">
        <v>25331.72997230629</v>
      </c>
      <c r="G223" s="169" t="s">
        <v>454</v>
      </c>
      <c r="H223" s="248">
        <f t="shared" si="59"/>
        <v>25297.051877142174</v>
      </c>
      <c r="I223" s="169" t="s">
        <v>450</v>
      </c>
      <c r="J223" s="248">
        <f t="shared" si="60"/>
        <v>34.678095164115803</v>
      </c>
    </row>
    <row r="224" spans="5:18">
      <c r="E224" s="201" t="s">
        <v>438</v>
      </c>
      <c r="F224" s="248">
        <v>8855854.6784211304</v>
      </c>
      <c r="H224" s="248">
        <f t="shared" si="59"/>
        <v>8855804.320336977</v>
      </c>
      <c r="J224" s="248">
        <f t="shared" si="60"/>
        <v>50.35808415338397</v>
      </c>
    </row>
    <row r="225" spans="5:14">
      <c r="E225" s="201" t="s">
        <v>425</v>
      </c>
      <c r="F225" s="248">
        <v>1979045.0406719043</v>
      </c>
      <c r="H225" s="248">
        <f t="shared" si="59"/>
        <v>336977.46259125951</v>
      </c>
      <c r="J225" s="248">
        <f t="shared" si="60"/>
        <v>1642067.5780806448</v>
      </c>
    </row>
    <row r="226" spans="5:14">
      <c r="E226" s="201" t="s">
        <v>420</v>
      </c>
      <c r="F226" s="248">
        <v>19454075.052631274</v>
      </c>
      <c r="H226" s="248">
        <f t="shared" si="59"/>
        <v>11702658.42159321</v>
      </c>
      <c r="J226" s="248">
        <f t="shared" si="60"/>
        <v>7751416.6310380641</v>
      </c>
    </row>
    <row r="227" spans="5:14">
      <c r="E227" s="201" t="s">
        <v>633</v>
      </c>
      <c r="F227" s="248">
        <v>4059369.9954689462</v>
      </c>
      <c r="H227" s="248">
        <f t="shared" si="59"/>
        <v>4043367.3234254471</v>
      </c>
      <c r="J227" s="248">
        <f t="shared" si="60"/>
        <v>16002.672043499071</v>
      </c>
    </row>
    <row r="228" spans="5:14">
      <c r="E228" s="201" t="s">
        <v>635</v>
      </c>
      <c r="F228" s="248">
        <v>4043367.3234254471</v>
      </c>
      <c r="H228" s="248">
        <f t="shared" si="59"/>
        <v>4043367.3234254471</v>
      </c>
      <c r="J228" s="248">
        <f t="shared" si="60"/>
        <v>0</v>
      </c>
    </row>
    <row r="229" spans="5:14">
      <c r="E229" s="201" t="s">
        <v>81</v>
      </c>
      <c r="F229" s="248">
        <v>6738376.4034630982</v>
      </c>
      <c r="H229" s="248">
        <f t="shared" si="59"/>
        <v>6682782.3361421349</v>
      </c>
      <c r="J229" s="248">
        <f t="shared" si="60"/>
        <v>55594.067320963368</v>
      </c>
    </row>
    <row r="230" spans="5:14">
      <c r="E230" s="201" t="s">
        <v>413</v>
      </c>
      <c r="F230" s="248">
        <v>12202453.882342203</v>
      </c>
      <c r="G230" s="169"/>
      <c r="H230" s="248">
        <f t="shared" si="59"/>
        <v>4629979.8128694845</v>
      </c>
      <c r="J230" s="248">
        <f t="shared" si="60"/>
        <v>7572474.0694727181</v>
      </c>
    </row>
    <row r="231" spans="5:14">
      <c r="E231" s="203"/>
      <c r="F231" s="169" t="s">
        <v>444</v>
      </c>
      <c r="G231" s="169"/>
      <c r="H231" s="169" t="s">
        <v>441</v>
      </c>
      <c r="I231" s="169"/>
      <c r="J231" s="169" t="s">
        <v>455</v>
      </c>
    </row>
    <row r="232" spans="5:14">
      <c r="E232" s="203"/>
    </row>
    <row r="233" spans="5:14">
      <c r="E233" s="203"/>
    </row>
    <row r="238" spans="5:14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defaultColWidth="10.77734375" defaultRowHeight="14.4"/>
  <cols>
    <col min="1" max="1" width="10.77734375" style="3"/>
    <col min="2" max="2" width="17" style="3" bestFit="1" customWidth="1"/>
    <col min="3" max="10" width="10.77734375" style="3"/>
    <col min="11" max="11" width="12.6640625" style="3" bestFit="1" customWidth="1"/>
    <col min="12" max="44" width="10.77734375" style="3"/>
    <col min="45" max="45" width="16" style="3" customWidth="1"/>
    <col min="46" max="16384" width="10.77734375" style="3"/>
  </cols>
  <sheetData>
    <row r="1" spans="2:77" ht="109.8">
      <c r="C1" s="204" t="s">
        <v>557</v>
      </c>
      <c r="AQ1" s="256"/>
      <c r="AR1" s="204" t="s">
        <v>401</v>
      </c>
      <c r="AS1" s="204" t="s">
        <v>402</v>
      </c>
      <c r="AT1" s="204" t="s">
        <v>403</v>
      </c>
      <c r="AU1" s="204" t="s">
        <v>534</v>
      </c>
      <c r="AV1" s="204" t="s">
        <v>514</v>
      </c>
      <c r="AW1" s="204" t="s">
        <v>513</v>
      </c>
      <c r="AX1" s="204" t="s">
        <v>427</v>
      </c>
      <c r="AY1" s="204" t="s">
        <v>424</v>
      </c>
      <c r="AZ1" s="204" t="s">
        <v>438</v>
      </c>
      <c r="BA1" s="204" t="s">
        <v>425</v>
      </c>
      <c r="BB1" s="204" t="s">
        <v>420</v>
      </c>
      <c r="BC1" s="204" t="s">
        <v>436</v>
      </c>
      <c r="BD1" s="204" t="s">
        <v>635</v>
      </c>
      <c r="BE1" s="204" t="s">
        <v>81</v>
      </c>
      <c r="BF1" s="204" t="s">
        <v>413</v>
      </c>
      <c r="BK1" s="256"/>
      <c r="BL1" s="204" t="s">
        <v>401</v>
      </c>
      <c r="BM1" s="204" t="s">
        <v>402</v>
      </c>
      <c r="BN1" s="204" t="s">
        <v>403</v>
      </c>
      <c r="BO1" s="204" t="s">
        <v>534</v>
      </c>
      <c r="BP1" s="204" t="s">
        <v>514</v>
      </c>
      <c r="BQ1" s="204" t="s">
        <v>513</v>
      </c>
      <c r="BR1" s="204" t="s">
        <v>427</v>
      </c>
      <c r="BS1" s="204" t="s">
        <v>424</v>
      </c>
      <c r="BT1" s="204" t="s">
        <v>438</v>
      </c>
      <c r="BU1" s="204" t="s">
        <v>425</v>
      </c>
      <c r="BV1" s="204" t="s">
        <v>420</v>
      </c>
      <c r="BW1" s="204" t="s">
        <v>635</v>
      </c>
      <c r="BX1" s="204" t="s">
        <v>81</v>
      </c>
      <c r="BY1" s="204" t="s">
        <v>413</v>
      </c>
    </row>
    <row r="2" spans="2:77">
      <c r="B2" s="201" t="s">
        <v>409</v>
      </c>
      <c r="C2" s="280">
        <v>1</v>
      </c>
      <c r="AQ2" s="201" t="s">
        <v>409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409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>
      <c r="B3" s="201" t="s">
        <v>411</v>
      </c>
      <c r="C3" s="280">
        <v>1</v>
      </c>
      <c r="AQ3" s="201" t="s">
        <v>411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411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>
      <c r="B4" s="201" t="s">
        <v>412</v>
      </c>
      <c r="C4" s="280">
        <v>1</v>
      </c>
      <c r="AQ4" s="201" t="s">
        <v>412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412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>
      <c r="B5" s="201" t="s">
        <v>431</v>
      </c>
      <c r="C5" s="280">
        <v>1</v>
      </c>
      <c r="AQ5" s="201" t="s">
        <v>431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431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>
      <c r="B6" s="201" t="s">
        <v>453</v>
      </c>
      <c r="C6" s="280">
        <v>1</v>
      </c>
      <c r="AQ6" s="201" t="s">
        <v>453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453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>
      <c r="B7" s="201" t="s">
        <v>545</v>
      </c>
      <c r="C7" s="280">
        <v>1</v>
      </c>
      <c r="AQ7" s="201" t="s">
        <v>545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545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>
      <c r="B8" s="201" t="s">
        <v>546</v>
      </c>
      <c r="C8" s="280">
        <v>1</v>
      </c>
      <c r="AQ8" s="201" t="s">
        <v>546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546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>
      <c r="B9" s="201" t="s">
        <v>490</v>
      </c>
      <c r="C9" s="280">
        <v>1</v>
      </c>
      <c r="AQ9" s="201" t="s">
        <v>490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>
      <c r="B10" s="201" t="s">
        <v>538</v>
      </c>
      <c r="C10" s="280">
        <v>1</v>
      </c>
      <c r="AQ10" s="201" t="s">
        <v>538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538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5.6">
      <c r="B11" s="202" t="s">
        <v>521</v>
      </c>
      <c r="C11" s="280">
        <v>1</v>
      </c>
      <c r="AQ11" s="202" t="s">
        <v>521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521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>
      <c r="B12" s="201" t="s">
        <v>488</v>
      </c>
      <c r="C12" s="280">
        <v>1</v>
      </c>
      <c r="AQ12" s="201" t="s">
        <v>488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488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5.6">
      <c r="B13" s="202" t="s">
        <v>491</v>
      </c>
      <c r="C13" s="280">
        <v>1</v>
      </c>
      <c r="AQ13" s="202" t="s">
        <v>491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491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>
      <c r="B14" s="201" t="s">
        <v>516</v>
      </c>
      <c r="C14" s="280">
        <v>1</v>
      </c>
      <c r="AQ14" s="201" t="s">
        <v>516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516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>
      <c r="B15" s="203" t="s">
        <v>509</v>
      </c>
      <c r="C15" s="280">
        <v>1</v>
      </c>
      <c r="AQ15" s="203" t="s">
        <v>509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509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>
      <c r="B16" s="201" t="s">
        <v>495</v>
      </c>
      <c r="C16" s="280">
        <v>1</v>
      </c>
      <c r="AQ16" s="201" t="s">
        <v>495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495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5.6">
      <c r="B17" s="202" t="s">
        <v>520</v>
      </c>
      <c r="C17" s="280">
        <v>1</v>
      </c>
      <c r="AQ17" s="202" t="s">
        <v>520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5.6">
      <c r="B18" s="202" t="s">
        <v>515</v>
      </c>
      <c r="C18" s="280">
        <v>1</v>
      </c>
      <c r="AQ18" s="202" t="s">
        <v>515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515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5.6">
      <c r="B19" s="202" t="s">
        <v>512</v>
      </c>
      <c r="C19" s="280">
        <v>1</v>
      </c>
      <c r="AQ19" s="202" t="s">
        <v>512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512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5.6">
      <c r="B20" s="202" t="s">
        <v>518</v>
      </c>
      <c r="C20" s="280">
        <v>1</v>
      </c>
      <c r="AQ20" s="202" t="s">
        <v>518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518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>
      <c r="B21" s="203" t="s">
        <v>517</v>
      </c>
      <c r="C21" s="280">
        <v>1</v>
      </c>
      <c r="AQ21" s="203" t="s">
        <v>517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517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>
      <c r="B22" s="203" t="s">
        <v>503</v>
      </c>
      <c r="C22" s="280">
        <v>1</v>
      </c>
      <c r="AQ22" s="203" t="s">
        <v>503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503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>
      <c r="B23" s="203" t="s">
        <v>535</v>
      </c>
      <c r="C23" s="280">
        <v>1</v>
      </c>
      <c r="AQ23" s="203" t="s">
        <v>535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535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>
      <c r="B24" s="203" t="s">
        <v>504</v>
      </c>
      <c r="C24" s="280">
        <v>1</v>
      </c>
      <c r="AQ24" s="203" t="s">
        <v>504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504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>
      <c r="B25" s="203" t="s">
        <v>506</v>
      </c>
      <c r="C25" s="280">
        <v>1</v>
      </c>
      <c r="AQ25" s="203" t="s">
        <v>506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506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>
      <c r="B26" s="203" t="s">
        <v>505</v>
      </c>
      <c r="C26" s="280">
        <v>1</v>
      </c>
      <c r="AQ26" s="203" t="s">
        <v>505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505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>
      <c r="B27" s="203" t="s">
        <v>600</v>
      </c>
      <c r="C27" s="280">
        <v>1</v>
      </c>
      <c r="AQ27" s="203" t="s">
        <v>600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5.6">
      <c r="B28" s="249" t="s">
        <v>501</v>
      </c>
      <c r="C28" s="280">
        <v>1</v>
      </c>
      <c r="AQ28" s="249" t="s">
        <v>501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501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5.6">
      <c r="B29" s="249"/>
      <c r="C29" s="280"/>
      <c r="AQ29" s="249" t="s">
        <v>671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671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>
      <c r="B30" s="203" t="s">
        <v>500</v>
      </c>
      <c r="C30" s="280">
        <v>1</v>
      </c>
      <c r="AQ30" s="203" t="s">
        <v>500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>
      <c r="B31" s="201" t="s">
        <v>502</v>
      </c>
      <c r="C31" s="280">
        <v>1</v>
      </c>
      <c r="AQ31" s="201" t="s">
        <v>502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502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>
      <c r="B32" s="203" t="s">
        <v>498</v>
      </c>
      <c r="C32" s="280">
        <v>1</v>
      </c>
      <c r="AQ32" s="203" t="s">
        <v>634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634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>
      <c r="B33" s="203" t="s">
        <v>524</v>
      </c>
      <c r="C33" s="280">
        <v>1</v>
      </c>
      <c r="AQ33" s="203" t="s">
        <v>636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>
      <c r="B34" s="203" t="s">
        <v>525</v>
      </c>
      <c r="C34" s="280">
        <v>1</v>
      </c>
      <c r="AQ34" s="203" t="s">
        <v>524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524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>
      <c r="B35" s="203" t="s">
        <v>526</v>
      </c>
      <c r="C35" s="280">
        <v>1</v>
      </c>
      <c r="AQ35" s="203" t="s">
        <v>525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525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>
      <c r="B36" s="203" t="s">
        <v>536</v>
      </c>
      <c r="C36" s="280">
        <v>1</v>
      </c>
      <c r="AQ36" s="203" t="s">
        <v>526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526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>
      <c r="C37" s="169" t="s">
        <v>552</v>
      </c>
      <c r="AQ37" s="203" t="s">
        <v>536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536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>
      <c r="AQ38" s="203"/>
      <c r="AR38" s="438" t="s">
        <v>549</v>
      </c>
      <c r="AS38" s="438"/>
      <c r="AT38" s="438"/>
      <c r="AU38" s="438"/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K38" s="203"/>
      <c r="BL38" s="438" t="s">
        <v>550</v>
      </c>
      <c r="BM38" s="438"/>
      <c r="BN38" s="438"/>
      <c r="BO38" s="438"/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</row>
    <row r="39" spans="2:77">
      <c r="AQ39" s="203"/>
      <c r="BK39" s="203"/>
    </row>
    <row r="40" spans="2:77">
      <c r="AQ40" s="203"/>
    </row>
    <row r="41" spans="2:77" ht="109.8">
      <c r="AQ41" s="256"/>
      <c r="AR41" s="204" t="s">
        <v>401</v>
      </c>
      <c r="AS41" s="204" t="s">
        <v>402</v>
      </c>
      <c r="AT41" s="204" t="s">
        <v>403</v>
      </c>
      <c r="AU41" s="204" t="s">
        <v>534</v>
      </c>
      <c r="AV41" s="204" t="s">
        <v>514</v>
      </c>
      <c r="AW41" s="204" t="s">
        <v>513</v>
      </c>
      <c r="AX41" s="204" t="s">
        <v>427</v>
      </c>
      <c r="AY41" s="204" t="s">
        <v>424</v>
      </c>
      <c r="AZ41" s="204" t="s">
        <v>438</v>
      </c>
      <c r="BA41" s="204" t="s">
        <v>425</v>
      </c>
      <c r="BB41" s="204" t="s">
        <v>420</v>
      </c>
      <c r="BC41" s="204" t="s">
        <v>633</v>
      </c>
      <c r="BD41" s="204" t="s">
        <v>635</v>
      </c>
      <c r="BE41" s="204" t="s">
        <v>81</v>
      </c>
      <c r="BF41" s="204" t="s">
        <v>413</v>
      </c>
    </row>
    <row r="42" spans="2:77">
      <c r="AQ42" s="201" t="s">
        <v>409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>
      <c r="AQ43" s="201" t="s">
        <v>411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>
      <c r="AQ44" s="201" t="s">
        <v>412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>
      <c r="AQ45" s="201" t="s">
        <v>431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>
      <c r="AQ46" s="201" t="s">
        <v>453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>
      <c r="AQ47" s="201" t="s">
        <v>545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>
      <c r="AQ48" s="201" t="s">
        <v>546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>
      <c r="AQ49" s="201" t="s">
        <v>490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>
      <c r="AQ50" s="201" t="s">
        <v>538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5.6">
      <c r="AQ51" s="202" t="s">
        <v>521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>
      <c r="AQ52" s="201" t="s">
        <v>488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5.6">
      <c r="AQ53" s="202" t="s">
        <v>491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>
      <c r="AQ54" s="201" t="s">
        <v>516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>
      <c r="AQ55" s="203" t="s">
        <v>509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>
      <c r="AQ56" s="201" t="s">
        <v>495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5.6">
      <c r="AQ57" s="202" t="s">
        <v>520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5.6">
      <c r="AQ58" s="202" t="s">
        <v>515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5.6">
      <c r="AQ59" s="202" t="s">
        <v>512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5.6">
      <c r="AQ60" s="202" t="s">
        <v>518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>
      <c r="AQ61" s="203" t="s">
        <v>517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>
      <c r="AQ62" s="203" t="s">
        <v>503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>
      <c r="AQ63" s="203" t="s">
        <v>535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>
      <c r="AQ64" s="203" t="s">
        <v>504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>
      <c r="AQ65" s="203" t="s">
        <v>506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>
      <c r="AQ66" s="203" t="s">
        <v>505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>
      <c r="AQ67" s="203" t="s">
        <v>600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5.6">
      <c r="AQ68" s="249" t="s">
        <v>501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5.6">
      <c r="AQ69" s="249" t="s">
        <v>671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>
      <c r="AQ70" s="203" t="s">
        <v>500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>
      <c r="AQ71" s="201" t="s">
        <v>502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>
      <c r="AQ72" s="203" t="s">
        <v>634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>
      <c r="AQ73" s="203" t="s">
        <v>636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>
      <c r="AQ74" s="203" t="s">
        <v>524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>
      <c r="AQ75" s="203" t="s">
        <v>525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>
      <c r="AQ76" s="203" t="s">
        <v>526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>
      <c r="AQ77" s="203" t="s">
        <v>536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>
      <c r="AQ78" s="203"/>
      <c r="AR78" s="438" t="s">
        <v>551</v>
      </c>
      <c r="AS78" s="438"/>
      <c r="AT78" s="438"/>
      <c r="AU78" s="438"/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</row>
    <row r="82" spans="33:66" ht="109.8">
      <c r="AG82" s="201"/>
      <c r="AH82" s="201"/>
      <c r="AQ82" s="256"/>
      <c r="AR82" s="204" t="s">
        <v>401</v>
      </c>
      <c r="AS82" s="204" t="s">
        <v>402</v>
      </c>
      <c r="AT82" s="204" t="s">
        <v>403</v>
      </c>
      <c r="AU82" s="204" t="s">
        <v>534</v>
      </c>
      <c r="AV82" s="204" t="s">
        <v>514</v>
      </c>
      <c r="AW82" s="204" t="s">
        <v>513</v>
      </c>
      <c r="AX82" s="204" t="s">
        <v>427</v>
      </c>
      <c r="AY82" s="204" t="s">
        <v>424</v>
      </c>
      <c r="AZ82" s="204" t="s">
        <v>438</v>
      </c>
      <c r="BA82" s="204" t="s">
        <v>425</v>
      </c>
      <c r="BB82" s="204" t="s">
        <v>420</v>
      </c>
      <c r="BC82" s="204" t="s">
        <v>633</v>
      </c>
      <c r="BD82" s="204" t="s">
        <v>635</v>
      </c>
      <c r="BE82" s="204" t="s">
        <v>81</v>
      </c>
      <c r="BF82" s="204" t="s">
        <v>413</v>
      </c>
      <c r="BK82" s="204"/>
      <c r="BL82" s="204" t="s">
        <v>407</v>
      </c>
      <c r="BM82" s="204" t="s">
        <v>352</v>
      </c>
    </row>
    <row r="83" spans="33:66">
      <c r="AG83" s="201"/>
      <c r="AH83" s="201"/>
      <c r="AQ83" s="201" t="s">
        <v>409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409</v>
      </c>
      <c r="BL83" s="240"/>
      <c r="BM83" s="240"/>
      <c r="BN83" s="248">
        <f>SUM(BL83:BM83)</f>
        <v>0</v>
      </c>
    </row>
    <row r="84" spans="33:66">
      <c r="AG84" s="201"/>
      <c r="AH84" s="201"/>
      <c r="AQ84" s="201" t="s">
        <v>411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411</v>
      </c>
      <c r="BL84" s="240"/>
      <c r="BM84" s="240"/>
      <c r="BN84" s="248">
        <f>SUM(BL84:BM84)</f>
        <v>0</v>
      </c>
    </row>
    <row r="85" spans="33:66">
      <c r="AG85" s="201"/>
      <c r="AH85" s="201"/>
      <c r="AQ85" s="201" t="s">
        <v>412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412</v>
      </c>
      <c r="BL85" s="240"/>
      <c r="BM85" s="240"/>
      <c r="BN85" s="248">
        <f>SUM(BL85:BM85)</f>
        <v>0</v>
      </c>
    </row>
    <row r="86" spans="33:66">
      <c r="AG86" s="201"/>
      <c r="AH86" s="201"/>
      <c r="AQ86" s="201" t="s">
        <v>431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431</v>
      </c>
      <c r="BL86" s="240"/>
      <c r="BM86" s="240"/>
      <c r="BN86" s="248">
        <f t="shared" ref="BN86:BN90" si="80">SUM(BL86:BM86)</f>
        <v>0</v>
      </c>
    </row>
    <row r="87" spans="33:66">
      <c r="AG87" s="201"/>
      <c r="AH87" s="201"/>
      <c r="AQ87" s="201" t="s">
        <v>453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453</v>
      </c>
      <c r="BL87" s="240"/>
      <c r="BM87" s="240"/>
      <c r="BN87" s="248">
        <f t="shared" si="80"/>
        <v>0</v>
      </c>
    </row>
    <row r="88" spans="33:66">
      <c r="AG88" s="201"/>
      <c r="AH88" s="201"/>
      <c r="AQ88" s="201" t="s">
        <v>545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545</v>
      </c>
      <c r="BL88" s="240"/>
      <c r="BM88" s="240"/>
      <c r="BN88" s="248">
        <f t="shared" si="80"/>
        <v>0</v>
      </c>
    </row>
    <row r="89" spans="33:66">
      <c r="AG89" s="201"/>
      <c r="AH89" s="201"/>
      <c r="AQ89" s="201" t="s">
        <v>546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546</v>
      </c>
      <c r="BL89" s="240"/>
      <c r="BM89" s="240"/>
      <c r="BN89" s="248">
        <f t="shared" si="80"/>
        <v>0</v>
      </c>
    </row>
    <row r="90" spans="33:66">
      <c r="AG90" s="201"/>
      <c r="AH90" s="201"/>
      <c r="AQ90" s="201" t="s">
        <v>490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490</v>
      </c>
      <c r="BL90" s="240"/>
      <c r="BM90" s="240"/>
      <c r="BN90" s="248">
        <f t="shared" si="80"/>
        <v>0</v>
      </c>
    </row>
    <row r="91" spans="33:66">
      <c r="AG91" s="242"/>
      <c r="AH91" s="242"/>
      <c r="AQ91" s="201" t="s">
        <v>538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538</v>
      </c>
      <c r="BL91" s="240"/>
      <c r="BM91" s="240"/>
      <c r="BN91" s="248">
        <f t="shared" ref="BN91:BN97" si="81">SUM(BL91:BM91)</f>
        <v>0</v>
      </c>
    </row>
    <row r="92" spans="33:66" ht="15.6">
      <c r="AG92" s="202"/>
      <c r="AH92" s="202"/>
      <c r="AQ92" s="202" t="s">
        <v>521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521</v>
      </c>
      <c r="BL92" s="240"/>
      <c r="BM92" s="240"/>
      <c r="BN92" s="248">
        <f t="shared" si="81"/>
        <v>0</v>
      </c>
    </row>
    <row r="93" spans="33:66">
      <c r="AG93" s="203"/>
      <c r="AH93" s="203"/>
      <c r="AQ93" s="201" t="s">
        <v>488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488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5.6">
      <c r="AG94" s="203"/>
      <c r="AH94" s="203"/>
      <c r="AQ94" s="202" t="s">
        <v>491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491</v>
      </c>
      <c r="BL94" s="240"/>
      <c r="BM94" s="244"/>
      <c r="BN94" s="248">
        <f t="shared" si="81"/>
        <v>0</v>
      </c>
    </row>
    <row r="95" spans="33:66">
      <c r="AG95" s="203"/>
      <c r="AH95" s="203"/>
      <c r="AQ95" s="201" t="s">
        <v>516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516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>
      <c r="AG96" s="203"/>
      <c r="AH96" s="203"/>
      <c r="AQ96" s="203" t="s">
        <v>509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509</v>
      </c>
      <c r="BL96" s="240"/>
      <c r="BM96" s="240"/>
      <c r="BN96" s="248">
        <f t="shared" si="81"/>
        <v>0</v>
      </c>
    </row>
    <row r="97" spans="33:71">
      <c r="AG97" s="203"/>
      <c r="AH97" s="203"/>
      <c r="AQ97" s="201" t="s">
        <v>495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495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5.6">
      <c r="AG98" s="203"/>
      <c r="AH98" s="203"/>
      <c r="AQ98" s="202" t="s">
        <v>520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520</v>
      </c>
      <c r="BL98" s="240"/>
      <c r="BM98" s="240"/>
      <c r="BN98" s="248">
        <f t="shared" ref="BN98:BN118" si="82">SUM(BL98:BM98)</f>
        <v>0</v>
      </c>
    </row>
    <row r="99" spans="33:71" ht="15.6">
      <c r="AG99" s="203"/>
      <c r="AH99" s="203"/>
      <c r="AQ99" s="202" t="s">
        <v>515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515</v>
      </c>
      <c r="BL99" s="240"/>
      <c r="BM99" s="240"/>
      <c r="BN99" s="248">
        <f t="shared" si="82"/>
        <v>0</v>
      </c>
    </row>
    <row r="100" spans="33:71" ht="15.6">
      <c r="AG100" s="249"/>
      <c r="AH100" s="249"/>
      <c r="AQ100" s="202" t="s">
        <v>512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512</v>
      </c>
      <c r="BL100" s="240"/>
      <c r="BM100" s="240"/>
      <c r="BN100" s="248">
        <f t="shared" si="82"/>
        <v>0</v>
      </c>
    </row>
    <row r="101" spans="33:71" ht="15.6">
      <c r="AG101" s="203"/>
      <c r="AH101" s="203"/>
      <c r="AQ101" s="202" t="s">
        <v>518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518</v>
      </c>
      <c r="BL101" s="240"/>
      <c r="BM101" s="240"/>
      <c r="BN101" s="248">
        <f t="shared" si="82"/>
        <v>0</v>
      </c>
    </row>
    <row r="102" spans="33:71">
      <c r="AG102" s="203"/>
      <c r="AH102" s="203"/>
      <c r="AQ102" s="203" t="s">
        <v>517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517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>
      <c r="AG103" s="203"/>
      <c r="AH103" s="203"/>
      <c r="AQ103" s="203" t="s">
        <v>503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503</v>
      </c>
      <c r="BL103" s="240"/>
      <c r="BM103" s="240"/>
      <c r="BN103" s="248">
        <f t="shared" si="82"/>
        <v>0</v>
      </c>
    </row>
    <row r="104" spans="33:71">
      <c r="AG104" s="203"/>
      <c r="AH104" s="203"/>
      <c r="AQ104" s="203" t="s">
        <v>535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535</v>
      </c>
      <c r="BL104" s="240"/>
      <c r="BM104" s="240"/>
      <c r="BN104" s="248">
        <f t="shared" si="82"/>
        <v>0</v>
      </c>
    </row>
    <row r="105" spans="33:71">
      <c r="AG105" s="203"/>
      <c r="AH105" s="203"/>
      <c r="AQ105" s="203" t="s">
        <v>504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504</v>
      </c>
      <c r="BL105" s="240"/>
      <c r="BM105" s="240"/>
      <c r="BN105" s="248">
        <f t="shared" si="82"/>
        <v>0</v>
      </c>
    </row>
    <row r="106" spans="33:71">
      <c r="AG106" s="203"/>
      <c r="AH106" s="203"/>
      <c r="AQ106" s="203" t="s">
        <v>506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506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>
      <c r="AG107" s="203"/>
      <c r="AH107" s="203"/>
      <c r="AQ107" s="203" t="s">
        <v>505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505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>
      <c r="AG108" s="203"/>
      <c r="AH108" s="203"/>
      <c r="AQ108" s="203" t="s">
        <v>600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600</v>
      </c>
      <c r="BL108" s="240"/>
      <c r="BM108" s="240"/>
      <c r="BN108" s="248">
        <f t="shared" si="82"/>
        <v>0</v>
      </c>
    </row>
    <row r="109" spans="33:71" ht="15.6">
      <c r="AG109" s="203"/>
      <c r="AH109" s="203"/>
      <c r="AQ109" s="249" t="s">
        <v>501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501</v>
      </c>
      <c r="BL109" s="240"/>
      <c r="BM109" s="240"/>
      <c r="BN109" s="248">
        <f t="shared" si="82"/>
        <v>0</v>
      </c>
    </row>
    <row r="110" spans="33:71" ht="15.6">
      <c r="AG110" s="203"/>
      <c r="AH110" s="203"/>
      <c r="AQ110" s="249" t="s">
        <v>671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671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>
      <c r="AG111" s="203"/>
      <c r="AH111" s="203"/>
      <c r="AQ111" s="203" t="s">
        <v>500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500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>
      <c r="AG112" s="203"/>
      <c r="AH112" s="203"/>
      <c r="AQ112" s="201" t="s">
        <v>502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502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>
      <c r="AG113" s="203"/>
      <c r="AH113" s="203"/>
      <c r="AQ113" s="203" t="s">
        <v>634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634</v>
      </c>
      <c r="BL113" s="240"/>
      <c r="BM113" s="240"/>
      <c r="BN113" s="248">
        <f t="shared" si="82"/>
        <v>0</v>
      </c>
    </row>
    <row r="114" spans="2:66">
      <c r="AG114" s="203"/>
      <c r="AH114" s="203"/>
      <c r="AQ114" s="203" t="s">
        <v>636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636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>
      <c r="AG115" s="203"/>
      <c r="AH115" s="203"/>
      <c r="AQ115" s="203" t="s">
        <v>524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524</v>
      </c>
      <c r="BL115" s="240"/>
      <c r="BM115" s="240"/>
      <c r="BN115" s="248">
        <f t="shared" si="82"/>
        <v>0</v>
      </c>
    </row>
    <row r="116" spans="2:66">
      <c r="AG116" s="203"/>
      <c r="AH116" s="203"/>
      <c r="AQ116" s="203" t="s">
        <v>525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525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>
      <c r="AG117" s="203"/>
      <c r="AH117" s="203"/>
      <c r="AQ117" s="203" t="s">
        <v>526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526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>
      <c r="AG118" s="203"/>
      <c r="AH118" s="203"/>
      <c r="AQ118" s="203" t="s">
        <v>536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536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>
      <c r="AG119" s="203"/>
      <c r="AH119" s="203"/>
      <c r="AQ119" s="203"/>
      <c r="AR119" s="438" t="s">
        <v>404</v>
      </c>
      <c r="AS119" s="438"/>
      <c r="AT119" s="438"/>
      <c r="AU119" s="438"/>
      <c r="AV119" s="438"/>
      <c r="AW119" s="438"/>
      <c r="AX119" s="438"/>
      <c r="AY119" s="438"/>
      <c r="AZ119" s="438"/>
      <c r="BA119" s="438"/>
      <c r="BB119" s="438"/>
      <c r="BC119" s="438"/>
      <c r="BD119" s="438"/>
      <c r="BE119" s="438"/>
      <c r="BF119" s="438"/>
      <c r="BG119" s="25" t="s">
        <v>445</v>
      </c>
      <c r="BL119" s="438" t="s">
        <v>406</v>
      </c>
      <c r="BM119" s="438"/>
      <c r="BN119" s="25" t="s">
        <v>457</v>
      </c>
    </row>
    <row r="120" spans="2:66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>
      <c r="AG121" s="203"/>
      <c r="AH121" s="203"/>
      <c r="AQ121" s="203"/>
      <c r="AR121" s="438" t="s">
        <v>444</v>
      </c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438"/>
      <c r="BD121" s="438"/>
      <c r="BE121" s="438"/>
      <c r="BF121" s="438"/>
      <c r="BG121" s="25"/>
      <c r="BL121" s="25"/>
      <c r="BM121" s="25"/>
      <c r="BN121" s="25"/>
    </row>
    <row r="122" spans="2:66" ht="13.05" customHeight="1">
      <c r="C122" s="439"/>
      <c r="D122" s="439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28">
      <c r="B123" s="236"/>
      <c r="C123" s="204" t="s">
        <v>409</v>
      </c>
      <c r="D123" s="204" t="s">
        <v>411</v>
      </c>
      <c r="E123" s="204" t="s">
        <v>412</v>
      </c>
      <c r="F123" s="204" t="s">
        <v>431</v>
      </c>
      <c r="G123" s="204" t="s">
        <v>453</v>
      </c>
      <c r="H123" s="204" t="s">
        <v>486</v>
      </c>
      <c r="I123" s="204" t="s">
        <v>545</v>
      </c>
      <c r="J123" s="204" t="s">
        <v>546</v>
      </c>
      <c r="K123" s="204" t="s">
        <v>538</v>
      </c>
      <c r="L123" s="206" t="s">
        <v>521</v>
      </c>
      <c r="M123" s="204" t="s">
        <v>488</v>
      </c>
      <c r="N123" s="206" t="s">
        <v>491</v>
      </c>
      <c r="O123" s="204" t="s">
        <v>516</v>
      </c>
      <c r="P123" s="207" t="s">
        <v>509</v>
      </c>
      <c r="Q123" s="204" t="s">
        <v>495</v>
      </c>
      <c r="R123" s="206" t="s">
        <v>520</v>
      </c>
      <c r="S123" s="206" t="s">
        <v>515</v>
      </c>
      <c r="T123" s="206" t="s">
        <v>512</v>
      </c>
      <c r="U123" s="206" t="s">
        <v>518</v>
      </c>
      <c r="V123" s="207" t="s">
        <v>517</v>
      </c>
      <c r="W123" s="207" t="s">
        <v>503</v>
      </c>
      <c r="X123" s="207" t="s">
        <v>535</v>
      </c>
      <c r="Y123" s="207" t="s">
        <v>504</v>
      </c>
      <c r="Z123" s="207" t="s">
        <v>506</v>
      </c>
      <c r="AA123" s="207" t="s">
        <v>505</v>
      </c>
      <c r="AB123" s="207" t="s">
        <v>600</v>
      </c>
      <c r="AC123" s="229" t="s">
        <v>501</v>
      </c>
      <c r="AD123" s="229" t="s">
        <v>671</v>
      </c>
      <c r="AE123" s="207" t="s">
        <v>500</v>
      </c>
      <c r="AF123" s="204" t="s">
        <v>502</v>
      </c>
      <c r="AG123" s="207" t="s">
        <v>634</v>
      </c>
      <c r="AH123" s="207" t="s">
        <v>636</v>
      </c>
      <c r="AI123" s="207" t="s">
        <v>524</v>
      </c>
      <c r="AJ123" s="207" t="s">
        <v>525</v>
      </c>
      <c r="AK123" s="207" t="s">
        <v>526</v>
      </c>
      <c r="AL123" s="207" t="s">
        <v>536</v>
      </c>
      <c r="AQ123" s="203"/>
      <c r="BL123" s="25"/>
      <c r="BM123" s="25"/>
    </row>
    <row r="124" spans="2:66">
      <c r="B124" s="201" t="s">
        <v>401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>
      <c r="B125" s="201" t="s">
        <v>402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>
      <c r="B126" s="201" t="s">
        <v>403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>
      <c r="B127" s="201" t="s">
        <v>534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>
      <c r="B129" s="201" t="s">
        <v>513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>
      <c r="B130" s="201" t="s">
        <v>427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>
      <c r="B131" s="201" t="s">
        <v>424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>
      <c r="B132" s="201" t="s">
        <v>438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>
      <c r="B133" s="201" t="s">
        <v>425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>
      <c r="B134" s="201" t="s">
        <v>420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>
      <c r="B135" s="201" t="s">
        <v>633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>
      <c r="B136" s="201" t="s">
        <v>635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>
      <c r="B138" s="201" t="s">
        <v>413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>
      <c r="B139" s="201"/>
      <c r="C139" s="438" t="s">
        <v>405</v>
      </c>
      <c r="D139" s="438"/>
      <c r="E139" s="438"/>
      <c r="F139" s="438"/>
      <c r="G139" s="438"/>
      <c r="H139" s="438"/>
      <c r="I139" s="438"/>
      <c r="J139" s="438"/>
      <c r="K139" s="438"/>
      <c r="L139" s="438"/>
      <c r="M139" s="438"/>
      <c r="N139" s="438"/>
      <c r="O139" s="438"/>
      <c r="P139" s="438"/>
      <c r="Q139" s="438"/>
      <c r="R139" s="438"/>
      <c r="S139" s="438"/>
      <c r="T139" s="438"/>
      <c r="U139" s="438"/>
      <c r="V139" s="438"/>
      <c r="W139" s="438"/>
      <c r="X139" s="438"/>
      <c r="Y139" s="438"/>
      <c r="Z139" s="438"/>
      <c r="AA139" s="438"/>
      <c r="AB139" s="438"/>
      <c r="AC139" s="438"/>
      <c r="AD139" s="438"/>
      <c r="AE139" s="438"/>
      <c r="AF139" s="438"/>
      <c r="AG139" s="438"/>
      <c r="AH139" s="438"/>
      <c r="AI139" s="438"/>
      <c r="AJ139" s="438"/>
      <c r="AK139" s="438"/>
      <c r="AL139" s="438"/>
      <c r="AM139" s="25" t="s">
        <v>441</v>
      </c>
      <c r="AN139" s="25"/>
    </row>
    <row r="140" spans="2:65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>
      <c r="B141" s="201"/>
      <c r="C141" s="438" t="s">
        <v>442</v>
      </c>
      <c r="D141" s="438"/>
      <c r="E141" s="438"/>
      <c r="F141" s="438"/>
      <c r="G141" s="438"/>
      <c r="H141" s="438"/>
      <c r="I141" s="438"/>
      <c r="J141" s="438"/>
      <c r="K141" s="438"/>
      <c r="L141" s="438"/>
      <c r="M141" s="438"/>
      <c r="N141" s="438"/>
      <c r="O141" s="438"/>
      <c r="P141" s="438"/>
      <c r="Q141" s="438"/>
      <c r="R141" s="438"/>
      <c r="S141" s="438"/>
      <c r="T141" s="438"/>
      <c r="U141" s="438"/>
      <c r="V141" s="438"/>
      <c r="W141" s="438"/>
      <c r="X141" s="438"/>
      <c r="Y141" s="438"/>
      <c r="Z141" s="438"/>
      <c r="AA141" s="438"/>
      <c r="AB141" s="438"/>
      <c r="AC141" s="438"/>
      <c r="AD141" s="438"/>
      <c r="AE141" s="438"/>
      <c r="AF141" s="438"/>
      <c r="AG141" s="438"/>
      <c r="AH141" s="438"/>
      <c r="AI141" s="438"/>
      <c r="AJ141" s="438"/>
      <c r="AK141" s="438"/>
      <c r="AL141" s="438"/>
    </row>
    <row r="142" spans="2:65">
      <c r="B142" s="201"/>
    </row>
    <row r="143" spans="2:65">
      <c r="B143" s="201"/>
    </row>
    <row r="144" spans="2:65">
      <c r="B144" s="201"/>
    </row>
    <row r="145" spans="2:44">
      <c r="B145" s="201"/>
    </row>
    <row r="146" spans="2:44">
      <c r="B146" s="201"/>
    </row>
    <row r="147" spans="2:44">
      <c r="B147" s="201"/>
    </row>
    <row r="148" spans="2:44">
      <c r="B148" s="201"/>
    </row>
    <row r="149" spans="2:44">
      <c r="B149" s="201"/>
    </row>
    <row r="150" spans="2:44">
      <c r="B150" s="201"/>
    </row>
    <row r="151" spans="2:44">
      <c r="B151" s="201"/>
    </row>
    <row r="152" spans="2:44" ht="228">
      <c r="B152" s="201"/>
      <c r="C152" s="204" t="s">
        <v>409</v>
      </c>
      <c r="D152" s="204" t="s">
        <v>411</v>
      </c>
      <c r="E152" s="204" t="s">
        <v>412</v>
      </c>
      <c r="F152" s="204" t="s">
        <v>431</v>
      </c>
      <c r="G152" s="204" t="s">
        <v>453</v>
      </c>
      <c r="H152" s="204" t="s">
        <v>486</v>
      </c>
      <c r="I152" s="204" t="s">
        <v>545</v>
      </c>
      <c r="J152" s="204" t="s">
        <v>546</v>
      </c>
      <c r="K152" s="204" t="s">
        <v>538</v>
      </c>
      <c r="L152" s="206" t="s">
        <v>521</v>
      </c>
      <c r="M152" s="204" t="s">
        <v>488</v>
      </c>
      <c r="N152" s="206" t="s">
        <v>491</v>
      </c>
      <c r="O152" s="204" t="s">
        <v>516</v>
      </c>
      <c r="P152" s="207" t="s">
        <v>509</v>
      </c>
      <c r="Q152" s="204" t="s">
        <v>495</v>
      </c>
      <c r="R152" s="206" t="s">
        <v>520</v>
      </c>
      <c r="S152" s="206" t="s">
        <v>515</v>
      </c>
      <c r="T152" s="206" t="s">
        <v>512</v>
      </c>
      <c r="U152" s="206" t="s">
        <v>518</v>
      </c>
      <c r="V152" s="207" t="s">
        <v>517</v>
      </c>
      <c r="W152" s="207" t="s">
        <v>503</v>
      </c>
      <c r="X152" s="207" t="s">
        <v>535</v>
      </c>
      <c r="Y152" s="207" t="s">
        <v>504</v>
      </c>
      <c r="Z152" s="207" t="s">
        <v>506</v>
      </c>
      <c r="AA152" s="207" t="s">
        <v>505</v>
      </c>
      <c r="AB152" s="207" t="s">
        <v>600</v>
      </c>
      <c r="AC152" s="229" t="s">
        <v>501</v>
      </c>
      <c r="AD152" s="229" t="s">
        <v>671</v>
      </c>
      <c r="AE152" s="207" t="s">
        <v>500</v>
      </c>
      <c r="AF152" s="204" t="s">
        <v>502</v>
      </c>
      <c r="AG152" s="207" t="s">
        <v>634</v>
      </c>
      <c r="AH152" s="207" t="s">
        <v>636</v>
      </c>
      <c r="AI152" s="207" t="s">
        <v>524</v>
      </c>
      <c r="AJ152" s="207" t="s">
        <v>525</v>
      </c>
      <c r="AK152" s="207" t="s">
        <v>526</v>
      </c>
      <c r="AL152" s="207" t="s">
        <v>536</v>
      </c>
      <c r="AM152" s="207"/>
      <c r="AN152" s="207"/>
    </row>
    <row r="153" spans="2:44">
      <c r="B153" s="201" t="s">
        <v>408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5.6">
      <c r="B154" s="202" t="s">
        <v>410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03" t="s">
        <v>432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201" t="s">
        <v>456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201" t="s">
        <v>452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201" t="s">
        <v>548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201" t="s">
        <v>547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201" t="s">
        <v>489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>
      <c r="B161" s="201" t="s">
        <v>537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438" t="s">
        <v>57</v>
      </c>
      <c r="D162" s="438"/>
      <c r="E162" s="438"/>
      <c r="F162" s="438"/>
      <c r="G162" s="438"/>
      <c r="H162" s="438"/>
      <c r="I162" s="438"/>
      <c r="J162" s="438"/>
      <c r="K162" s="438"/>
      <c r="L162" s="438"/>
      <c r="M162" s="438"/>
      <c r="N162" s="438"/>
      <c r="O162" s="438"/>
      <c r="P162" s="438"/>
      <c r="Q162" s="438"/>
      <c r="R162" s="438"/>
      <c r="S162" s="438"/>
      <c r="T162" s="438"/>
      <c r="U162" s="438"/>
      <c r="V162" s="438"/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438"/>
      <c r="AL162" s="438"/>
      <c r="AM162" s="25"/>
      <c r="AN162" s="25"/>
    </row>
    <row r="163" spans="2:40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>
      <c r="C164" s="438" t="s">
        <v>443</v>
      </c>
      <c r="D164" s="438"/>
      <c r="E164" s="438"/>
      <c r="F164" s="438"/>
      <c r="G164" s="438"/>
      <c r="H164" s="438"/>
      <c r="I164" s="438"/>
      <c r="J164" s="438"/>
      <c r="K164" s="438"/>
      <c r="L164" s="438"/>
      <c r="M164" s="438"/>
      <c r="N164" s="438"/>
      <c r="O164" s="438"/>
      <c r="P164" s="438"/>
      <c r="Q164" s="438"/>
      <c r="R164" s="438"/>
      <c r="S164" s="438"/>
      <c r="T164" s="438"/>
      <c r="U164" s="438"/>
      <c r="V164" s="438"/>
      <c r="W164" s="438"/>
      <c r="X164" s="438"/>
      <c r="Y164" s="438"/>
      <c r="Z164" s="438"/>
      <c r="AA164" s="438"/>
      <c r="AB164" s="438"/>
      <c r="AC164" s="438"/>
      <c r="AD164" s="438"/>
      <c r="AE164" s="438"/>
      <c r="AF164" s="438"/>
      <c r="AG164" s="438"/>
      <c r="AH164" s="438"/>
      <c r="AI164" s="438"/>
      <c r="AJ164" s="438"/>
      <c r="AK164" s="438"/>
      <c r="AL164" s="438"/>
      <c r="AM164" s="25"/>
      <c r="AN164" s="25"/>
    </row>
    <row r="168" spans="2:40">
      <c r="C168" s="438" t="s">
        <v>440</v>
      </c>
      <c r="D168" s="438"/>
      <c r="E168" s="438"/>
      <c r="F168" s="438"/>
      <c r="G168" s="438"/>
      <c r="H168" s="438"/>
      <c r="I168" s="438"/>
      <c r="J168" s="438"/>
      <c r="K168" s="438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>
      <c r="B171" s="201" t="s">
        <v>409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>
      <c r="B172" s="201" t="s">
        <v>411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>
      <c r="B173" s="201" t="s">
        <v>412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>
      <c r="B174" s="201" t="s">
        <v>431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>
      <c r="B175" s="201" t="s">
        <v>453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>
      <c r="B176" s="201" t="s">
        <v>486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>
      <c r="B177" s="201" t="s">
        <v>487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>
      <c r="B178" s="201" t="s">
        <v>490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>
      <c r="B179" s="201" t="s">
        <v>538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5.6">
      <c r="B180" s="202" t="s">
        <v>521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>
      <c r="B181" s="201" t="s">
        <v>488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5.6">
      <c r="B182" s="202" t="s">
        <v>491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>
      <c r="B183" s="201" t="s">
        <v>516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>
      <c r="B184" s="203" t="s">
        <v>509</v>
      </c>
      <c r="C184" s="248">
        <v>0</v>
      </c>
      <c r="D184" s="255" t="s">
        <v>447</v>
      </c>
      <c r="E184" s="248">
        <v>298.6148747230165</v>
      </c>
      <c r="F184" s="169" t="s">
        <v>449</v>
      </c>
      <c r="G184" s="248">
        <f t="shared" si="87"/>
        <v>298.6148747230165</v>
      </c>
      <c r="H184" s="169" t="s">
        <v>449</v>
      </c>
      <c r="I184" s="248">
        <v>0</v>
      </c>
      <c r="J184" s="255" t="s">
        <v>450</v>
      </c>
      <c r="K184" s="295">
        <f t="shared" si="88"/>
        <v>0</v>
      </c>
    </row>
    <row r="185" spans="2:18">
      <c r="B185" s="201" t="s">
        <v>495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5.6">
      <c r="B186" s="202" t="s">
        <v>520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5.6">
      <c r="B187" s="202" t="s">
        <v>515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5.6">
      <c r="B188" s="202" t="s">
        <v>512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5.6">
      <c r="B189" s="202" t="s">
        <v>518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>
      <c r="B190" s="203" t="s">
        <v>517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>
      <c r="B191" s="203" t="s">
        <v>503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>
      <c r="B192" s="203" t="s">
        <v>535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>
      <c r="B193" s="203" t="s">
        <v>504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>
      <c r="B194" s="203" t="s">
        <v>506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>
      <c r="B195" s="203" t="s">
        <v>505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>
      <c r="B196" s="203" t="s">
        <v>600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5.6">
      <c r="B197" s="249" t="s">
        <v>501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5.6">
      <c r="B198" s="249" t="s">
        <v>671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>
      <c r="B199" s="203" t="s">
        <v>500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>
      <c r="B200" s="201" t="s">
        <v>502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>
      <c r="B201" s="203" t="s">
        <v>634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>
      <c r="B202" s="203" t="s">
        <v>636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>
      <c r="B203" s="203" t="s">
        <v>524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>
      <c r="B204" s="203" t="s">
        <v>525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>
      <c r="B205" s="203" t="s">
        <v>526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>
      <c r="B206" s="203" t="s">
        <v>536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6.8">
      <c r="B207" s="203"/>
      <c r="C207" s="3" t="s">
        <v>446</v>
      </c>
      <c r="E207" s="3" t="s">
        <v>448</v>
      </c>
      <c r="G207" s="25" t="s">
        <v>445</v>
      </c>
      <c r="I207" s="25" t="s">
        <v>39</v>
      </c>
      <c r="K207" s="25">
        <f>SUM(K171:K206)</f>
        <v>0</v>
      </c>
    </row>
    <row r="208" spans="2:19">
      <c r="B208" s="203"/>
      <c r="G208" s="25"/>
      <c r="I208" s="25"/>
    </row>
    <row r="209" spans="2:15">
      <c r="B209" s="203"/>
    </row>
    <row r="210" spans="2:15">
      <c r="C210" s="438" t="s">
        <v>451</v>
      </c>
      <c r="D210" s="438"/>
      <c r="E210" s="438"/>
      <c r="F210" s="438"/>
      <c r="G210" s="438"/>
      <c r="L210" s="241"/>
      <c r="M210" s="241"/>
    </row>
    <row r="213" spans="2:15">
      <c r="B213" s="201" t="s">
        <v>401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>
      <c r="B214" s="201" t="s">
        <v>402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>
      <c r="B215" s="201" t="s">
        <v>403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>
      <c r="B216" s="201" t="s">
        <v>534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>
      <c r="B217" s="201" t="s">
        <v>514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>
      <c r="B218" s="201" t="s">
        <v>513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>
      <c r="B219" s="201" t="s">
        <v>427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>
      <c r="B220" s="201" t="s">
        <v>424</v>
      </c>
      <c r="C220" s="248">
        <v>208.55560337725498</v>
      </c>
      <c r="D220" s="169" t="s">
        <v>454</v>
      </c>
      <c r="E220" s="248">
        <f t="shared" si="92"/>
        <v>208.55560337725498</v>
      </c>
      <c r="F220" s="169" t="s">
        <v>450</v>
      </c>
      <c r="G220" s="295">
        <f t="shared" si="93"/>
        <v>0</v>
      </c>
    </row>
    <row r="221" spans="2:15">
      <c r="B221" s="201" t="s">
        <v>438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>
      <c r="B222" s="201" t="s">
        <v>425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>
      <c r="B223" s="201" t="s">
        <v>420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>
      <c r="B224" s="201" t="s">
        <v>633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>
      <c r="B225" s="201" t="s">
        <v>635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>
      <c r="B227" s="201" t="s">
        <v>413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>
      <c r="B228" s="203"/>
      <c r="C228" s="169" t="s">
        <v>444</v>
      </c>
      <c r="D228" s="169"/>
      <c r="E228" s="169" t="s">
        <v>441</v>
      </c>
      <c r="F228" s="169"/>
      <c r="G228" s="169">
        <v>0</v>
      </c>
    </row>
    <row r="229" spans="2:11">
      <c r="B229" s="203"/>
    </row>
    <row r="230" spans="2:11">
      <c r="B230" s="203"/>
    </row>
    <row r="235" spans="2:11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defaultColWidth="10.77734375" defaultRowHeight="14.4"/>
  <cols>
    <col min="1" max="1" width="10.77734375" style="3"/>
    <col min="2" max="2" width="17" style="3" bestFit="1" customWidth="1"/>
    <col min="3" max="10" width="10.77734375" style="3"/>
    <col min="11" max="11" width="12.6640625" style="3" bestFit="1" customWidth="1"/>
    <col min="12" max="44" width="10.77734375" style="3"/>
    <col min="45" max="45" width="16" style="3" customWidth="1"/>
    <col min="46" max="16384" width="10.77734375" style="3"/>
  </cols>
  <sheetData>
    <row r="1" spans="2:78" ht="109.8">
      <c r="C1" s="204" t="s">
        <v>686</v>
      </c>
      <c r="AQ1" s="256"/>
      <c r="AR1" s="204" t="s">
        <v>401</v>
      </c>
      <c r="AS1" s="204" t="s">
        <v>402</v>
      </c>
      <c r="AT1" s="204" t="s">
        <v>403</v>
      </c>
      <c r="AU1" s="204" t="s">
        <v>534</v>
      </c>
      <c r="AV1" s="204" t="s">
        <v>514</v>
      </c>
      <c r="AW1" s="204" t="s">
        <v>513</v>
      </c>
      <c r="AX1" s="204" t="s">
        <v>427</v>
      </c>
      <c r="AY1" s="204" t="s">
        <v>424</v>
      </c>
      <c r="AZ1" s="204" t="s">
        <v>438</v>
      </c>
      <c r="BA1" s="204" t="s">
        <v>425</v>
      </c>
      <c r="BB1" s="204" t="s">
        <v>420</v>
      </c>
      <c r="BC1" s="204" t="s">
        <v>633</v>
      </c>
      <c r="BD1" s="204" t="s">
        <v>635</v>
      </c>
      <c r="BE1" s="204" t="s">
        <v>81</v>
      </c>
      <c r="BF1" s="204" t="s">
        <v>413</v>
      </c>
      <c r="BK1" s="256"/>
      <c r="BL1" s="204" t="s">
        <v>401</v>
      </c>
      <c r="BM1" s="204" t="s">
        <v>402</v>
      </c>
      <c r="BN1" s="204" t="s">
        <v>403</v>
      </c>
      <c r="BO1" s="204" t="s">
        <v>534</v>
      </c>
      <c r="BP1" s="204" t="s">
        <v>514</v>
      </c>
      <c r="BQ1" s="204" t="s">
        <v>513</v>
      </c>
      <c r="BR1" s="204" t="s">
        <v>427</v>
      </c>
      <c r="BS1" s="204" t="s">
        <v>424</v>
      </c>
      <c r="BT1" s="204" t="s">
        <v>438</v>
      </c>
      <c r="BU1" s="204" t="s">
        <v>425</v>
      </c>
      <c r="BV1" s="204" t="s">
        <v>420</v>
      </c>
      <c r="BW1" s="204" t="s">
        <v>633</v>
      </c>
      <c r="BX1" s="204" t="s">
        <v>635</v>
      </c>
      <c r="BY1" s="204" t="s">
        <v>81</v>
      </c>
      <c r="BZ1" s="204" t="s">
        <v>413</v>
      </c>
    </row>
    <row r="2" spans="2:78">
      <c r="B2" s="201" t="s">
        <v>409</v>
      </c>
      <c r="C2" s="280">
        <v>1</v>
      </c>
      <c r="AQ2" s="201" t="s">
        <v>409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409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>
      <c r="B3" s="201" t="s">
        <v>411</v>
      </c>
      <c r="C3" s="280">
        <v>1</v>
      </c>
      <c r="AQ3" s="201" t="s">
        <v>411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411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>
      <c r="B4" s="201" t="s">
        <v>412</v>
      </c>
      <c r="C4" s="280">
        <v>1</v>
      </c>
      <c r="AQ4" s="201" t="s">
        <v>412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412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>
      <c r="B5" s="201" t="s">
        <v>431</v>
      </c>
      <c r="C5" s="280">
        <v>1</v>
      </c>
      <c r="AQ5" s="201" t="s">
        <v>431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431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>
      <c r="B6" s="201" t="s">
        <v>453</v>
      </c>
      <c r="C6" s="280">
        <v>1</v>
      </c>
      <c r="AQ6" s="201" t="s">
        <v>453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453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>
      <c r="B7" s="201" t="s">
        <v>545</v>
      </c>
      <c r="C7" s="280">
        <v>1</v>
      </c>
      <c r="AQ7" s="201" t="s">
        <v>545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545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>
      <c r="B8" s="201" t="s">
        <v>546</v>
      </c>
      <c r="C8" s="280">
        <v>1</v>
      </c>
      <c r="AQ8" s="201" t="s">
        <v>546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546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>
      <c r="B9" s="201" t="s">
        <v>490</v>
      </c>
      <c r="C9" s="280">
        <v>1</v>
      </c>
      <c r="AQ9" s="201" t="s">
        <v>490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>
      <c r="B10" s="201" t="s">
        <v>538</v>
      </c>
      <c r="C10" s="280">
        <v>1</v>
      </c>
      <c r="AQ10" s="201" t="s">
        <v>538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538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5.6">
      <c r="B11" s="202" t="s">
        <v>521</v>
      </c>
      <c r="C11" s="280">
        <v>1</v>
      </c>
      <c r="AQ11" s="202" t="s">
        <v>521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521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>
      <c r="B12" s="201" t="s">
        <v>488</v>
      </c>
      <c r="C12" s="280">
        <v>1</v>
      </c>
      <c r="AQ12" s="201" t="s">
        <v>488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488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5.6">
      <c r="B13" s="202" t="s">
        <v>491</v>
      </c>
      <c r="C13" s="280">
        <v>1</v>
      </c>
      <c r="AQ13" s="202" t="s">
        <v>491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491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>
      <c r="B14" s="201" t="s">
        <v>516</v>
      </c>
      <c r="C14" s="280">
        <v>1</v>
      </c>
      <c r="AQ14" s="201" t="s">
        <v>516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516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>
      <c r="B15" s="203" t="s">
        <v>509</v>
      </c>
      <c r="C15" s="280">
        <v>1</v>
      </c>
      <c r="AQ15" s="203" t="s">
        <v>509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509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>
      <c r="B16" s="201" t="s">
        <v>495</v>
      </c>
      <c r="C16" s="280">
        <v>1</v>
      </c>
      <c r="AQ16" s="201" t="s">
        <v>495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495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5.6">
      <c r="B17" s="202" t="s">
        <v>520</v>
      </c>
      <c r="C17" s="280">
        <v>1</v>
      </c>
      <c r="AQ17" s="202" t="s">
        <v>520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5.6">
      <c r="B18" s="202" t="s">
        <v>515</v>
      </c>
      <c r="C18" s="280">
        <v>1</v>
      </c>
      <c r="AQ18" s="202" t="s">
        <v>515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515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5.6">
      <c r="B19" s="202" t="s">
        <v>512</v>
      </c>
      <c r="C19" s="280">
        <v>1</v>
      </c>
      <c r="AQ19" s="202" t="s">
        <v>512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512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5.6">
      <c r="B20" s="202" t="s">
        <v>518</v>
      </c>
      <c r="C20" s="280">
        <v>1</v>
      </c>
      <c r="AQ20" s="202" t="s">
        <v>518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518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>
      <c r="B21" s="203" t="s">
        <v>517</v>
      </c>
      <c r="C21" s="280">
        <v>1</v>
      </c>
      <c r="AQ21" s="203" t="s">
        <v>517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517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>
      <c r="B22" s="203" t="s">
        <v>503</v>
      </c>
      <c r="C22" s="280">
        <v>1</v>
      </c>
      <c r="AQ22" s="203" t="s">
        <v>503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503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>
      <c r="B23" s="203" t="s">
        <v>535</v>
      </c>
      <c r="C23" s="280">
        <v>1</v>
      </c>
      <c r="AQ23" s="203" t="s">
        <v>535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535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>
      <c r="B24" s="203" t="s">
        <v>504</v>
      </c>
      <c r="C24" s="280">
        <v>1</v>
      </c>
      <c r="AQ24" s="203" t="s">
        <v>504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504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>
      <c r="B25" s="203" t="s">
        <v>506</v>
      </c>
      <c r="C25" s="280">
        <v>1</v>
      </c>
      <c r="AQ25" s="203" t="s">
        <v>506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506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>
      <c r="B26" s="203" t="s">
        <v>505</v>
      </c>
      <c r="C26" s="280">
        <v>1</v>
      </c>
      <c r="AQ26" s="203" t="s">
        <v>505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505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>
      <c r="B27" s="203" t="s">
        <v>600</v>
      </c>
      <c r="C27" s="280">
        <v>1</v>
      </c>
      <c r="AQ27" s="203" t="s">
        <v>600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5.6">
      <c r="B28" s="249" t="s">
        <v>501</v>
      </c>
      <c r="C28" s="280">
        <v>1</v>
      </c>
      <c r="AQ28" s="249" t="s">
        <v>501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501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5.6">
      <c r="B29" s="249" t="s">
        <v>671</v>
      </c>
      <c r="C29" s="280">
        <v>1</v>
      </c>
      <c r="AQ29" s="249" t="s">
        <v>671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671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>
      <c r="B30" s="203" t="s">
        <v>500</v>
      </c>
      <c r="C30" s="280">
        <v>1</v>
      </c>
      <c r="AQ30" s="203" t="s">
        <v>500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>
      <c r="B31" s="201" t="s">
        <v>502</v>
      </c>
      <c r="C31" s="280">
        <v>1</v>
      </c>
      <c r="AQ31" s="201" t="s">
        <v>502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502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>
      <c r="B32" s="203" t="s">
        <v>634</v>
      </c>
      <c r="C32" s="280">
        <v>1</v>
      </c>
      <c r="AQ32" s="203" t="s">
        <v>634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634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>
      <c r="B33" s="203" t="s">
        <v>636</v>
      </c>
      <c r="C33" s="280">
        <v>1</v>
      </c>
      <c r="AQ33" s="203" t="s">
        <v>636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>
      <c r="B34" s="203" t="s">
        <v>524</v>
      </c>
      <c r="C34" s="280">
        <v>1</v>
      </c>
      <c r="AQ34" s="203" t="s">
        <v>524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524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>
      <c r="B35" s="203" t="s">
        <v>525</v>
      </c>
      <c r="C35" s="280">
        <v>1</v>
      </c>
      <c r="AQ35" s="203" t="s">
        <v>525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525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>
      <c r="B36" s="203" t="s">
        <v>526</v>
      </c>
      <c r="C36" s="280">
        <v>1</v>
      </c>
      <c r="AQ36" s="203" t="s">
        <v>526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526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>
      <c r="B37" s="203" t="s">
        <v>536</v>
      </c>
      <c r="C37" s="280">
        <v>1</v>
      </c>
      <c r="AQ37" s="203" t="s">
        <v>536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536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>
      <c r="C38" s="169" t="s">
        <v>552</v>
      </c>
      <c r="AQ38" s="203"/>
      <c r="AR38" s="438" t="s">
        <v>549</v>
      </c>
      <c r="AS38" s="438"/>
      <c r="AT38" s="438"/>
      <c r="AU38" s="438"/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K38" s="203"/>
      <c r="BL38" s="438" t="s">
        <v>550</v>
      </c>
      <c r="BM38" s="438"/>
      <c r="BN38" s="438"/>
      <c r="BO38" s="438"/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  <c r="BZ38" s="438"/>
    </row>
    <row r="39" spans="2:78">
      <c r="AQ39" s="203"/>
      <c r="BK39" s="203"/>
    </row>
    <row r="40" spans="2:78">
      <c r="AQ40" s="203"/>
    </row>
    <row r="41" spans="2:78" ht="109.8">
      <c r="AQ41" s="256"/>
      <c r="AR41" s="204" t="s">
        <v>401</v>
      </c>
      <c r="AS41" s="204" t="s">
        <v>402</v>
      </c>
      <c r="AT41" s="204" t="s">
        <v>403</v>
      </c>
      <c r="AU41" s="204" t="s">
        <v>534</v>
      </c>
      <c r="AV41" s="204" t="s">
        <v>514</v>
      </c>
      <c r="AW41" s="204" t="s">
        <v>513</v>
      </c>
      <c r="AX41" s="204" t="s">
        <v>427</v>
      </c>
      <c r="AY41" s="204" t="s">
        <v>424</v>
      </c>
      <c r="AZ41" s="204" t="s">
        <v>438</v>
      </c>
      <c r="BA41" s="204" t="s">
        <v>425</v>
      </c>
      <c r="BB41" s="204" t="s">
        <v>420</v>
      </c>
      <c r="BC41" s="204" t="s">
        <v>633</v>
      </c>
      <c r="BD41" s="204" t="s">
        <v>635</v>
      </c>
      <c r="BE41" s="204" t="s">
        <v>81</v>
      </c>
      <c r="BF41" s="204" t="s">
        <v>413</v>
      </c>
    </row>
    <row r="42" spans="2:78">
      <c r="AQ42" s="201" t="s">
        <v>409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>
      <c r="AQ43" s="201" t="s">
        <v>411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>
      <c r="AQ44" s="201" t="s">
        <v>412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>
      <c r="AQ45" s="201" t="s">
        <v>431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>
      <c r="AQ46" s="201" t="s">
        <v>453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>
      <c r="AQ47" s="201" t="s">
        <v>545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>
      <c r="AQ48" s="201" t="s">
        <v>546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>
      <c r="AQ49" s="201" t="s">
        <v>490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>
      <c r="AQ50" s="201" t="s">
        <v>538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5.6">
      <c r="AQ51" s="202" t="s">
        <v>521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>
      <c r="AQ52" s="201" t="s">
        <v>488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5.6">
      <c r="AQ53" s="202" t="s">
        <v>491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>
      <c r="AQ54" s="201" t="s">
        <v>516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>
      <c r="AQ55" s="203" t="s">
        <v>509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>
      <c r="AQ56" s="201" t="s">
        <v>495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5.6">
      <c r="AQ57" s="202" t="s">
        <v>520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5.6">
      <c r="AQ58" s="202" t="s">
        <v>515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5.6">
      <c r="AQ59" s="202" t="s">
        <v>512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5.6">
      <c r="AQ60" s="202" t="s">
        <v>518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>
      <c r="AQ61" s="203" t="s">
        <v>517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>
      <c r="AQ62" s="203" t="s">
        <v>503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>
      <c r="AQ63" s="203" t="s">
        <v>535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>
      <c r="AQ64" s="203" t="s">
        <v>504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>
      <c r="AQ65" s="203" t="s">
        <v>506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>
      <c r="AQ66" s="203" t="s">
        <v>505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>
      <c r="AQ67" s="203" t="s">
        <v>600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5.6">
      <c r="AQ68" s="249" t="s">
        <v>501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5.6">
      <c r="AQ69" s="249" t="s">
        <v>671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>
      <c r="AQ70" s="203" t="s">
        <v>500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>
      <c r="AQ71" s="201" t="s">
        <v>502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>
      <c r="AQ72" s="203" t="s">
        <v>634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>
      <c r="AQ73" s="203" t="s">
        <v>636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>
      <c r="AQ74" s="203" t="s">
        <v>524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>
      <c r="AQ75" s="203" t="s">
        <v>525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>
      <c r="AQ76" s="203" t="s">
        <v>526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>
      <c r="AQ77" s="203" t="s">
        <v>536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>
      <c r="AQ78" s="203"/>
      <c r="AR78" s="438" t="s">
        <v>551</v>
      </c>
      <c r="AS78" s="438"/>
      <c r="AT78" s="438"/>
      <c r="AU78" s="438"/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</row>
    <row r="82" spans="33:66" ht="109.8">
      <c r="AQ82" s="256"/>
      <c r="AR82" s="204" t="s">
        <v>401</v>
      </c>
      <c r="AS82" s="204" t="s">
        <v>402</v>
      </c>
      <c r="AT82" s="204" t="s">
        <v>403</v>
      </c>
      <c r="AU82" s="204" t="s">
        <v>534</v>
      </c>
      <c r="AV82" s="204" t="s">
        <v>514</v>
      </c>
      <c r="AW82" s="204" t="s">
        <v>513</v>
      </c>
      <c r="AX82" s="204" t="s">
        <v>427</v>
      </c>
      <c r="AY82" s="204" t="s">
        <v>424</v>
      </c>
      <c r="AZ82" s="204" t="s">
        <v>438</v>
      </c>
      <c r="BA82" s="204" t="s">
        <v>425</v>
      </c>
      <c r="BB82" s="204" t="s">
        <v>420</v>
      </c>
      <c r="BC82" s="204" t="s">
        <v>633</v>
      </c>
      <c r="BD82" s="204" t="s">
        <v>635</v>
      </c>
      <c r="BE82" s="204" t="s">
        <v>81</v>
      </c>
      <c r="BF82" s="204" t="s">
        <v>413</v>
      </c>
      <c r="BK82" s="204"/>
      <c r="BL82" s="204" t="s">
        <v>407</v>
      </c>
      <c r="BM82" s="204" t="s">
        <v>352</v>
      </c>
    </row>
    <row r="83" spans="33:66">
      <c r="AG83" s="201"/>
      <c r="AH83" s="201"/>
      <c r="AQ83" s="201" t="s">
        <v>409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409</v>
      </c>
      <c r="BL83" s="240"/>
      <c r="BM83" s="240"/>
      <c r="BN83" s="248">
        <f>SUM(BL83:BM83)</f>
        <v>0</v>
      </c>
    </row>
    <row r="84" spans="33:66">
      <c r="AG84" s="201"/>
      <c r="AH84" s="201"/>
      <c r="AQ84" s="201" t="s">
        <v>411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411</v>
      </c>
      <c r="BL84" s="240"/>
      <c r="BM84" s="240"/>
      <c r="BN84" s="248">
        <f>SUM(BL84:BM84)</f>
        <v>0</v>
      </c>
    </row>
    <row r="85" spans="33:66">
      <c r="AG85" s="201"/>
      <c r="AH85" s="201"/>
      <c r="AQ85" s="201" t="s">
        <v>412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412</v>
      </c>
      <c r="BL85" s="240"/>
      <c r="BM85" s="240"/>
      <c r="BN85" s="248">
        <f>SUM(BL85:BM85)</f>
        <v>0</v>
      </c>
    </row>
    <row r="86" spans="33:66">
      <c r="AG86" s="201"/>
      <c r="AH86" s="201"/>
      <c r="AQ86" s="201" t="s">
        <v>431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431</v>
      </c>
      <c r="BL86" s="240"/>
      <c r="BM86" s="240"/>
      <c r="BN86" s="248">
        <f t="shared" ref="BN86:BN118" si="12">SUM(BL86:BM86)</f>
        <v>0</v>
      </c>
    </row>
    <row r="87" spans="33:66">
      <c r="AG87" s="201"/>
      <c r="AH87" s="201"/>
      <c r="AQ87" s="201" t="s">
        <v>453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453</v>
      </c>
      <c r="BL87" s="240"/>
      <c r="BM87" s="240"/>
      <c r="BN87" s="248">
        <f t="shared" si="12"/>
        <v>0</v>
      </c>
    </row>
    <row r="88" spans="33:66">
      <c r="AG88" s="201"/>
      <c r="AH88" s="201"/>
      <c r="AQ88" s="201" t="s">
        <v>545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545</v>
      </c>
      <c r="BL88" s="240"/>
      <c r="BM88" s="240"/>
      <c r="BN88" s="248">
        <f t="shared" si="12"/>
        <v>0</v>
      </c>
    </row>
    <row r="89" spans="33:66">
      <c r="AG89" s="201"/>
      <c r="AH89" s="201"/>
      <c r="AQ89" s="201" t="s">
        <v>546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546</v>
      </c>
      <c r="BL89" s="240"/>
      <c r="BM89" s="240"/>
      <c r="BN89" s="248">
        <f t="shared" si="12"/>
        <v>0</v>
      </c>
    </row>
    <row r="90" spans="33:66">
      <c r="AG90" s="201"/>
      <c r="AH90" s="201"/>
      <c r="AQ90" s="201" t="s">
        <v>490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490</v>
      </c>
      <c r="BL90" s="240"/>
      <c r="BM90" s="240"/>
      <c r="BN90" s="248">
        <f t="shared" si="12"/>
        <v>0</v>
      </c>
    </row>
    <row r="91" spans="33:66">
      <c r="AG91" s="201"/>
      <c r="AH91" s="201"/>
      <c r="AQ91" s="201" t="s">
        <v>538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538</v>
      </c>
      <c r="BL91" s="240"/>
      <c r="BM91" s="240"/>
      <c r="BN91" s="248">
        <f t="shared" si="12"/>
        <v>0</v>
      </c>
    </row>
    <row r="92" spans="33:66" ht="15.6">
      <c r="AG92" s="242"/>
      <c r="AH92" s="242"/>
      <c r="AQ92" s="202" t="s">
        <v>521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521</v>
      </c>
      <c r="BL92" s="240"/>
      <c r="BM92" s="240"/>
      <c r="BN92" s="248">
        <f t="shared" si="12"/>
        <v>0</v>
      </c>
    </row>
    <row r="93" spans="33:66" ht="15.6">
      <c r="AG93" s="202"/>
      <c r="AH93" s="202"/>
      <c r="AQ93" s="201" t="s">
        <v>488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488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5.6">
      <c r="AG94" s="203"/>
      <c r="AH94" s="203"/>
      <c r="AQ94" s="202" t="s">
        <v>491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491</v>
      </c>
      <c r="BL94" s="240"/>
      <c r="BM94" s="244"/>
      <c r="BN94" s="248">
        <f t="shared" si="12"/>
        <v>0</v>
      </c>
    </row>
    <row r="95" spans="33:66">
      <c r="AG95" s="203"/>
      <c r="AH95" s="203"/>
      <c r="AQ95" s="201" t="s">
        <v>516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516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>
      <c r="AG96" s="203"/>
      <c r="AH96" s="203"/>
      <c r="AQ96" s="203" t="s">
        <v>509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509</v>
      </c>
      <c r="BL96" s="240"/>
      <c r="BM96" s="240"/>
      <c r="BN96" s="248">
        <f t="shared" si="12"/>
        <v>0</v>
      </c>
    </row>
    <row r="97" spans="33:71">
      <c r="AG97" s="203"/>
      <c r="AH97" s="203"/>
      <c r="AQ97" s="201" t="s">
        <v>495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495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5.6">
      <c r="AG98" s="203"/>
      <c r="AH98" s="203"/>
      <c r="AQ98" s="202" t="s">
        <v>520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520</v>
      </c>
      <c r="BL98" s="240"/>
      <c r="BM98" s="240"/>
      <c r="BN98" s="248">
        <f t="shared" si="12"/>
        <v>0</v>
      </c>
    </row>
    <row r="99" spans="33:71" ht="15.6">
      <c r="AG99" s="203"/>
      <c r="AH99" s="203"/>
      <c r="AQ99" s="202" t="s">
        <v>515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515</v>
      </c>
      <c r="BL99" s="240"/>
      <c r="BM99" s="240"/>
      <c r="BN99" s="248">
        <f t="shared" si="12"/>
        <v>0</v>
      </c>
    </row>
    <row r="100" spans="33:71" ht="15.6">
      <c r="AG100" s="203"/>
      <c r="AH100" s="203"/>
      <c r="AQ100" s="202" t="s">
        <v>512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512</v>
      </c>
      <c r="BL100" s="240"/>
      <c r="BM100" s="240"/>
      <c r="BN100" s="248">
        <f t="shared" si="12"/>
        <v>0</v>
      </c>
    </row>
    <row r="101" spans="33:71" ht="15.6">
      <c r="AG101" s="249"/>
      <c r="AH101" s="249"/>
      <c r="AQ101" s="202" t="s">
        <v>518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518</v>
      </c>
      <c r="BL101" s="240"/>
      <c r="BM101" s="240"/>
      <c r="BN101" s="248">
        <f t="shared" si="12"/>
        <v>0</v>
      </c>
    </row>
    <row r="102" spans="33:71">
      <c r="AG102" s="203"/>
      <c r="AH102" s="203"/>
      <c r="AQ102" s="203" t="s">
        <v>517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517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>
      <c r="AG103" s="203"/>
      <c r="AH103" s="203"/>
      <c r="AQ103" s="203" t="s">
        <v>503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503</v>
      </c>
      <c r="BL103" s="240"/>
      <c r="BM103" s="240"/>
      <c r="BN103" s="248">
        <f t="shared" si="12"/>
        <v>0</v>
      </c>
    </row>
    <row r="104" spans="33:71">
      <c r="AG104" s="203"/>
      <c r="AH104" s="203"/>
      <c r="AQ104" s="203" t="s">
        <v>535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535</v>
      </c>
      <c r="BL104" s="240"/>
      <c r="BM104" s="240"/>
      <c r="BN104" s="248">
        <f t="shared" si="12"/>
        <v>0</v>
      </c>
    </row>
    <row r="105" spans="33:71">
      <c r="AG105" s="203"/>
      <c r="AH105" s="203"/>
      <c r="AQ105" s="203" t="s">
        <v>504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504</v>
      </c>
      <c r="BL105" s="240"/>
      <c r="BM105" s="240"/>
      <c r="BN105" s="248">
        <f t="shared" si="12"/>
        <v>0</v>
      </c>
    </row>
    <row r="106" spans="33:71">
      <c r="AG106" s="203"/>
      <c r="AH106" s="203"/>
      <c r="AQ106" s="203" t="s">
        <v>506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506</v>
      </c>
      <c r="BL106" s="240"/>
      <c r="BM106" s="240">
        <f>Ore_to_PI!CP119</f>
        <v>-601.6</v>
      </c>
      <c r="BN106" s="248">
        <f t="shared" si="12"/>
        <v>-601.6</v>
      </c>
    </row>
    <row r="107" spans="33:71">
      <c r="AG107" s="203"/>
      <c r="AH107" s="203"/>
      <c r="AQ107" s="203" t="s">
        <v>505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505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>
      <c r="AG108" s="203"/>
      <c r="AH108" s="203"/>
      <c r="AQ108" s="203" t="s">
        <v>600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600</v>
      </c>
      <c r="BL108" s="240"/>
      <c r="BM108" s="240"/>
      <c r="BN108" s="248">
        <f t="shared" si="12"/>
        <v>0</v>
      </c>
    </row>
    <row r="109" spans="33:71" ht="15.6">
      <c r="AG109" s="203"/>
      <c r="AH109" s="203"/>
      <c r="AQ109" s="249" t="s">
        <v>501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501</v>
      </c>
      <c r="BL109" s="240"/>
      <c r="BM109" s="240"/>
      <c r="BN109" s="248">
        <f t="shared" si="12"/>
        <v>0</v>
      </c>
    </row>
    <row r="110" spans="33:71" ht="15.6">
      <c r="AG110" s="203"/>
      <c r="AH110" s="203"/>
      <c r="AQ110" s="249" t="s">
        <v>671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671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>
      <c r="AG111" s="203"/>
      <c r="AH111" s="203"/>
      <c r="AQ111" s="203" t="s">
        <v>500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500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>
      <c r="AG112" s="203"/>
      <c r="AH112" s="203"/>
      <c r="AQ112" s="201" t="s">
        <v>502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502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>
      <c r="AG113" s="203"/>
      <c r="AH113" s="203"/>
      <c r="AQ113" s="203" t="s">
        <v>634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634</v>
      </c>
      <c r="BL113" s="240"/>
      <c r="BM113" s="240"/>
      <c r="BN113" s="248">
        <f t="shared" si="12"/>
        <v>0</v>
      </c>
    </row>
    <row r="114" spans="2:66">
      <c r="AG114" s="203"/>
      <c r="AH114" s="203"/>
      <c r="AQ114" s="203" t="s">
        <v>636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636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>
      <c r="AG115" s="203"/>
      <c r="AH115" s="203"/>
      <c r="AQ115" s="203" t="s">
        <v>524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524</v>
      </c>
      <c r="BL115" s="240"/>
      <c r="BM115" s="240"/>
      <c r="BN115" s="248">
        <f t="shared" si="12"/>
        <v>0</v>
      </c>
    </row>
    <row r="116" spans="2:66">
      <c r="AG116" s="203"/>
      <c r="AH116" s="203"/>
      <c r="AQ116" s="203" t="s">
        <v>525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525</v>
      </c>
      <c r="BL116" s="240">
        <f>Ore_to_PI!FF131</f>
        <v>0</v>
      </c>
      <c r="BM116" s="240"/>
      <c r="BN116" s="248">
        <f t="shared" si="12"/>
        <v>0</v>
      </c>
    </row>
    <row r="117" spans="2:66">
      <c r="AG117" s="203"/>
      <c r="AH117" s="203"/>
      <c r="AQ117" s="203" t="s">
        <v>526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526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>
      <c r="AG118" s="203"/>
      <c r="AH118" s="203"/>
      <c r="AQ118" s="203" t="s">
        <v>536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536</v>
      </c>
      <c r="BL118" s="240"/>
      <c r="BM118" s="240">
        <f>Ore_to_PI!FF109</f>
        <v>-89.61</v>
      </c>
      <c r="BN118" s="248">
        <f t="shared" si="12"/>
        <v>-89.61</v>
      </c>
    </row>
    <row r="119" spans="2:66">
      <c r="AG119" s="203"/>
      <c r="AH119" s="203"/>
      <c r="AQ119" s="203"/>
      <c r="AR119" s="438" t="s">
        <v>404</v>
      </c>
      <c r="AS119" s="438"/>
      <c r="AT119" s="438"/>
      <c r="AU119" s="438"/>
      <c r="AV119" s="438"/>
      <c r="AW119" s="438"/>
      <c r="AX119" s="438"/>
      <c r="AY119" s="438"/>
      <c r="AZ119" s="438"/>
      <c r="BA119" s="438"/>
      <c r="BB119" s="438"/>
      <c r="BC119" s="438"/>
      <c r="BD119" s="438"/>
      <c r="BE119" s="438"/>
      <c r="BF119" s="438"/>
      <c r="BG119" s="25" t="s">
        <v>445</v>
      </c>
      <c r="BL119" s="438" t="s">
        <v>406</v>
      </c>
      <c r="BM119" s="438"/>
      <c r="BN119" s="25" t="s">
        <v>457</v>
      </c>
    </row>
    <row r="120" spans="2:66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.05" customHeight="1">
      <c r="C121" s="439"/>
      <c r="D121" s="439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38" t="s">
        <v>444</v>
      </c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438"/>
      <c r="BD121" s="438"/>
      <c r="BE121" s="438"/>
      <c r="BF121" s="438"/>
      <c r="BL121" s="25"/>
      <c r="BM121" s="25"/>
    </row>
    <row r="122" spans="2:66" ht="228">
      <c r="B122" s="236"/>
      <c r="C122" s="204" t="s">
        <v>409</v>
      </c>
      <c r="D122" s="204" t="s">
        <v>411</v>
      </c>
      <c r="E122" s="204" t="s">
        <v>412</v>
      </c>
      <c r="F122" s="204" t="s">
        <v>431</v>
      </c>
      <c r="G122" s="204" t="s">
        <v>453</v>
      </c>
      <c r="H122" s="204" t="s">
        <v>545</v>
      </c>
      <c r="I122" s="204" t="s">
        <v>546</v>
      </c>
      <c r="J122" s="204" t="s">
        <v>490</v>
      </c>
      <c r="K122" s="204" t="s">
        <v>538</v>
      </c>
      <c r="L122" s="206" t="s">
        <v>521</v>
      </c>
      <c r="M122" s="204" t="s">
        <v>488</v>
      </c>
      <c r="N122" s="206" t="s">
        <v>491</v>
      </c>
      <c r="O122" s="204" t="s">
        <v>516</v>
      </c>
      <c r="P122" s="207" t="s">
        <v>509</v>
      </c>
      <c r="Q122" s="204" t="s">
        <v>495</v>
      </c>
      <c r="R122" s="206" t="s">
        <v>520</v>
      </c>
      <c r="S122" s="206" t="s">
        <v>515</v>
      </c>
      <c r="T122" s="206" t="s">
        <v>512</v>
      </c>
      <c r="U122" s="206" t="s">
        <v>518</v>
      </c>
      <c r="V122" s="207" t="s">
        <v>517</v>
      </c>
      <c r="W122" s="207" t="s">
        <v>503</v>
      </c>
      <c r="X122" s="207" t="s">
        <v>535</v>
      </c>
      <c r="Y122" s="207" t="s">
        <v>504</v>
      </c>
      <c r="Z122" s="207" t="s">
        <v>506</v>
      </c>
      <c r="AA122" s="207" t="s">
        <v>505</v>
      </c>
      <c r="AB122" s="207" t="s">
        <v>600</v>
      </c>
      <c r="AC122" s="229" t="s">
        <v>501</v>
      </c>
      <c r="AD122" s="229" t="s">
        <v>671</v>
      </c>
      <c r="AE122" s="207" t="s">
        <v>500</v>
      </c>
      <c r="AF122" s="204" t="s">
        <v>502</v>
      </c>
      <c r="AG122" s="207" t="s">
        <v>634</v>
      </c>
      <c r="AH122" s="207" t="s">
        <v>636</v>
      </c>
      <c r="AI122" s="207" t="s">
        <v>524</v>
      </c>
      <c r="AJ122" s="207" t="s">
        <v>525</v>
      </c>
      <c r="AK122" s="207" t="s">
        <v>526</v>
      </c>
      <c r="AL122" s="207" t="s">
        <v>536</v>
      </c>
      <c r="AM122" s="207"/>
    </row>
    <row r="123" spans="2:66">
      <c r="B123" s="201" t="s">
        <v>401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>
      <c r="B126" s="201" t="s">
        <v>534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>
      <c r="B127" s="201" t="s">
        <v>514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>
      <c r="B128" s="201" t="s">
        <v>513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>
      <c r="B129" s="201" t="s">
        <v>427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>
      <c r="B130" s="201" t="s">
        <v>424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>
      <c r="B131" s="201" t="s">
        <v>438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>
      <c r="B132" s="201" t="s">
        <v>425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>
      <c r="B133" s="201" t="s">
        <v>420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>
      <c r="B134" s="201" t="s">
        <v>633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>
      <c r="B135" s="201" t="s">
        <v>635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>
      <c r="B137" s="201" t="s">
        <v>413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>
      <c r="B138" s="201"/>
      <c r="C138" s="438" t="s">
        <v>405</v>
      </c>
      <c r="D138" s="438"/>
      <c r="E138" s="438"/>
      <c r="F138" s="438"/>
      <c r="G138" s="438"/>
      <c r="H138" s="438"/>
      <c r="I138" s="438"/>
      <c r="J138" s="438"/>
      <c r="K138" s="438"/>
      <c r="L138" s="438"/>
      <c r="M138" s="438"/>
      <c r="N138" s="438"/>
      <c r="O138" s="438"/>
      <c r="P138" s="438"/>
      <c r="Q138" s="438"/>
      <c r="R138" s="438"/>
      <c r="S138" s="438"/>
      <c r="T138" s="438"/>
      <c r="U138" s="438"/>
      <c r="V138" s="438"/>
      <c r="W138" s="438"/>
      <c r="X138" s="438"/>
      <c r="Y138" s="438"/>
      <c r="Z138" s="438"/>
      <c r="AA138" s="438"/>
      <c r="AB138" s="438"/>
      <c r="AC138" s="438"/>
      <c r="AD138" s="438"/>
      <c r="AE138" s="438"/>
      <c r="AF138" s="438"/>
      <c r="AG138" s="438"/>
      <c r="AH138" s="438"/>
      <c r="AI138" s="438"/>
      <c r="AJ138" s="438"/>
      <c r="AK138" s="438"/>
      <c r="AL138" s="438"/>
      <c r="AM138" s="169" t="s">
        <v>441</v>
      </c>
      <c r="AN138" s="25"/>
    </row>
    <row r="139" spans="2:65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>
      <c r="B140" s="201"/>
      <c r="C140" s="438" t="s">
        <v>442</v>
      </c>
      <c r="D140" s="438"/>
      <c r="E140" s="438"/>
      <c r="F140" s="438"/>
      <c r="G140" s="438"/>
      <c r="H140" s="438"/>
      <c r="I140" s="438"/>
      <c r="J140" s="438"/>
      <c r="K140" s="438"/>
      <c r="L140" s="438"/>
      <c r="M140" s="438"/>
      <c r="N140" s="438"/>
      <c r="O140" s="438"/>
      <c r="P140" s="438"/>
      <c r="Q140" s="438"/>
      <c r="R140" s="438"/>
      <c r="S140" s="438"/>
      <c r="T140" s="438"/>
      <c r="U140" s="438"/>
      <c r="V140" s="438"/>
      <c r="W140" s="438"/>
      <c r="X140" s="438"/>
      <c r="Y140" s="438"/>
      <c r="Z140" s="438"/>
      <c r="AA140" s="438"/>
      <c r="AB140" s="438"/>
      <c r="AC140" s="438"/>
      <c r="AD140" s="438"/>
      <c r="AE140" s="438"/>
      <c r="AF140" s="438"/>
      <c r="AG140" s="438"/>
      <c r="AH140" s="438"/>
      <c r="AI140" s="438"/>
      <c r="AJ140" s="438"/>
      <c r="AK140" s="438"/>
      <c r="AL140" s="438"/>
    </row>
    <row r="141" spans="2:65">
      <c r="B141" s="201"/>
    </row>
    <row r="142" spans="2:65">
      <c r="B142" s="201"/>
    </row>
    <row r="143" spans="2:65">
      <c r="B143" s="201"/>
    </row>
    <row r="144" spans="2:65">
      <c r="B144" s="201"/>
    </row>
    <row r="145" spans="2:44">
      <c r="B145" s="201"/>
    </row>
    <row r="146" spans="2:44">
      <c r="B146" s="201"/>
    </row>
    <row r="147" spans="2:44">
      <c r="B147" s="201"/>
    </row>
    <row r="148" spans="2:44">
      <c r="B148" s="201"/>
    </row>
    <row r="149" spans="2:44">
      <c r="B149" s="201"/>
    </row>
    <row r="150" spans="2:44">
      <c r="B150" s="201"/>
    </row>
    <row r="151" spans="2:44" ht="228">
      <c r="B151" s="201"/>
      <c r="C151" s="204" t="s">
        <v>409</v>
      </c>
      <c r="D151" s="204" t="s">
        <v>411</v>
      </c>
      <c r="E151" s="204" t="s">
        <v>412</v>
      </c>
      <c r="F151" s="204" t="s">
        <v>431</v>
      </c>
      <c r="G151" s="204" t="s">
        <v>453</v>
      </c>
      <c r="H151" s="204" t="s">
        <v>545</v>
      </c>
      <c r="I151" s="204" t="s">
        <v>546</v>
      </c>
      <c r="J151" s="204" t="s">
        <v>490</v>
      </c>
      <c r="K151" s="204" t="s">
        <v>538</v>
      </c>
      <c r="L151" s="206" t="s">
        <v>521</v>
      </c>
      <c r="M151" s="204" t="s">
        <v>488</v>
      </c>
      <c r="N151" s="206" t="s">
        <v>491</v>
      </c>
      <c r="O151" s="204" t="s">
        <v>516</v>
      </c>
      <c r="P151" s="207" t="s">
        <v>509</v>
      </c>
      <c r="Q151" s="204" t="s">
        <v>495</v>
      </c>
      <c r="R151" s="206" t="s">
        <v>520</v>
      </c>
      <c r="S151" s="206" t="s">
        <v>515</v>
      </c>
      <c r="T151" s="206" t="s">
        <v>512</v>
      </c>
      <c r="U151" s="206" t="s">
        <v>518</v>
      </c>
      <c r="V151" s="207" t="s">
        <v>517</v>
      </c>
      <c r="W151" s="207" t="s">
        <v>503</v>
      </c>
      <c r="X151" s="207" t="s">
        <v>535</v>
      </c>
      <c r="Y151" s="207" t="s">
        <v>504</v>
      </c>
      <c r="Z151" s="207" t="s">
        <v>506</v>
      </c>
      <c r="AA151" s="207" t="s">
        <v>505</v>
      </c>
      <c r="AB151" s="207" t="s">
        <v>600</v>
      </c>
      <c r="AC151" s="229" t="s">
        <v>501</v>
      </c>
      <c r="AD151" s="229" t="s">
        <v>671</v>
      </c>
      <c r="AE151" s="207" t="s">
        <v>500</v>
      </c>
      <c r="AF151" s="204" t="s">
        <v>502</v>
      </c>
      <c r="AG151" s="207" t="s">
        <v>634</v>
      </c>
      <c r="AH151" s="207" t="s">
        <v>636</v>
      </c>
      <c r="AI151" s="207" t="s">
        <v>524</v>
      </c>
      <c r="AJ151" s="207" t="s">
        <v>525</v>
      </c>
      <c r="AK151" s="207" t="s">
        <v>526</v>
      </c>
      <c r="AL151" s="207" t="s">
        <v>536</v>
      </c>
      <c r="AM151" s="207"/>
      <c r="AN151" s="207"/>
    </row>
    <row r="152" spans="2:44">
      <c r="B152" s="201" t="s">
        <v>408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5.6">
      <c r="B153" s="202" t="s">
        <v>410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03" t="s">
        <v>432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01" t="s">
        <v>456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201" t="s">
        <v>452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201" t="s">
        <v>548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>
      <c r="B158" s="201" t="s">
        <v>547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201" t="s">
        <v>489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201" t="s">
        <v>537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438" t="s">
        <v>57</v>
      </c>
      <c r="D161" s="438"/>
      <c r="E161" s="438"/>
      <c r="F161" s="438"/>
      <c r="G161" s="438"/>
      <c r="H161" s="438"/>
      <c r="I161" s="438"/>
      <c r="J161" s="438"/>
      <c r="K161" s="438"/>
      <c r="L161" s="438"/>
      <c r="M161" s="438"/>
      <c r="N161" s="438"/>
      <c r="O161" s="438"/>
      <c r="P161" s="438"/>
      <c r="Q161" s="438"/>
      <c r="R161" s="438"/>
      <c r="S161" s="438"/>
      <c r="T161" s="438"/>
      <c r="U161" s="438"/>
      <c r="V161" s="438"/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438"/>
      <c r="AL161" s="438"/>
      <c r="AM161" s="25"/>
      <c r="AN161" s="25"/>
    </row>
    <row r="162" spans="2:40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>
      <c r="C163" s="438" t="s">
        <v>443</v>
      </c>
      <c r="D163" s="438"/>
      <c r="E163" s="438"/>
      <c r="F163" s="438"/>
      <c r="G163" s="438"/>
      <c r="H163" s="438"/>
      <c r="I163" s="438"/>
      <c r="J163" s="438"/>
      <c r="K163" s="438"/>
      <c r="L163" s="438"/>
      <c r="M163" s="438"/>
      <c r="N163" s="438"/>
      <c r="O163" s="438"/>
      <c r="P163" s="438"/>
      <c r="Q163" s="438"/>
      <c r="R163" s="438"/>
      <c r="S163" s="438"/>
      <c r="T163" s="438"/>
      <c r="U163" s="438"/>
      <c r="V163" s="438"/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438"/>
      <c r="AL163" s="438"/>
      <c r="AM163" s="25"/>
      <c r="AN163" s="25"/>
    </row>
    <row r="167" spans="2:40">
      <c r="C167" s="438" t="s">
        <v>631</v>
      </c>
      <c r="D167" s="438"/>
      <c r="E167" s="438"/>
      <c r="F167" s="438"/>
      <c r="G167" s="438"/>
      <c r="H167" s="438"/>
      <c r="I167" s="438"/>
      <c r="J167" s="438"/>
      <c r="K167" s="438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>
      <c r="B170" s="201" t="s">
        <v>409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>
      <c r="B171" s="201" t="s">
        <v>411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>
      <c r="B172" s="201" t="s">
        <v>412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>
      <c r="B173" s="201" t="s">
        <v>431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>
      <c r="B174" s="201" t="s">
        <v>453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637</v>
      </c>
    </row>
    <row r="175" spans="2:40">
      <c r="B175" s="201" t="s">
        <v>486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637</v>
      </c>
    </row>
    <row r="176" spans="2:40">
      <c r="B176" s="201" t="s">
        <v>487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>
      <c r="B177" s="201" t="s">
        <v>490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>
      <c r="B178" s="201" t="s">
        <v>538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5.6">
      <c r="B179" s="202" t="s">
        <v>521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>
      <c r="B180" s="201" t="s">
        <v>488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5.6">
      <c r="B181" s="202" t="s">
        <v>491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>
      <c r="B182" s="201" t="s">
        <v>516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>
      <c r="B183" s="203" t="s">
        <v>509</v>
      </c>
      <c r="C183" s="248">
        <v>0</v>
      </c>
      <c r="D183" s="255" t="s">
        <v>447</v>
      </c>
      <c r="E183" s="248">
        <v>-284.89999999999998</v>
      </c>
      <c r="F183" s="169" t="s">
        <v>449</v>
      </c>
      <c r="G183" s="248">
        <f t="shared" si="18"/>
        <v>-284.89999999999998</v>
      </c>
      <c r="H183" s="169" t="s">
        <v>449</v>
      </c>
      <c r="I183" s="248">
        <v>0</v>
      </c>
      <c r="J183" s="255" t="s">
        <v>450</v>
      </c>
      <c r="K183" s="295">
        <f t="shared" si="19"/>
        <v>0</v>
      </c>
      <c r="P183" s="204"/>
    </row>
    <row r="184" spans="2:18">
      <c r="B184" s="201" t="s">
        <v>495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5.6">
      <c r="B185" s="202" t="s">
        <v>520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5.6">
      <c r="B186" s="202" t="s">
        <v>515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5.6">
      <c r="B187" s="202" t="s">
        <v>512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5.6">
      <c r="B188" s="202" t="s">
        <v>518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>
      <c r="B189" s="203" t="s">
        <v>517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>
      <c r="B190" s="203" t="s">
        <v>503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>
      <c r="B191" s="203" t="s">
        <v>535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>
      <c r="B192" s="203" t="s">
        <v>504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>
      <c r="B193" s="203" t="s">
        <v>506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>
      <c r="B194" s="203" t="s">
        <v>505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>
      <c r="B195" s="203" t="s">
        <v>600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5.6">
      <c r="B196" s="249" t="s">
        <v>501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5.6">
      <c r="B197" s="249" t="s">
        <v>671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>
      <c r="B198" s="203" t="s">
        <v>500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>
      <c r="B199" s="201" t="s">
        <v>502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>
      <c r="B200" s="203" t="s">
        <v>634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>
      <c r="B201" s="203" t="s">
        <v>636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637</v>
      </c>
    </row>
    <row r="202" spans="2:19">
      <c r="B202" s="203" t="s">
        <v>524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>
      <c r="B203" s="203" t="s">
        <v>525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>
      <c r="B204" s="203" t="s">
        <v>526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>
      <c r="B205" s="203" t="s">
        <v>536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6.8">
      <c r="B206" s="203"/>
      <c r="C206" s="3" t="s">
        <v>446</v>
      </c>
      <c r="E206" s="3" t="s">
        <v>448</v>
      </c>
      <c r="G206" s="25" t="s">
        <v>445</v>
      </c>
      <c r="I206" s="25" t="s">
        <v>39</v>
      </c>
      <c r="K206" s="25">
        <f>SUM(K170:K205)</f>
        <v>0</v>
      </c>
    </row>
    <row r="207" spans="2:19">
      <c r="B207" s="203"/>
      <c r="G207" s="25"/>
      <c r="I207" s="25"/>
    </row>
    <row r="208" spans="2:19">
      <c r="B208" s="20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300" t="s">
        <v>401</v>
      </c>
      <c r="C213" s="301">
        <v>0</v>
      </c>
      <c r="N213" s="241"/>
      <c r="O213" s="241"/>
    </row>
    <row r="214" spans="2:15">
      <c r="B214" s="300" t="s">
        <v>402</v>
      </c>
      <c r="C214" s="301">
        <v>0</v>
      </c>
    </row>
    <row r="215" spans="2:15">
      <c r="B215" s="300" t="s">
        <v>403</v>
      </c>
      <c r="C215" s="301">
        <f>Ore_to_PI!AA195</f>
        <v>80616.370239891301</v>
      </c>
    </row>
    <row r="216" spans="2:15">
      <c r="B216" s="300" t="s">
        <v>534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300" t="s">
        <v>514</v>
      </c>
      <c r="C217" s="301">
        <f>Ore_to_PI!AS113</f>
        <v>2824.8856477449194</v>
      </c>
    </row>
    <row r="218" spans="2:15">
      <c r="B218" s="300" t="s">
        <v>513</v>
      </c>
      <c r="C218" s="301">
        <f>Ore_to_PI!AS190</f>
        <v>282.1287710315147</v>
      </c>
    </row>
    <row r="219" spans="2:15">
      <c r="B219" s="300" t="s">
        <v>427</v>
      </c>
      <c r="C219" s="301">
        <f>Ore_to_PI!BL35</f>
        <v>12479.249680000003</v>
      </c>
    </row>
    <row r="220" spans="2:15">
      <c r="B220" s="300" t="s">
        <v>424</v>
      </c>
      <c r="C220" s="301">
        <f>Ore_to_PI!BK116</f>
        <v>34.678095164114971</v>
      </c>
    </row>
    <row r="221" spans="2:15">
      <c r="B221" s="300" t="s">
        <v>438</v>
      </c>
      <c r="C221" s="301">
        <f>Ore_to_PI!BK195</f>
        <v>50.358084153937838</v>
      </c>
    </row>
    <row r="222" spans="2:15">
      <c r="B222" s="300" t="s">
        <v>425</v>
      </c>
      <c r="C222" s="301">
        <v>0</v>
      </c>
    </row>
    <row r="223" spans="2:15">
      <c r="B223" s="300" t="s">
        <v>420</v>
      </c>
      <c r="C223" s="301">
        <v>0</v>
      </c>
    </row>
    <row r="224" spans="2:15">
      <c r="B224" s="201" t="s">
        <v>633</v>
      </c>
      <c r="C224" s="301">
        <f>Ore_to_PI!DB229</f>
        <v>33191.859393697465</v>
      </c>
    </row>
    <row r="225" spans="2:11">
      <c r="B225" s="201" t="s">
        <v>635</v>
      </c>
      <c r="C225" s="301">
        <v>0</v>
      </c>
    </row>
    <row r="226" spans="2:11">
      <c r="B226" s="201" t="s">
        <v>81</v>
      </c>
      <c r="C226" s="301">
        <v>0</v>
      </c>
    </row>
    <row r="227" spans="2:11">
      <c r="B227" s="201" t="s">
        <v>413</v>
      </c>
      <c r="C227" s="303">
        <f>Ore_to_PI!ES117</f>
        <v>318930.1042317453</v>
      </c>
    </row>
    <row r="228" spans="2:11">
      <c r="B228" s="203"/>
      <c r="C228" s="302" t="s">
        <v>265</v>
      </c>
    </row>
    <row r="233" spans="2:11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defaultColWidth="11.5546875" defaultRowHeight="14.4"/>
  <sheetData>
    <row r="18" spans="5:68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409</v>
      </c>
      <c r="AT18" s="327">
        <v>0.47896953999999997</v>
      </c>
      <c r="AU18" s="327"/>
      <c r="AV18" s="327"/>
      <c r="AW18" s="327"/>
      <c r="AX18" s="327"/>
      <c r="AY18" s="327"/>
      <c r="AZ18" s="327"/>
      <c r="BA18" s="327"/>
      <c r="BB18" s="327"/>
      <c r="BC18" s="327"/>
      <c r="BD18" s="327"/>
      <c r="BE18" s="327"/>
      <c r="BF18" s="327"/>
      <c r="BG18" s="327"/>
      <c r="BH18" s="328"/>
      <c r="BI18" s="329">
        <f>SUM(AT18:BH18)</f>
        <v>0.47896953999999997</v>
      </c>
      <c r="BJ18" s="132"/>
      <c r="BK18" s="132"/>
      <c r="BL18" s="300"/>
      <c r="BM18" s="300" t="s">
        <v>409</v>
      </c>
      <c r="BN18" s="330"/>
      <c r="BO18" s="330"/>
      <c r="BP18" s="303">
        <f>SUM(BN18:BO18)</f>
        <v>0</v>
      </c>
    </row>
    <row r="19" spans="5:68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411</v>
      </c>
      <c r="AT19" s="327"/>
      <c r="AU19" s="327">
        <v>0.18440139999999999</v>
      </c>
      <c r="AV19" s="327"/>
      <c r="AW19" s="327"/>
      <c r="AX19" s="327"/>
      <c r="AY19" s="327"/>
      <c r="AZ19" s="327"/>
      <c r="BA19" s="327"/>
      <c r="BB19" s="327"/>
      <c r="BC19" s="327"/>
      <c r="BD19" s="327"/>
      <c r="BE19" s="327"/>
      <c r="BF19" s="327"/>
      <c r="BG19" s="327"/>
      <c r="BH19" s="328"/>
      <c r="BI19" s="329">
        <f t="shared" ref="BI19:BI53" si="0">SUM(AT19:BH19)</f>
        <v>0.18440139999999999</v>
      </c>
      <c r="BJ19" s="132"/>
      <c r="BK19" s="132"/>
      <c r="BL19" s="300"/>
      <c r="BM19" s="300" t="s">
        <v>411</v>
      </c>
      <c r="BN19" s="330"/>
      <c r="BO19" s="330"/>
      <c r="BP19" s="303">
        <f t="shared" ref="BP19:BP53" si="1">SUM(BN19:BO19)</f>
        <v>0</v>
      </c>
    </row>
    <row r="20" spans="5:68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412</v>
      </c>
      <c r="AT20" s="327"/>
      <c r="AU20" s="327"/>
      <c r="AV20" s="327">
        <v>754.33705407660659</v>
      </c>
      <c r="AW20" s="327"/>
      <c r="AX20" s="327"/>
      <c r="AY20" s="327"/>
      <c r="AZ20" s="327"/>
      <c r="BA20" s="327"/>
      <c r="BB20" s="327"/>
      <c r="BC20" s="327"/>
      <c r="BD20" s="327"/>
      <c r="BE20" s="327"/>
      <c r="BF20" s="327"/>
      <c r="BG20" s="327"/>
      <c r="BH20" s="328"/>
      <c r="BI20" s="329">
        <f t="shared" si="0"/>
        <v>754.33705407660659</v>
      </c>
      <c r="BJ20" s="132"/>
      <c r="BK20" s="132"/>
      <c r="BL20" s="300"/>
      <c r="BM20" s="300" t="s">
        <v>412</v>
      </c>
      <c r="BN20" s="330"/>
      <c r="BO20" s="330"/>
      <c r="BP20" s="303">
        <f t="shared" si="1"/>
        <v>0</v>
      </c>
    </row>
    <row r="21" spans="5:68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431</v>
      </c>
      <c r="AT21" s="327">
        <v>6.0012280000000001E-2</v>
      </c>
      <c r="AU21" s="327">
        <v>6.0012280000000001E-2</v>
      </c>
      <c r="AV21" s="327">
        <v>6.0012280000000001E-2</v>
      </c>
      <c r="AW21" s="327"/>
      <c r="AX21" s="327"/>
      <c r="AY21" s="327"/>
      <c r="AZ21" s="327"/>
      <c r="BA21" s="327"/>
      <c r="BB21" s="327"/>
      <c r="BC21" s="327">
        <v>6.0012280000000001E-2</v>
      </c>
      <c r="BD21" s="327">
        <v>6.0012280000000001E-2</v>
      </c>
      <c r="BE21" s="327"/>
      <c r="BF21" s="327"/>
      <c r="BG21" s="327"/>
      <c r="BH21" s="327">
        <v>6.0012280000000001E-2</v>
      </c>
      <c r="BI21" s="329">
        <f t="shared" si="0"/>
        <v>0.36007368000000006</v>
      </c>
      <c r="BJ21" s="132"/>
      <c r="BK21" s="132"/>
      <c r="BL21" s="300"/>
      <c r="BM21" s="300" t="s">
        <v>431</v>
      </c>
      <c r="BN21" s="330"/>
      <c r="BO21" s="330"/>
      <c r="BP21" s="303">
        <f t="shared" si="1"/>
        <v>0</v>
      </c>
    </row>
    <row r="22" spans="5:68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453</v>
      </c>
      <c r="AT22" s="327"/>
      <c r="AU22" s="327"/>
      <c r="AV22" s="327"/>
      <c r="AW22" s="327"/>
      <c r="AX22" s="327"/>
      <c r="AY22" s="327"/>
      <c r="AZ22" s="327"/>
      <c r="BA22" s="327"/>
      <c r="BB22" s="327"/>
      <c r="BC22" s="327">
        <v>1.604276E-2</v>
      </c>
      <c r="BD22" s="327">
        <v>1.604276E-2</v>
      </c>
      <c r="BE22" s="327"/>
      <c r="BF22" s="327"/>
      <c r="BG22" s="327"/>
      <c r="BH22" s="327">
        <v>1.604276E-2</v>
      </c>
      <c r="BI22" s="329">
        <f t="shared" si="0"/>
        <v>4.8128279999999996E-2</v>
      </c>
      <c r="BJ22" s="132"/>
      <c r="BK22" s="132"/>
      <c r="BL22" s="300"/>
      <c r="BM22" s="300" t="s">
        <v>453</v>
      </c>
      <c r="BN22" s="330"/>
      <c r="BO22" s="330"/>
      <c r="BP22" s="303">
        <f t="shared" si="1"/>
        <v>0</v>
      </c>
    </row>
    <row r="23" spans="5:68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545</v>
      </c>
      <c r="AT23" s="327">
        <v>0.16731462</v>
      </c>
      <c r="AU23" s="327">
        <v>0.16731462</v>
      </c>
      <c r="AV23" s="327">
        <v>0.16731462</v>
      </c>
      <c r="AW23" s="327"/>
      <c r="AX23" s="327"/>
      <c r="AY23" s="327"/>
      <c r="AZ23" s="327"/>
      <c r="BA23" s="327"/>
      <c r="BB23" s="327"/>
      <c r="BC23" s="327"/>
      <c r="BD23" s="327"/>
      <c r="BE23" s="327"/>
      <c r="BF23" s="327"/>
      <c r="BG23" s="327"/>
      <c r="BH23" s="328"/>
      <c r="BI23" s="329">
        <f t="shared" si="0"/>
        <v>0.50194386000000002</v>
      </c>
      <c r="BJ23" s="132"/>
      <c r="BK23" s="132"/>
      <c r="BL23" s="300"/>
      <c r="BM23" s="300" t="s">
        <v>545</v>
      </c>
      <c r="BN23" s="330"/>
      <c r="BO23" s="330"/>
      <c r="BP23" s="303">
        <f t="shared" si="1"/>
        <v>0</v>
      </c>
    </row>
    <row r="24" spans="5:68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546</v>
      </c>
      <c r="AT24" s="327"/>
      <c r="AU24" s="327">
        <v>0.11423092</v>
      </c>
      <c r="AV24" s="327"/>
      <c r="AW24" s="327"/>
      <c r="AX24" s="327"/>
      <c r="AY24" s="327"/>
      <c r="AZ24" s="327"/>
      <c r="BA24" s="327"/>
      <c r="BB24" s="327"/>
      <c r="BC24" s="327"/>
      <c r="BD24" s="327"/>
      <c r="BE24" s="327"/>
      <c r="BF24" s="327"/>
      <c r="BG24" s="327"/>
      <c r="BH24" s="328"/>
      <c r="BI24" s="329">
        <f t="shared" si="0"/>
        <v>0.11423092</v>
      </c>
      <c r="BJ24" s="132"/>
      <c r="BK24" s="132"/>
      <c r="BL24" s="300"/>
      <c r="BM24" s="300" t="s">
        <v>546</v>
      </c>
      <c r="BN24" s="330"/>
      <c r="BO24" s="330"/>
      <c r="BP24" s="303">
        <f t="shared" si="1"/>
        <v>0</v>
      </c>
    </row>
    <row r="25" spans="5:68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490</v>
      </c>
      <c r="AT25" s="327"/>
      <c r="AU25" s="327"/>
      <c r="AV25" s="327"/>
      <c r="AW25" s="327"/>
      <c r="AX25" s="327"/>
      <c r="AY25" s="327"/>
      <c r="AZ25" s="327"/>
      <c r="BA25" s="327"/>
      <c r="BB25" s="327"/>
      <c r="BC25" s="327"/>
      <c r="BD25" s="327"/>
      <c r="BE25" s="327"/>
      <c r="BF25" s="327"/>
      <c r="BG25" s="327"/>
      <c r="BH25" s="328">
        <v>0.1402688</v>
      </c>
      <c r="BI25" s="329">
        <f t="shared" si="0"/>
        <v>0.1402688</v>
      </c>
      <c r="BJ25" s="132"/>
      <c r="BK25" s="132"/>
      <c r="BL25" s="300"/>
      <c r="BM25" s="300" t="s">
        <v>490</v>
      </c>
      <c r="BN25" s="330"/>
      <c r="BO25" s="330"/>
      <c r="BP25" s="303">
        <f t="shared" si="1"/>
        <v>0</v>
      </c>
    </row>
    <row r="26" spans="5:68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538</v>
      </c>
      <c r="AT26" s="327"/>
      <c r="AU26" s="327"/>
      <c r="AV26" s="327">
        <v>0</v>
      </c>
      <c r="AW26" s="327">
        <v>0</v>
      </c>
      <c r="AX26" s="327">
        <v>0</v>
      </c>
      <c r="AY26" s="327">
        <v>0</v>
      </c>
      <c r="AZ26" s="327">
        <v>0</v>
      </c>
      <c r="BA26" s="327">
        <v>0</v>
      </c>
      <c r="BB26" s="327">
        <v>0</v>
      </c>
      <c r="BC26" s="327"/>
      <c r="BD26" s="327"/>
      <c r="BE26" s="327">
        <v>0</v>
      </c>
      <c r="BF26" s="327"/>
      <c r="BG26" s="327"/>
      <c r="BH26" s="328">
        <v>0</v>
      </c>
      <c r="BI26" s="329">
        <f t="shared" si="0"/>
        <v>0</v>
      </c>
      <c r="BJ26" s="132"/>
      <c r="BK26" s="132"/>
      <c r="BL26" s="300"/>
      <c r="BM26" s="300" t="s">
        <v>538</v>
      </c>
      <c r="BN26" s="330"/>
      <c r="BO26" s="330"/>
      <c r="BP26" s="303">
        <f t="shared" si="1"/>
        <v>0</v>
      </c>
    </row>
    <row r="27" spans="5:68" ht="15.6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331"/>
      <c r="AK27" s="132"/>
      <c r="AL27" s="132"/>
      <c r="AM27" s="132"/>
      <c r="AN27" s="132"/>
      <c r="AO27" s="132"/>
      <c r="AP27" s="132"/>
      <c r="AQ27" s="132"/>
      <c r="AR27" s="132"/>
      <c r="AS27" s="332" t="s">
        <v>521</v>
      </c>
      <c r="AT27" s="327"/>
      <c r="AU27" s="327"/>
      <c r="AV27" s="327"/>
      <c r="AW27" s="327">
        <v>0.47896953999999997</v>
      </c>
      <c r="AX27" s="327"/>
      <c r="AY27" s="327"/>
      <c r="AZ27" s="327"/>
      <c r="BA27" s="327"/>
      <c r="BB27" s="327"/>
      <c r="BC27" s="327"/>
      <c r="BD27" s="327"/>
      <c r="BE27" s="327"/>
      <c r="BF27" s="327"/>
      <c r="BG27" s="327"/>
      <c r="BH27" s="328"/>
      <c r="BI27" s="329">
        <f t="shared" si="0"/>
        <v>0.47896953999999997</v>
      </c>
      <c r="BJ27" s="132"/>
      <c r="BK27" s="132"/>
      <c r="BL27" s="332"/>
      <c r="BM27" s="300" t="s">
        <v>521</v>
      </c>
      <c r="BN27" s="330"/>
      <c r="BO27" s="330"/>
      <c r="BP27" s="303">
        <f t="shared" si="1"/>
        <v>0</v>
      </c>
    </row>
    <row r="28" spans="5:68" ht="15.6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332"/>
      <c r="AK28" s="132"/>
      <c r="AL28" s="132"/>
      <c r="AM28" s="132"/>
      <c r="AN28" s="132"/>
      <c r="AO28" s="132"/>
      <c r="AP28" s="132"/>
      <c r="AQ28" s="132"/>
      <c r="AR28" s="132"/>
      <c r="AS28" s="300" t="s">
        <v>488</v>
      </c>
      <c r="AT28" s="327"/>
      <c r="AU28" s="327"/>
      <c r="AV28" s="327"/>
      <c r="AW28" s="327"/>
      <c r="AX28" s="327"/>
      <c r="AY28" s="327"/>
      <c r="AZ28" s="327"/>
      <c r="BA28" s="327"/>
      <c r="BB28" s="327"/>
      <c r="BC28" s="327"/>
      <c r="BD28" s="327"/>
      <c r="BE28" s="327"/>
      <c r="BF28" s="327"/>
      <c r="BG28" s="327"/>
      <c r="BH28" s="328"/>
      <c r="BI28" s="329">
        <f t="shared" si="0"/>
        <v>0</v>
      </c>
      <c r="BJ28" s="132"/>
      <c r="BK28" s="132"/>
      <c r="BL28" s="300"/>
      <c r="BM28" s="300" t="s">
        <v>488</v>
      </c>
      <c r="BN28" s="330"/>
      <c r="BO28" s="330">
        <v>9.0038560000000004E-2</v>
      </c>
      <c r="BP28" s="303">
        <f t="shared" si="1"/>
        <v>9.0038560000000004E-2</v>
      </c>
    </row>
    <row r="29" spans="5:68" ht="15.6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332" t="s">
        <v>491</v>
      </c>
      <c r="AT29" s="327"/>
      <c r="AU29" s="327"/>
      <c r="AV29" s="327"/>
      <c r="AW29" s="327"/>
      <c r="AX29" s="327">
        <v>0.18440139999999999</v>
      </c>
      <c r="AY29" s="327"/>
      <c r="AZ29" s="327"/>
      <c r="BA29" s="327"/>
      <c r="BB29" s="327"/>
      <c r="BC29" s="327"/>
      <c r="BD29" s="327"/>
      <c r="BE29" s="327"/>
      <c r="BF29" s="327"/>
      <c r="BG29" s="327"/>
      <c r="BH29" s="328"/>
      <c r="BI29" s="329">
        <f t="shared" si="0"/>
        <v>0.18440139999999999</v>
      </c>
      <c r="BJ29" s="132"/>
      <c r="BK29" s="132"/>
      <c r="BL29" s="332"/>
      <c r="BM29" s="300" t="s">
        <v>491</v>
      </c>
      <c r="BN29" s="333"/>
      <c r="BO29" s="330"/>
      <c r="BP29" s="303">
        <f t="shared" si="1"/>
        <v>0</v>
      </c>
    </row>
    <row r="30" spans="5:68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516</v>
      </c>
      <c r="AT30" s="327"/>
      <c r="AU30" s="327"/>
      <c r="AV30" s="327"/>
      <c r="AW30" s="327"/>
      <c r="AX30" s="327"/>
      <c r="AY30" s="327"/>
      <c r="AZ30" s="327"/>
      <c r="BA30" s="327"/>
      <c r="BB30" s="327"/>
      <c r="BC30" s="327"/>
      <c r="BD30" s="327"/>
      <c r="BE30" s="327"/>
      <c r="BF30" s="327"/>
      <c r="BG30" s="334"/>
      <c r="BH30" s="328"/>
      <c r="BI30" s="329">
        <f t="shared" si="0"/>
        <v>0</v>
      </c>
      <c r="BJ30" s="132"/>
      <c r="BK30" s="132"/>
      <c r="BL30" s="300"/>
      <c r="BM30" s="300" t="s">
        <v>516</v>
      </c>
      <c r="BN30" s="330"/>
      <c r="BO30" s="330">
        <v>9.0038560000000004E-2</v>
      </c>
      <c r="BP30" s="303">
        <f t="shared" si="1"/>
        <v>9.0038560000000004E-2</v>
      </c>
    </row>
    <row r="31" spans="5:68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509</v>
      </c>
      <c r="AT31" s="327"/>
      <c r="AU31" s="327"/>
      <c r="AV31" s="327"/>
      <c r="AW31" s="327"/>
      <c r="AX31" s="327"/>
      <c r="AY31" s="327">
        <v>754.33705407660659</v>
      </c>
      <c r="AZ31" s="327"/>
      <c r="BA31" s="327"/>
      <c r="BB31" s="327"/>
      <c r="BC31" s="327"/>
      <c r="BD31" s="327"/>
      <c r="BE31" s="327"/>
      <c r="BF31" s="327"/>
      <c r="BG31" s="327"/>
      <c r="BH31" s="335"/>
      <c r="BI31" s="329">
        <f t="shared" si="0"/>
        <v>754.33705407660659</v>
      </c>
      <c r="BJ31" s="132"/>
      <c r="BK31" s="132"/>
      <c r="BL31" s="203"/>
      <c r="BM31" s="300" t="s">
        <v>509</v>
      </c>
      <c r="BN31" s="330"/>
      <c r="BO31" s="330"/>
      <c r="BP31" s="303">
        <f t="shared" si="1"/>
        <v>0</v>
      </c>
    </row>
    <row r="32" spans="5:68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495</v>
      </c>
      <c r="AT32" s="327"/>
      <c r="AU32" s="327"/>
      <c r="AV32" s="327"/>
      <c r="AW32" s="327"/>
      <c r="AX32" s="327"/>
      <c r="AY32" s="327"/>
      <c r="AZ32" s="327"/>
      <c r="BA32" s="327"/>
      <c r="BB32" s="327"/>
      <c r="BC32" s="327"/>
      <c r="BD32" s="327"/>
      <c r="BE32" s="327"/>
      <c r="BF32" s="327"/>
      <c r="BG32" s="327"/>
      <c r="BH32" s="328"/>
      <c r="BI32" s="329">
        <f t="shared" si="0"/>
        <v>0</v>
      </c>
      <c r="BJ32" s="132"/>
      <c r="BK32" s="132"/>
      <c r="BL32" s="300"/>
      <c r="BM32" s="300" t="s">
        <v>495</v>
      </c>
      <c r="BN32" s="330"/>
      <c r="BO32" s="330">
        <v>9.0038560000000004E-2</v>
      </c>
      <c r="BP32" s="303">
        <f t="shared" si="1"/>
        <v>9.0038560000000004E-2</v>
      </c>
    </row>
    <row r="33" spans="5:68" ht="15.6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332" t="s">
        <v>520</v>
      </c>
      <c r="AT33" s="327"/>
      <c r="AU33" s="327"/>
      <c r="AV33" s="327"/>
      <c r="AW33" s="327"/>
      <c r="AX33" s="327"/>
      <c r="AY33" s="327"/>
      <c r="AZ33" s="327">
        <v>0.47896953999999997</v>
      </c>
      <c r="BA33" s="327"/>
      <c r="BB33" s="327"/>
      <c r="BC33" s="327"/>
      <c r="BD33" s="327"/>
      <c r="BE33" s="327"/>
      <c r="BF33" s="327"/>
      <c r="BG33" s="327"/>
      <c r="BH33" s="328"/>
      <c r="BI33" s="329">
        <f t="shared" si="0"/>
        <v>0.47896953999999997</v>
      </c>
      <c r="BJ33" s="132"/>
      <c r="BK33" s="132"/>
      <c r="BL33" s="332"/>
      <c r="BM33" s="300" t="s">
        <v>520</v>
      </c>
      <c r="BN33" s="330"/>
      <c r="BO33" s="330"/>
      <c r="BP33" s="303">
        <f t="shared" si="1"/>
        <v>0</v>
      </c>
    </row>
    <row r="34" spans="5:68" ht="15.6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332" t="s">
        <v>515</v>
      </c>
      <c r="AT34" s="327"/>
      <c r="AU34" s="327"/>
      <c r="AV34" s="327"/>
      <c r="AW34" s="327"/>
      <c r="AX34" s="327"/>
      <c r="AY34" s="327"/>
      <c r="AZ34" s="327"/>
      <c r="BA34" s="327">
        <v>0.18440139999999999</v>
      </c>
      <c r="BB34" s="327"/>
      <c r="BC34" s="327"/>
      <c r="BD34" s="327"/>
      <c r="BE34" s="327"/>
      <c r="BF34" s="327"/>
      <c r="BG34" s="327"/>
      <c r="BH34" s="328"/>
      <c r="BI34" s="329">
        <f t="shared" si="0"/>
        <v>0.18440139999999999</v>
      </c>
      <c r="BJ34" s="132"/>
      <c r="BK34" s="132"/>
      <c r="BL34" s="332"/>
      <c r="BM34" s="300" t="s">
        <v>515</v>
      </c>
      <c r="BN34" s="330"/>
      <c r="BO34" s="330"/>
      <c r="BP34" s="303">
        <f t="shared" si="1"/>
        <v>0</v>
      </c>
    </row>
    <row r="35" spans="5:68" ht="15.6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332" t="s">
        <v>512</v>
      </c>
      <c r="AT35" s="327"/>
      <c r="AU35" s="327"/>
      <c r="AV35" s="327"/>
      <c r="AW35" s="327"/>
      <c r="AX35" s="327"/>
      <c r="AY35" s="327"/>
      <c r="AZ35" s="327"/>
      <c r="BA35" s="327"/>
      <c r="BB35" s="327">
        <v>754.33705407660659</v>
      </c>
      <c r="BC35" s="327"/>
      <c r="BD35" s="327"/>
      <c r="BE35" s="327"/>
      <c r="BF35" s="327"/>
      <c r="BG35" s="327"/>
      <c r="BH35" s="328"/>
      <c r="BI35" s="329">
        <f t="shared" si="0"/>
        <v>754.33705407660659</v>
      </c>
      <c r="BJ35" s="132"/>
      <c r="BK35" s="132"/>
      <c r="BL35" s="332"/>
      <c r="BM35" s="300" t="s">
        <v>512</v>
      </c>
      <c r="BN35" s="330"/>
      <c r="BO35" s="330"/>
      <c r="BP35" s="303">
        <f t="shared" si="1"/>
        <v>0</v>
      </c>
    </row>
    <row r="36" spans="5:68" ht="15.6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332" t="s">
        <v>518</v>
      </c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>
        <v>0.21977250000000001</v>
      </c>
      <c r="BH36" s="328"/>
      <c r="BI36" s="329">
        <f t="shared" si="0"/>
        <v>0.21977250000000001</v>
      </c>
      <c r="BJ36" s="132"/>
      <c r="BK36" s="132"/>
      <c r="BL36" s="332"/>
      <c r="BM36" s="300" t="s">
        <v>518</v>
      </c>
      <c r="BN36" s="330"/>
      <c r="BO36" s="330"/>
      <c r="BP36" s="303">
        <f t="shared" si="1"/>
        <v>0</v>
      </c>
    </row>
    <row r="37" spans="5:68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517</v>
      </c>
      <c r="AT37" s="327"/>
      <c r="AU37" s="327"/>
      <c r="AV37" s="32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27"/>
      <c r="BH37" s="335"/>
      <c r="BI37" s="329">
        <f t="shared" si="0"/>
        <v>0</v>
      </c>
      <c r="BJ37" s="336"/>
      <c r="BK37" s="132"/>
      <c r="BL37" s="203"/>
      <c r="BM37" s="300" t="s">
        <v>517</v>
      </c>
      <c r="BN37" s="330"/>
      <c r="BO37" s="330">
        <v>0.25919703999999999</v>
      </c>
      <c r="BP37" s="303">
        <f t="shared" si="1"/>
        <v>0.25919703999999999</v>
      </c>
    </row>
    <row r="38" spans="5:68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503</v>
      </c>
      <c r="AT38" s="327"/>
      <c r="AU38" s="327"/>
      <c r="AV38" s="327"/>
      <c r="AW38" s="327"/>
      <c r="AX38" s="327"/>
      <c r="AY38" s="327"/>
      <c r="AZ38" s="327"/>
      <c r="BA38" s="327"/>
      <c r="BB38" s="327"/>
      <c r="BC38" s="327">
        <v>0.18440139999999999</v>
      </c>
      <c r="BD38" s="327"/>
      <c r="BE38" s="327"/>
      <c r="BF38" s="327"/>
      <c r="BG38" s="327"/>
      <c r="BH38" s="328"/>
      <c r="BI38" s="329">
        <f t="shared" si="0"/>
        <v>0.18440139999999999</v>
      </c>
      <c r="BJ38" s="132"/>
      <c r="BK38" s="132"/>
      <c r="BL38" s="203"/>
      <c r="BM38" s="300" t="s">
        <v>503</v>
      </c>
      <c r="BN38" s="330"/>
      <c r="BO38" s="330"/>
      <c r="BP38" s="303">
        <f t="shared" si="1"/>
        <v>0</v>
      </c>
    </row>
    <row r="39" spans="5:68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535</v>
      </c>
      <c r="AT39" s="327"/>
      <c r="AU39" s="327"/>
      <c r="AV39" s="327"/>
      <c r="AW39" s="327"/>
      <c r="AX39" s="327"/>
      <c r="AY39" s="327"/>
      <c r="AZ39" s="327"/>
      <c r="BA39" s="327"/>
      <c r="BB39" s="327"/>
      <c r="BC39" s="327"/>
      <c r="BD39" s="327">
        <v>754.33705407660659</v>
      </c>
      <c r="BE39" s="327"/>
      <c r="BF39" s="327"/>
      <c r="BG39" s="327"/>
      <c r="BH39" s="328"/>
      <c r="BI39" s="329">
        <f t="shared" si="0"/>
        <v>754.33705407660659</v>
      </c>
      <c r="BJ39" s="132"/>
      <c r="BK39" s="132"/>
      <c r="BL39" s="203"/>
      <c r="BM39" s="300" t="s">
        <v>535</v>
      </c>
      <c r="BN39" s="330"/>
      <c r="BO39" s="330"/>
      <c r="BP39" s="303">
        <f t="shared" si="1"/>
        <v>0</v>
      </c>
    </row>
    <row r="40" spans="5:68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504</v>
      </c>
      <c r="AT40" s="327"/>
      <c r="AU40" s="327"/>
      <c r="AV40" s="327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327">
        <v>5.6077400000000006E-2</v>
      </c>
      <c r="BH40" s="328"/>
      <c r="BI40" s="329">
        <f t="shared" si="0"/>
        <v>5.6077400000000006E-2</v>
      </c>
      <c r="BJ40" s="132"/>
      <c r="BK40" s="132"/>
      <c r="BL40" s="203"/>
      <c r="BM40" s="300" t="s">
        <v>504</v>
      </c>
      <c r="BN40" s="330"/>
      <c r="BO40" s="330"/>
      <c r="BP40" s="303">
        <f t="shared" si="1"/>
        <v>0</v>
      </c>
    </row>
    <row r="41" spans="5:68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506</v>
      </c>
      <c r="AT41" s="327"/>
      <c r="AU41" s="327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27"/>
      <c r="BH41" s="335"/>
      <c r="BI41" s="329">
        <f t="shared" si="0"/>
        <v>0</v>
      </c>
      <c r="BJ41" s="132"/>
      <c r="BK41" s="132"/>
      <c r="BL41" s="203"/>
      <c r="BM41" s="300" t="s">
        <v>506</v>
      </c>
      <c r="BN41" s="330"/>
      <c r="BO41" s="330">
        <v>4.0304400000000004E-2</v>
      </c>
      <c r="BP41" s="303">
        <f t="shared" si="1"/>
        <v>4.0304400000000004E-2</v>
      </c>
    </row>
    <row r="42" spans="5:68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505</v>
      </c>
      <c r="AT42" s="327"/>
      <c r="AU42" s="327"/>
      <c r="AV42" s="327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327"/>
      <c r="BH42" s="328"/>
      <c r="BI42" s="329">
        <f t="shared" si="0"/>
        <v>0</v>
      </c>
      <c r="BJ42" s="132"/>
      <c r="BK42" s="132"/>
      <c r="BL42" s="203"/>
      <c r="BM42" s="300" t="s">
        <v>505</v>
      </c>
      <c r="BN42" s="330"/>
      <c r="BO42" s="330">
        <v>9.0038560000000004E-2</v>
      </c>
      <c r="BP42" s="303">
        <f t="shared" si="1"/>
        <v>9.0038560000000004E-2</v>
      </c>
    </row>
    <row r="43" spans="5:68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600</v>
      </c>
      <c r="AT43" s="327"/>
      <c r="AU43" s="327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27">
        <v>217.63525920401193</v>
      </c>
      <c r="BH43" s="328"/>
      <c r="BI43" s="329">
        <f t="shared" si="0"/>
        <v>217.63525920401193</v>
      </c>
      <c r="BJ43" s="132"/>
      <c r="BK43" s="132"/>
      <c r="BL43" s="203"/>
      <c r="BM43" s="300" t="s">
        <v>600</v>
      </c>
      <c r="BN43" s="330"/>
      <c r="BO43" s="330"/>
      <c r="BP43" s="303">
        <f t="shared" si="1"/>
        <v>0</v>
      </c>
    </row>
    <row r="44" spans="5:68" ht="15.6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501</v>
      </c>
      <c r="AT44" s="327"/>
      <c r="AU44" s="327"/>
      <c r="AV44" s="327"/>
      <c r="AW44" s="327"/>
      <c r="AX44" s="327"/>
      <c r="AY44" s="327"/>
      <c r="AZ44" s="327"/>
      <c r="BA44" s="327"/>
      <c r="BB44" s="327"/>
      <c r="BC44" s="327"/>
      <c r="BD44" s="327"/>
      <c r="BE44" s="327">
        <v>0.12416072</v>
      </c>
      <c r="BF44" s="327"/>
      <c r="BG44" s="327"/>
      <c r="BH44" s="328"/>
      <c r="BI44" s="329">
        <f t="shared" si="0"/>
        <v>0.12416072</v>
      </c>
      <c r="BJ44" s="132"/>
      <c r="BK44" s="132"/>
      <c r="BL44" s="249"/>
      <c r="BM44" s="300" t="s">
        <v>501</v>
      </c>
      <c r="BN44" s="330"/>
      <c r="BO44" s="330"/>
      <c r="BP44" s="303">
        <f t="shared" si="1"/>
        <v>0</v>
      </c>
    </row>
    <row r="45" spans="5:68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671</v>
      </c>
      <c r="AT45" s="327"/>
      <c r="AU45" s="327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27"/>
      <c r="BH45" s="328"/>
      <c r="BI45" s="329">
        <f t="shared" si="0"/>
        <v>0</v>
      </c>
      <c r="BJ45" s="132"/>
      <c r="BK45" s="132"/>
      <c r="BL45" s="203"/>
      <c r="BM45" s="300" t="s">
        <v>671</v>
      </c>
      <c r="BN45" s="330"/>
      <c r="BO45" s="330">
        <v>1.445899</v>
      </c>
      <c r="BP45" s="303">
        <f t="shared" si="1"/>
        <v>1.445899</v>
      </c>
    </row>
    <row r="46" spans="5:68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500</v>
      </c>
      <c r="AT46" s="327"/>
      <c r="AU46" s="327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27"/>
      <c r="BH46" s="328"/>
      <c r="BI46" s="329">
        <f t="shared" si="0"/>
        <v>0</v>
      </c>
      <c r="BJ46" s="132"/>
      <c r="BK46" s="132"/>
      <c r="BL46" s="300"/>
      <c r="BM46" s="300" t="s">
        <v>500</v>
      </c>
      <c r="BN46" s="330"/>
      <c r="BO46" s="330">
        <v>0.57429051399999997</v>
      </c>
      <c r="BP46" s="303">
        <f t="shared" si="1"/>
        <v>0.57429051399999997</v>
      </c>
    </row>
    <row r="47" spans="5:68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502</v>
      </c>
      <c r="AT47" s="327"/>
      <c r="AU47" s="327"/>
      <c r="AV47" s="327"/>
      <c r="AW47" s="327"/>
      <c r="AX47" s="327"/>
      <c r="AY47" s="327"/>
      <c r="AZ47" s="327"/>
      <c r="BA47" s="327"/>
      <c r="BB47" s="327"/>
      <c r="BC47" s="327"/>
      <c r="BD47" s="327"/>
      <c r="BE47" s="327"/>
      <c r="BF47" s="327"/>
      <c r="BG47" s="327"/>
      <c r="BH47" s="328"/>
      <c r="BI47" s="329">
        <f t="shared" si="0"/>
        <v>0</v>
      </c>
      <c r="BJ47" s="132"/>
      <c r="BK47" s="132"/>
      <c r="BL47" s="203"/>
      <c r="BM47" s="300" t="s">
        <v>502</v>
      </c>
      <c r="BN47" s="330"/>
      <c r="BO47" s="330">
        <v>9.0038560000000004E-2</v>
      </c>
      <c r="BP47" s="303">
        <f t="shared" si="1"/>
        <v>9.0038560000000004E-2</v>
      </c>
    </row>
    <row r="48" spans="5:68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634</v>
      </c>
      <c r="AT48" s="327"/>
      <c r="AU48" s="327"/>
      <c r="AV48" s="327"/>
      <c r="AW48" s="327"/>
      <c r="AX48" s="327"/>
      <c r="AY48" s="327"/>
      <c r="AZ48" s="327"/>
      <c r="BA48" s="327"/>
      <c r="BB48" s="327"/>
      <c r="BC48" s="327"/>
      <c r="BD48" s="327"/>
      <c r="BE48" s="327"/>
      <c r="BF48" s="327">
        <v>8.4139320000000004E-2</v>
      </c>
      <c r="BG48" s="327"/>
      <c r="BH48" s="335"/>
      <c r="BI48" s="329">
        <f t="shared" si="0"/>
        <v>8.4139320000000004E-2</v>
      </c>
      <c r="BJ48" s="132"/>
      <c r="BK48" s="132"/>
      <c r="BL48" s="203"/>
      <c r="BM48" s="300" t="s">
        <v>634</v>
      </c>
      <c r="BN48" s="330"/>
      <c r="BO48" s="330"/>
      <c r="BP48" s="303">
        <f t="shared" si="1"/>
        <v>0</v>
      </c>
    </row>
    <row r="49" spans="5:68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636</v>
      </c>
      <c r="AT49" s="327"/>
      <c r="AU49" s="327"/>
      <c r="AV49" s="327"/>
      <c r="AW49" s="327"/>
      <c r="AX49" s="327"/>
      <c r="AY49" s="327"/>
      <c r="AZ49" s="327"/>
      <c r="BA49" s="327"/>
      <c r="BB49" s="327"/>
      <c r="BC49" s="327"/>
      <c r="BD49" s="327"/>
      <c r="BE49" s="327"/>
      <c r="BF49" s="327"/>
      <c r="BG49" s="327"/>
      <c r="BH49" s="327">
        <v>8.4139320000000004E-2</v>
      </c>
      <c r="BI49" s="329">
        <f t="shared" si="0"/>
        <v>8.4139320000000004E-2</v>
      </c>
      <c r="BJ49" s="132"/>
      <c r="BK49" s="132"/>
      <c r="BL49" s="203"/>
      <c r="BM49" s="300" t="s">
        <v>636</v>
      </c>
      <c r="BN49" s="330">
        <v>8.4139320000000004E-2</v>
      </c>
      <c r="BO49" s="330"/>
      <c r="BP49" s="303">
        <f t="shared" si="1"/>
        <v>8.4139320000000004E-2</v>
      </c>
    </row>
    <row r="50" spans="5:68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524</v>
      </c>
      <c r="AT50" s="327"/>
      <c r="AU50" s="327"/>
      <c r="AV50" s="327"/>
      <c r="AW50" s="327"/>
      <c r="AX50" s="327"/>
      <c r="AY50" s="327"/>
      <c r="AZ50" s="327"/>
      <c r="BA50" s="327"/>
      <c r="BB50" s="327"/>
      <c r="BC50" s="327"/>
      <c r="BD50" s="327"/>
      <c r="BE50" s="327"/>
      <c r="BF50" s="327"/>
      <c r="BG50" s="327"/>
      <c r="BH50" s="334">
        <v>217.91110910401193</v>
      </c>
      <c r="BI50" s="329">
        <f t="shared" si="0"/>
        <v>217.91110910401193</v>
      </c>
      <c r="BJ50" s="132"/>
      <c r="BK50" s="132"/>
      <c r="BL50" s="203"/>
      <c r="BM50" s="300" t="s">
        <v>524</v>
      </c>
      <c r="BN50" s="330"/>
      <c r="BO50" s="330"/>
      <c r="BP50" s="303">
        <f t="shared" si="1"/>
        <v>0</v>
      </c>
    </row>
    <row r="51" spans="5:68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525</v>
      </c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9">
        <f t="shared" si="0"/>
        <v>0</v>
      </c>
      <c r="BJ51" s="132"/>
      <c r="BK51" s="132"/>
      <c r="BL51" s="203"/>
      <c r="BM51" s="300" t="s">
        <v>525</v>
      </c>
      <c r="BN51" s="330">
        <v>5.5844999999999999E-2</v>
      </c>
      <c r="BO51" s="330"/>
      <c r="BP51" s="303">
        <f t="shared" si="1"/>
        <v>5.5844999999999999E-2</v>
      </c>
    </row>
    <row r="52" spans="5:68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526</v>
      </c>
      <c r="AT52" s="337"/>
      <c r="AU52" s="337"/>
      <c r="AV52" s="337"/>
      <c r="AW52" s="337"/>
      <c r="AX52" s="337"/>
      <c r="AY52" s="337"/>
      <c r="AZ52" s="337"/>
      <c r="BA52" s="337"/>
      <c r="BB52" s="337"/>
      <c r="BC52" s="337"/>
      <c r="BD52" s="337"/>
      <c r="BE52" s="337"/>
      <c r="BF52" s="337"/>
      <c r="BG52" s="337"/>
      <c r="BH52" s="338"/>
      <c r="BI52" s="329">
        <f t="shared" si="0"/>
        <v>0</v>
      </c>
      <c r="BJ52" s="132"/>
      <c r="BK52" s="132"/>
      <c r="BL52" s="132"/>
      <c r="BM52" s="339" t="s">
        <v>526</v>
      </c>
      <c r="BN52" s="340"/>
      <c r="BO52" s="240">
        <v>0.15410336000000002</v>
      </c>
      <c r="BP52" s="303">
        <f t="shared" si="1"/>
        <v>0.15410336000000002</v>
      </c>
    </row>
    <row r="53" spans="5:68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536</v>
      </c>
      <c r="AT53" s="341"/>
      <c r="AU53" s="341"/>
      <c r="AV53" s="341"/>
      <c r="AW53" s="341"/>
      <c r="AX53" s="341"/>
      <c r="AY53" s="341"/>
      <c r="AZ53" s="341"/>
      <c r="BA53" s="341"/>
      <c r="BB53" s="341"/>
      <c r="BC53" s="341"/>
      <c r="BD53" s="341"/>
      <c r="BE53" s="341"/>
      <c r="BF53" s="341"/>
      <c r="BG53" s="341"/>
      <c r="BH53" s="341"/>
      <c r="BI53" s="329">
        <f t="shared" si="0"/>
        <v>0</v>
      </c>
      <c r="BJ53" s="132"/>
      <c r="BK53" s="132"/>
      <c r="BL53" s="132"/>
      <c r="BM53" s="339" t="s">
        <v>536</v>
      </c>
      <c r="BN53" s="340"/>
      <c r="BO53" s="240">
        <v>0.11616169999999999</v>
      </c>
      <c r="BP53" s="303">
        <f t="shared" si="1"/>
        <v>0.11616169999999999</v>
      </c>
    </row>
    <row r="54" spans="5:68">
      <c r="E54" s="132"/>
      <c r="F54" s="441"/>
      <c r="G54" s="441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203"/>
      <c r="AK54" s="342"/>
      <c r="AL54" s="342"/>
      <c r="AM54" s="342"/>
      <c r="AN54" s="342"/>
      <c r="AO54" s="342"/>
      <c r="AP54" s="342"/>
      <c r="AQ54" s="342"/>
      <c r="AR54" s="132"/>
      <c r="AS54" s="132"/>
      <c r="AT54" s="442" t="s">
        <v>404</v>
      </c>
      <c r="AU54" s="443"/>
      <c r="AV54" s="443"/>
      <c r="AW54" s="443"/>
      <c r="AX54" s="443"/>
      <c r="AY54" s="443"/>
      <c r="AZ54" s="443"/>
      <c r="BA54" s="443"/>
      <c r="BB54" s="443"/>
      <c r="BC54" s="443"/>
      <c r="BD54" s="443"/>
      <c r="BE54" s="443"/>
      <c r="BF54" s="443"/>
      <c r="BG54" s="443"/>
      <c r="BH54" s="443"/>
      <c r="BI54" s="343" t="s">
        <v>445</v>
      </c>
      <c r="BJ54" s="132"/>
      <c r="BK54" s="132"/>
      <c r="BL54" s="132"/>
      <c r="BM54" s="336"/>
      <c r="BN54" s="440" t="s">
        <v>406</v>
      </c>
      <c r="BO54" s="440">
        <v>-89.61</v>
      </c>
      <c r="BP54" s="169" t="s">
        <v>457</v>
      </c>
    </row>
    <row r="55" spans="5:68">
      <c r="AQ55" s="132"/>
      <c r="AR55" s="132"/>
      <c r="AS55" s="132"/>
      <c r="AT55" s="344">
        <f>SUM(AT18:AT53)</f>
        <v>0.70629643999999991</v>
      </c>
      <c r="AU55" s="344">
        <f t="shared" ref="AU55:BH55" si="2">SUM(AU18:AU53)</f>
        <v>0.52595921999999995</v>
      </c>
      <c r="AV55" s="344">
        <f t="shared" si="2"/>
        <v>754.56438097660657</v>
      </c>
      <c r="AW55" s="344">
        <f t="shared" si="2"/>
        <v>0.47896953999999997</v>
      </c>
      <c r="AX55" s="344">
        <f t="shared" si="2"/>
        <v>0.18440139999999999</v>
      </c>
      <c r="AY55" s="344">
        <f t="shared" si="2"/>
        <v>754.33705407660659</v>
      </c>
      <c r="AZ55" s="344">
        <f t="shared" si="2"/>
        <v>0.47896953999999997</v>
      </c>
      <c r="BA55" s="344">
        <f t="shared" si="2"/>
        <v>0.18440139999999999</v>
      </c>
      <c r="BB55" s="344">
        <f t="shared" si="2"/>
        <v>754.33705407660659</v>
      </c>
      <c r="BC55" s="344">
        <f t="shared" si="2"/>
        <v>0.26045644000000001</v>
      </c>
      <c r="BD55" s="344">
        <f t="shared" si="2"/>
        <v>754.41310911660662</v>
      </c>
      <c r="BE55" s="344">
        <f t="shared" si="2"/>
        <v>0.12416072</v>
      </c>
      <c r="BF55" s="344">
        <f t="shared" si="2"/>
        <v>8.4139320000000004E-2</v>
      </c>
      <c r="BG55" s="344">
        <f t="shared" si="2"/>
        <v>217.91110910401193</v>
      </c>
      <c r="BH55" s="344">
        <f t="shared" si="2"/>
        <v>218.21157226401192</v>
      </c>
      <c r="BJ55" s="132"/>
      <c r="BK55" s="132"/>
      <c r="BL55" s="132"/>
      <c r="BM55" s="132"/>
      <c r="BN55" s="336"/>
      <c r="BO55" s="132"/>
    </row>
    <row r="56" spans="5:68" ht="228">
      <c r="E56" s="289"/>
      <c r="F56" s="204" t="s">
        <v>409</v>
      </c>
      <c r="G56" s="204" t="s">
        <v>411</v>
      </c>
      <c r="H56" s="204" t="s">
        <v>412</v>
      </c>
      <c r="I56" s="204" t="s">
        <v>431</v>
      </c>
      <c r="J56" s="204" t="s">
        <v>453</v>
      </c>
      <c r="K56" s="204" t="s">
        <v>545</v>
      </c>
      <c r="L56" s="204" t="s">
        <v>546</v>
      </c>
      <c r="M56" s="204" t="s">
        <v>490</v>
      </c>
      <c r="N56" s="204" t="s">
        <v>538</v>
      </c>
      <c r="O56" s="345" t="s">
        <v>521</v>
      </c>
      <c r="P56" s="346" t="s">
        <v>488</v>
      </c>
      <c r="Q56" s="345" t="s">
        <v>491</v>
      </c>
      <c r="R56" s="346" t="s">
        <v>516</v>
      </c>
      <c r="S56" s="207" t="s">
        <v>509</v>
      </c>
      <c r="T56" s="346" t="s">
        <v>495</v>
      </c>
      <c r="U56" s="345" t="s">
        <v>520</v>
      </c>
      <c r="V56" s="345" t="s">
        <v>515</v>
      </c>
      <c r="W56" s="345" t="s">
        <v>512</v>
      </c>
      <c r="X56" s="345" t="s">
        <v>518</v>
      </c>
      <c r="Y56" s="207" t="s">
        <v>517</v>
      </c>
      <c r="Z56" s="207" t="s">
        <v>503</v>
      </c>
      <c r="AA56" s="207" t="s">
        <v>535</v>
      </c>
      <c r="AB56" s="207" t="s">
        <v>504</v>
      </c>
      <c r="AC56" s="207" t="s">
        <v>506</v>
      </c>
      <c r="AD56" s="207" t="s">
        <v>505</v>
      </c>
      <c r="AE56" s="207" t="s">
        <v>600</v>
      </c>
      <c r="AF56" s="229" t="s">
        <v>501</v>
      </c>
      <c r="AG56" s="229" t="s">
        <v>671</v>
      </c>
      <c r="AH56" s="207" t="s">
        <v>500</v>
      </c>
      <c r="AI56" s="346" t="s">
        <v>502</v>
      </c>
      <c r="AJ56" s="207" t="s">
        <v>634</v>
      </c>
      <c r="AK56" s="207" t="s">
        <v>636</v>
      </c>
      <c r="AL56" s="207" t="s">
        <v>524</v>
      </c>
      <c r="AM56" s="207" t="s">
        <v>525</v>
      </c>
      <c r="AN56" s="207" t="s">
        <v>526</v>
      </c>
      <c r="AO56" s="207" t="s">
        <v>536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>
      <c r="E57" s="300" t="s">
        <v>401</v>
      </c>
      <c r="F57" s="227"/>
      <c r="G57" s="227"/>
      <c r="H57" s="227"/>
      <c r="I57" s="227"/>
      <c r="J57" s="227"/>
      <c r="K57" s="227"/>
      <c r="L57" s="227"/>
      <c r="M57" s="227"/>
      <c r="N57" s="227"/>
      <c r="O57" s="327">
        <v>0.47896953999999997</v>
      </c>
      <c r="P57" s="327">
        <v>9.0038560000000004E-2</v>
      </c>
      <c r="Q57" s="327"/>
      <c r="R57" s="327"/>
      <c r="S57" s="327"/>
      <c r="T57" s="327"/>
      <c r="U57" s="327"/>
      <c r="V57" s="327"/>
      <c r="W57" s="327"/>
      <c r="X57" s="327"/>
      <c r="Y57" s="327"/>
      <c r="Z57" s="327"/>
      <c r="AA57" s="327"/>
      <c r="AB57" s="327"/>
      <c r="AC57" s="327"/>
      <c r="AD57" s="327"/>
      <c r="AE57" s="327"/>
      <c r="AF57" s="327"/>
      <c r="AG57" s="327"/>
      <c r="AH57" s="327"/>
      <c r="AI57" s="327"/>
      <c r="AJ57" s="327"/>
      <c r="AK57" s="327"/>
      <c r="AL57" s="327"/>
      <c r="AM57" s="327"/>
      <c r="AN57" s="327"/>
      <c r="AO57" s="32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>
      <c r="E58" s="300" t="s">
        <v>402</v>
      </c>
      <c r="F58" s="227"/>
      <c r="G58" s="227"/>
      <c r="H58" s="227"/>
      <c r="I58" s="227"/>
      <c r="J58" s="227"/>
      <c r="K58" s="227"/>
      <c r="L58" s="227"/>
      <c r="M58" s="227"/>
      <c r="N58" s="227"/>
      <c r="O58" s="327"/>
      <c r="P58" s="327"/>
      <c r="Q58" s="327">
        <v>0.18440139999999999</v>
      </c>
      <c r="R58" s="327">
        <v>9.0038560000000004E-2</v>
      </c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  <c r="AE58" s="327"/>
      <c r="AF58" s="327"/>
      <c r="AG58" s="327"/>
      <c r="AH58" s="327"/>
      <c r="AI58" s="327"/>
      <c r="AJ58" s="327"/>
      <c r="AK58" s="327"/>
      <c r="AL58" s="327"/>
      <c r="AM58" s="327"/>
      <c r="AN58" s="327"/>
      <c r="AO58" s="327"/>
      <c r="AP58" s="301">
        <f t="shared" ref="AP58:AP71" si="3">SUM(F58:AO58)</f>
        <v>0.27443995999999998</v>
      </c>
      <c r="AQ58" s="132"/>
      <c r="AR58" s="132"/>
      <c r="AS58" s="132"/>
      <c r="AT58" s="336"/>
      <c r="AU58" s="336"/>
      <c r="AV58" s="336"/>
      <c r="AW58" s="336"/>
      <c r="AX58" s="336"/>
      <c r="AY58" s="336"/>
      <c r="AZ58" s="336"/>
      <c r="BA58" s="336"/>
      <c r="BB58" s="336"/>
      <c r="BC58" s="336"/>
      <c r="BD58" s="336"/>
      <c r="BE58" s="336"/>
      <c r="BF58" s="336"/>
      <c r="BG58" s="336"/>
      <c r="BH58" s="132"/>
      <c r="BI58" s="132"/>
      <c r="BJ58" s="132"/>
      <c r="BK58" s="132"/>
      <c r="BL58" s="132"/>
      <c r="BM58" s="336"/>
      <c r="BN58" s="336"/>
      <c r="BO58" s="132"/>
    </row>
    <row r="59" spans="5:68">
      <c r="E59" s="300" t="s">
        <v>403</v>
      </c>
      <c r="F59" s="227"/>
      <c r="G59" s="227"/>
      <c r="H59" s="227"/>
      <c r="I59" s="227"/>
      <c r="J59" s="227"/>
      <c r="K59" s="227"/>
      <c r="L59" s="227"/>
      <c r="M59" s="227"/>
      <c r="N59" s="227"/>
      <c r="O59" s="327"/>
      <c r="P59" s="327"/>
      <c r="Q59" s="327"/>
      <c r="R59" s="327"/>
      <c r="S59" s="327">
        <v>754.33705407660659</v>
      </c>
      <c r="T59" s="327">
        <v>9.0038560000000004E-2</v>
      </c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  <c r="AE59" s="327"/>
      <c r="AF59" s="327"/>
      <c r="AG59" s="327"/>
      <c r="AH59" s="327"/>
      <c r="AI59" s="327"/>
      <c r="AJ59" s="327"/>
      <c r="AK59" s="327"/>
      <c r="AL59" s="327"/>
      <c r="AM59" s="327"/>
      <c r="AN59" s="327"/>
      <c r="AO59" s="327"/>
      <c r="AP59" s="301">
        <f t="shared" si="3"/>
        <v>754.42709263660663</v>
      </c>
      <c r="AQ59" s="132"/>
      <c r="AR59" s="132"/>
      <c r="AS59" s="132"/>
      <c r="AT59" s="336"/>
      <c r="AU59" s="336"/>
      <c r="AV59" s="336"/>
      <c r="AW59" s="336"/>
      <c r="AX59" s="336"/>
      <c r="AY59" s="336"/>
      <c r="AZ59" s="336"/>
      <c r="BA59" s="336"/>
      <c r="BB59" s="336"/>
      <c r="BC59" s="336"/>
      <c r="BD59" s="336"/>
      <c r="BE59" s="336"/>
      <c r="BF59" s="336"/>
      <c r="BG59" s="336"/>
      <c r="BH59" s="132"/>
      <c r="BI59" s="132"/>
      <c r="BJ59" s="132"/>
      <c r="BK59" s="132"/>
      <c r="BL59" s="132"/>
      <c r="BM59" s="336"/>
      <c r="BN59" s="336"/>
      <c r="BO59" s="132"/>
    </row>
    <row r="60" spans="5:68">
      <c r="E60" s="300" t="s">
        <v>534</v>
      </c>
      <c r="F60" s="227"/>
      <c r="G60" s="227"/>
      <c r="H60" s="227"/>
      <c r="I60" s="227"/>
      <c r="J60" s="227"/>
      <c r="K60" s="227"/>
      <c r="L60" s="227"/>
      <c r="M60" s="227"/>
      <c r="N60" s="227"/>
      <c r="O60" s="327"/>
      <c r="P60" s="327"/>
      <c r="Q60" s="327"/>
      <c r="R60" s="327"/>
      <c r="S60" s="327"/>
      <c r="T60" s="327"/>
      <c r="U60" s="327">
        <v>0.47896953999999997</v>
      </c>
      <c r="V60" s="327"/>
      <c r="W60" s="327"/>
      <c r="X60" s="327"/>
      <c r="Y60" s="327"/>
      <c r="Z60" s="327"/>
      <c r="AA60" s="327"/>
      <c r="AB60" s="327"/>
      <c r="AC60" s="327"/>
      <c r="AD60" s="327"/>
      <c r="AE60" s="327"/>
      <c r="AF60" s="327"/>
      <c r="AG60" s="327"/>
      <c r="AH60" s="327"/>
      <c r="AI60" s="327"/>
      <c r="AJ60" s="327"/>
      <c r="AK60" s="327"/>
      <c r="AL60" s="327"/>
      <c r="AM60" s="327"/>
      <c r="AN60" s="327"/>
      <c r="AO60" s="327"/>
      <c r="AP60" s="301">
        <f t="shared" si="3"/>
        <v>0.47896953999999997</v>
      </c>
      <c r="AQ60" s="132"/>
      <c r="AR60" s="132"/>
      <c r="AS60" s="132"/>
      <c r="AT60" s="336"/>
      <c r="AU60" s="336"/>
      <c r="AV60" s="336"/>
      <c r="AW60" s="336"/>
      <c r="AX60" s="336"/>
      <c r="AY60" s="336"/>
      <c r="AZ60" s="336"/>
      <c r="BA60" s="336"/>
      <c r="BB60" s="336"/>
      <c r="BC60" s="336"/>
      <c r="BD60" s="336"/>
      <c r="BE60" s="336"/>
      <c r="BF60" s="336"/>
      <c r="BG60" s="336"/>
      <c r="BH60" s="132"/>
      <c r="BI60" s="132"/>
      <c r="BJ60" s="132"/>
      <c r="BK60" s="132"/>
      <c r="BL60" s="132"/>
      <c r="BM60" s="336"/>
      <c r="BN60" s="336"/>
      <c r="BO60" s="132"/>
    </row>
    <row r="61" spans="5:68">
      <c r="E61" s="300" t="s">
        <v>514</v>
      </c>
      <c r="F61" s="227"/>
      <c r="G61" s="227"/>
      <c r="H61" s="227"/>
      <c r="I61" s="227"/>
      <c r="J61" s="227"/>
      <c r="K61" s="227"/>
      <c r="L61" s="227"/>
      <c r="M61" s="227"/>
      <c r="N61" s="227"/>
      <c r="O61" s="327"/>
      <c r="P61" s="327"/>
      <c r="Q61" s="327"/>
      <c r="R61" s="327"/>
      <c r="S61" s="327"/>
      <c r="T61" s="327"/>
      <c r="U61" s="327"/>
      <c r="V61" s="327">
        <v>0.18440139999999999</v>
      </c>
      <c r="W61" s="327"/>
      <c r="X61" s="327"/>
      <c r="Y61" s="327"/>
      <c r="Z61" s="327"/>
      <c r="AA61" s="327"/>
      <c r="AB61" s="327"/>
      <c r="AC61" s="327"/>
      <c r="AD61" s="327"/>
      <c r="AE61" s="327"/>
      <c r="AF61" s="327"/>
      <c r="AG61" s="327"/>
      <c r="AH61" s="327"/>
      <c r="AI61" s="327"/>
      <c r="AJ61" s="327"/>
      <c r="AK61" s="327"/>
      <c r="AL61" s="327"/>
      <c r="AM61" s="327"/>
      <c r="AN61" s="327"/>
      <c r="AO61" s="327"/>
      <c r="AP61" s="301">
        <f t="shared" si="3"/>
        <v>0.18440139999999999</v>
      </c>
      <c r="AQ61" s="132"/>
      <c r="AR61" s="132"/>
      <c r="AS61" s="132"/>
      <c r="AT61" s="336"/>
      <c r="AU61" s="336"/>
      <c r="AV61" s="336"/>
      <c r="AW61" s="336"/>
      <c r="AX61" s="336"/>
      <c r="AY61" s="336"/>
      <c r="AZ61" s="336"/>
      <c r="BA61" s="336"/>
      <c r="BB61" s="336"/>
      <c r="BC61" s="336"/>
      <c r="BD61" s="336"/>
      <c r="BE61" s="336"/>
      <c r="BF61" s="336"/>
      <c r="BG61" s="336"/>
      <c r="BH61" s="132"/>
      <c r="BI61" s="132"/>
      <c r="BJ61" s="132"/>
      <c r="BK61" s="132"/>
      <c r="BL61" s="132"/>
      <c r="BM61" s="336"/>
      <c r="BN61" s="336"/>
      <c r="BO61" s="132"/>
    </row>
    <row r="62" spans="5:68">
      <c r="E62" s="300" t="s">
        <v>513</v>
      </c>
      <c r="F62" s="227"/>
      <c r="G62" s="227"/>
      <c r="H62" s="227"/>
      <c r="I62" s="227"/>
      <c r="J62" s="227"/>
      <c r="K62" s="227"/>
      <c r="L62" s="227"/>
      <c r="M62" s="227"/>
      <c r="N62" s="227"/>
      <c r="O62" s="327"/>
      <c r="P62" s="327"/>
      <c r="Q62" s="327"/>
      <c r="R62" s="327"/>
      <c r="S62" s="327"/>
      <c r="T62" s="327"/>
      <c r="U62" s="327"/>
      <c r="V62" s="327"/>
      <c r="W62" s="327">
        <v>754.33705407660659</v>
      </c>
      <c r="X62" s="327"/>
      <c r="Y62" s="327"/>
      <c r="Z62" s="327"/>
      <c r="AA62" s="327"/>
      <c r="AB62" s="327"/>
      <c r="AC62" s="327"/>
      <c r="AD62" s="327"/>
      <c r="AE62" s="327"/>
      <c r="AF62" s="327"/>
      <c r="AG62" s="327"/>
      <c r="AH62" s="327"/>
      <c r="AI62" s="327"/>
      <c r="AJ62" s="327"/>
      <c r="AK62" s="327"/>
      <c r="AL62" s="327"/>
      <c r="AM62" s="327"/>
      <c r="AN62" s="327"/>
      <c r="AO62" s="327"/>
      <c r="AP62" s="301">
        <f t="shared" si="3"/>
        <v>754.33705407660659</v>
      </c>
      <c r="AQ62" s="132"/>
      <c r="AR62" s="132"/>
      <c r="AS62" s="132"/>
      <c r="AT62" s="336"/>
      <c r="AU62" s="336"/>
      <c r="AV62" s="336"/>
      <c r="AW62" s="336"/>
      <c r="AX62" s="336"/>
      <c r="AY62" s="336"/>
      <c r="AZ62" s="336"/>
      <c r="BA62" s="336"/>
      <c r="BB62" s="336"/>
      <c r="BC62" s="336"/>
      <c r="BD62" s="336"/>
      <c r="BE62" s="336"/>
      <c r="BF62" s="336"/>
      <c r="BG62" s="336"/>
      <c r="BH62" s="132"/>
      <c r="BI62" s="132"/>
      <c r="BJ62" s="132"/>
      <c r="BK62" s="132"/>
      <c r="BL62" s="132"/>
      <c r="BM62" s="336"/>
      <c r="BN62" s="336"/>
      <c r="BO62" s="132"/>
    </row>
    <row r="63" spans="5:68">
      <c r="E63" s="300" t="s">
        <v>427</v>
      </c>
      <c r="F63" s="227"/>
      <c r="G63" s="227"/>
      <c r="H63" s="227"/>
      <c r="I63" s="227"/>
      <c r="J63" s="227"/>
      <c r="K63" s="227"/>
      <c r="L63" s="227"/>
      <c r="M63" s="227"/>
      <c r="N63" s="227"/>
      <c r="O63" s="327"/>
      <c r="P63" s="327"/>
      <c r="Q63" s="327"/>
      <c r="R63" s="327"/>
      <c r="S63" s="327"/>
      <c r="T63" s="327"/>
      <c r="U63" s="327"/>
      <c r="V63" s="327"/>
      <c r="W63" s="327"/>
      <c r="X63" s="327">
        <v>0.21977250000000001</v>
      </c>
      <c r="Y63" s="327">
        <v>0.25919703999999999</v>
      </c>
      <c r="Z63" s="327"/>
      <c r="AA63" s="327"/>
      <c r="AB63" s="327"/>
      <c r="AC63" s="327"/>
      <c r="AD63" s="327"/>
      <c r="AE63" s="327"/>
      <c r="AF63" s="327"/>
      <c r="AG63" s="327"/>
      <c r="AH63" s="327"/>
      <c r="AI63" s="327"/>
      <c r="AJ63" s="327"/>
      <c r="AK63" s="327"/>
      <c r="AL63" s="327"/>
      <c r="AM63" s="327"/>
      <c r="AN63" s="327"/>
      <c r="AO63" s="327"/>
      <c r="AP63" s="301">
        <f t="shared" si="3"/>
        <v>0.47896954000000003</v>
      </c>
      <c r="AQ63" s="132"/>
      <c r="AR63" s="132"/>
      <c r="AS63" s="132"/>
      <c r="AT63" s="336"/>
      <c r="AU63" s="336"/>
      <c r="AV63" s="336"/>
      <c r="AW63" s="336"/>
      <c r="AX63" s="336"/>
      <c r="AY63" s="336"/>
      <c r="AZ63" s="336"/>
      <c r="BA63" s="336"/>
      <c r="BB63" s="336"/>
      <c r="BC63" s="336"/>
      <c r="BD63" s="336"/>
      <c r="BE63" s="336"/>
      <c r="BF63" s="336"/>
      <c r="BG63" s="336"/>
      <c r="BH63" s="132"/>
      <c r="BI63" s="132"/>
      <c r="BJ63" s="132"/>
      <c r="BK63" s="132"/>
      <c r="BL63" s="132"/>
      <c r="BM63" s="336"/>
      <c r="BN63" s="336"/>
      <c r="BO63" s="132"/>
    </row>
    <row r="64" spans="5:68">
      <c r="E64" s="300" t="s">
        <v>424</v>
      </c>
      <c r="F64" s="227"/>
      <c r="G64" s="227"/>
      <c r="H64" s="227"/>
      <c r="I64" s="227"/>
      <c r="J64" s="227"/>
      <c r="K64" s="227"/>
      <c r="L64" s="227"/>
      <c r="M64" s="227"/>
      <c r="N64" s="2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>
        <v>0.18440139999999999</v>
      </c>
      <c r="AA64" s="327"/>
      <c r="AB64" s="327"/>
      <c r="AC64" s="327"/>
      <c r="AD64" s="327"/>
      <c r="AE64" s="327"/>
      <c r="AF64" s="327"/>
      <c r="AG64" s="327"/>
      <c r="AH64" s="327"/>
      <c r="AI64" s="327"/>
      <c r="AJ64" s="327"/>
      <c r="AK64" s="327"/>
      <c r="AL64" s="327"/>
      <c r="AM64" s="327"/>
      <c r="AN64" s="327"/>
      <c r="AO64" s="327"/>
      <c r="AP64" s="301">
        <f t="shared" si="3"/>
        <v>0.18440139999999999</v>
      </c>
      <c r="AQ64" s="132"/>
      <c r="AR64" s="132"/>
      <c r="AS64" s="132"/>
      <c r="AT64" s="336"/>
      <c r="AU64" s="336"/>
      <c r="AV64" s="336"/>
      <c r="AW64" s="336"/>
      <c r="AX64" s="336"/>
      <c r="AY64" s="336"/>
      <c r="AZ64" s="336"/>
      <c r="BA64" s="336"/>
      <c r="BB64" s="336"/>
      <c r="BC64" s="336"/>
      <c r="BD64" s="336"/>
      <c r="BE64" s="336"/>
      <c r="BF64" s="336"/>
      <c r="BG64" s="336"/>
      <c r="BH64" s="132"/>
      <c r="BI64" s="132"/>
      <c r="BJ64" s="132"/>
      <c r="BK64" s="132"/>
      <c r="BL64" s="132"/>
      <c r="BM64" s="336"/>
      <c r="BN64" s="336"/>
      <c r="BO64" s="132"/>
    </row>
    <row r="65" spans="5:67">
      <c r="E65" s="300" t="s">
        <v>438</v>
      </c>
      <c r="F65" s="227"/>
      <c r="G65" s="227"/>
      <c r="H65" s="227"/>
      <c r="I65" s="227"/>
      <c r="J65" s="227"/>
      <c r="K65" s="227"/>
      <c r="L65" s="227"/>
      <c r="M65" s="227"/>
      <c r="N65" s="227"/>
      <c r="O65" s="327"/>
      <c r="P65" s="327"/>
      <c r="Q65" s="327"/>
      <c r="R65" s="327"/>
      <c r="S65" s="327"/>
      <c r="T65" s="327"/>
      <c r="U65" s="327"/>
      <c r="V65" s="327"/>
      <c r="W65" s="327"/>
      <c r="X65" s="327"/>
      <c r="Y65" s="327"/>
      <c r="Z65" s="327"/>
      <c r="AA65" s="327">
        <v>754.33705407660659</v>
      </c>
      <c r="AB65" s="327"/>
      <c r="AC65" s="327"/>
      <c r="AD65" s="327"/>
      <c r="AE65" s="327"/>
      <c r="AF65" s="327"/>
      <c r="AG65" s="327"/>
      <c r="AH65" s="327"/>
      <c r="AI65" s="327"/>
      <c r="AJ65" s="327"/>
      <c r="AK65" s="327"/>
      <c r="AL65" s="327"/>
      <c r="AM65" s="327"/>
      <c r="AN65" s="327"/>
      <c r="AO65" s="327"/>
      <c r="AP65" s="301">
        <f t="shared" si="3"/>
        <v>754.33705407660659</v>
      </c>
      <c r="AQ65" s="132"/>
      <c r="AR65" s="132"/>
      <c r="AS65" s="132"/>
      <c r="AT65" s="336"/>
      <c r="AU65" s="336"/>
      <c r="AV65" s="336"/>
      <c r="AW65" s="336"/>
      <c r="AX65" s="336"/>
      <c r="AY65" s="336"/>
      <c r="AZ65" s="336"/>
      <c r="BA65" s="336"/>
      <c r="BB65" s="336"/>
      <c r="BC65" s="336"/>
      <c r="BD65" s="336"/>
      <c r="BE65" s="336"/>
      <c r="BF65" s="336"/>
      <c r="BG65" s="336"/>
      <c r="BH65" s="132"/>
      <c r="BI65" s="132"/>
      <c r="BJ65" s="132"/>
      <c r="BK65" s="132"/>
      <c r="BL65" s="132"/>
      <c r="BM65" s="336"/>
      <c r="BN65" s="336"/>
      <c r="BO65" s="132"/>
    </row>
    <row r="66" spans="5:67">
      <c r="E66" s="300" t="s">
        <v>425</v>
      </c>
      <c r="F66" s="227"/>
      <c r="G66" s="227"/>
      <c r="H66" s="227"/>
      <c r="I66" s="227"/>
      <c r="J66" s="227"/>
      <c r="K66" s="227"/>
      <c r="L66" s="227"/>
      <c r="M66" s="227"/>
      <c r="N66" s="227"/>
      <c r="O66" s="327"/>
      <c r="P66" s="327"/>
      <c r="Q66" s="327"/>
      <c r="R66" s="327"/>
      <c r="S66" s="327"/>
      <c r="T66" s="327"/>
      <c r="U66" s="327"/>
      <c r="V66" s="327"/>
      <c r="W66" s="327"/>
      <c r="X66" s="327"/>
      <c r="Y66" s="327"/>
      <c r="Z66" s="327"/>
      <c r="AA66" s="327"/>
      <c r="AB66" s="327">
        <v>5.6077400000000006E-2</v>
      </c>
      <c r="AC66" s="327">
        <v>4.0304400000000004E-2</v>
      </c>
      <c r="AD66" s="327">
        <v>9.0038560000000004E-2</v>
      </c>
      <c r="AE66" s="327"/>
      <c r="AF66" s="327"/>
      <c r="AG66" s="327"/>
      <c r="AH66" s="327"/>
      <c r="AI66" s="327"/>
      <c r="AJ66" s="327"/>
      <c r="AK66" s="327"/>
      <c r="AL66" s="327"/>
      <c r="AM66" s="327"/>
      <c r="AN66" s="327"/>
      <c r="AO66" s="327"/>
      <c r="AP66" s="301">
        <f t="shared" si="3"/>
        <v>0.18642036000000001</v>
      </c>
      <c r="AQ66" s="132"/>
      <c r="AR66" s="132"/>
      <c r="AS66" s="132"/>
      <c r="AT66" s="336"/>
      <c r="AU66" s="336"/>
      <c r="AV66" s="336"/>
      <c r="AW66" s="336"/>
      <c r="AX66" s="336"/>
      <c r="AY66" s="336"/>
      <c r="AZ66" s="336"/>
      <c r="BA66" s="336"/>
      <c r="BB66" s="336"/>
      <c r="BC66" s="336"/>
      <c r="BD66" s="336"/>
      <c r="BE66" s="336"/>
      <c r="BF66" s="336"/>
      <c r="BG66" s="336"/>
      <c r="BH66" s="132"/>
      <c r="BI66" s="132"/>
      <c r="BJ66" s="132"/>
      <c r="BK66" s="132"/>
      <c r="BL66" s="132"/>
      <c r="BM66" s="336"/>
      <c r="BN66" s="336"/>
      <c r="BO66" s="132"/>
    </row>
    <row r="67" spans="5:67">
      <c r="E67" s="300" t="s">
        <v>420</v>
      </c>
      <c r="F67" s="227"/>
      <c r="G67" s="227"/>
      <c r="H67" s="227"/>
      <c r="I67" s="227"/>
      <c r="J67" s="227"/>
      <c r="K67" s="227"/>
      <c r="L67" s="227"/>
      <c r="M67" s="227"/>
      <c r="N67" s="2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  <c r="AE67" s="327">
        <v>217.63525920401193</v>
      </c>
      <c r="AF67" s="327">
        <v>0.12416072</v>
      </c>
      <c r="AG67" s="327">
        <v>1.445899</v>
      </c>
      <c r="AH67" s="327">
        <v>0.57429051399999997</v>
      </c>
      <c r="AI67" s="327">
        <v>9.0038560000000004E-2</v>
      </c>
      <c r="AJ67" s="327"/>
      <c r="AK67" s="327"/>
      <c r="AL67" s="327"/>
      <c r="AM67" s="327"/>
      <c r="AN67" s="327"/>
      <c r="AO67" s="32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>
      <c r="E68" s="300" t="s">
        <v>633</v>
      </c>
      <c r="F68" s="227"/>
      <c r="G68" s="227"/>
      <c r="H68" s="227"/>
      <c r="I68" s="227"/>
      <c r="J68" s="227"/>
      <c r="K68" s="227"/>
      <c r="L68" s="227"/>
      <c r="M68" s="227"/>
      <c r="N68" s="227"/>
      <c r="O68" s="327"/>
      <c r="P68" s="327"/>
      <c r="Q68" s="327"/>
      <c r="R68" s="327"/>
      <c r="S68" s="327"/>
      <c r="T68" s="327"/>
      <c r="U68" s="327"/>
      <c r="V68" s="327"/>
      <c r="W68" s="327"/>
      <c r="X68" s="327"/>
      <c r="Y68" s="327"/>
      <c r="Z68" s="327"/>
      <c r="AA68" s="327"/>
      <c r="AB68" s="327"/>
      <c r="AC68" s="327"/>
      <c r="AD68" s="327"/>
      <c r="AE68" s="327"/>
      <c r="AF68" s="327"/>
      <c r="AG68" s="327"/>
      <c r="AH68" s="327"/>
      <c r="AI68" s="327"/>
      <c r="AJ68" s="327">
        <v>8.4139320000000004E-2</v>
      </c>
      <c r="AK68" s="327"/>
      <c r="AL68" s="327"/>
      <c r="AM68" s="327"/>
      <c r="AN68" s="327"/>
      <c r="AO68" s="32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>
      <c r="E69" s="300" t="s">
        <v>635</v>
      </c>
      <c r="F69" s="227"/>
      <c r="G69" s="227"/>
      <c r="H69" s="227"/>
      <c r="I69" s="227"/>
      <c r="J69" s="227"/>
      <c r="K69" s="227"/>
      <c r="L69" s="227"/>
      <c r="M69" s="227"/>
      <c r="N69" s="227"/>
      <c r="O69" s="327"/>
      <c r="P69" s="327"/>
      <c r="Q69" s="327"/>
      <c r="R69" s="327"/>
      <c r="S69" s="327"/>
      <c r="T69" s="327"/>
      <c r="U69" s="327"/>
      <c r="V69" s="327"/>
      <c r="W69" s="327"/>
      <c r="X69" s="327"/>
      <c r="Y69" s="327"/>
      <c r="Z69" s="327"/>
      <c r="AA69" s="327"/>
      <c r="AB69" s="327"/>
      <c r="AC69" s="327"/>
      <c r="AD69" s="327"/>
      <c r="AE69" s="327"/>
      <c r="AF69" s="327"/>
      <c r="AG69" s="327"/>
      <c r="AH69" s="327"/>
      <c r="AI69" s="327"/>
      <c r="AJ69" s="327"/>
      <c r="AK69" s="327">
        <v>8.4139320000000004E-2</v>
      </c>
      <c r="AL69" s="327"/>
      <c r="AM69" s="327"/>
      <c r="AN69" s="327"/>
      <c r="AO69" s="32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327"/>
      <c r="P70" s="327"/>
      <c r="Q70" s="327"/>
      <c r="R70" s="327"/>
      <c r="S70" s="327"/>
      <c r="T70" s="327"/>
      <c r="U70" s="327"/>
      <c r="V70" s="327"/>
      <c r="W70" s="327"/>
      <c r="X70" s="327"/>
      <c r="Y70" s="327"/>
      <c r="Z70" s="327"/>
      <c r="AA70" s="327"/>
      <c r="AB70" s="327"/>
      <c r="AC70" s="327"/>
      <c r="AD70" s="327"/>
      <c r="AE70" s="327"/>
      <c r="AF70" s="327"/>
      <c r="AG70" s="327"/>
      <c r="AH70" s="327"/>
      <c r="AI70" s="334"/>
      <c r="AJ70" s="327"/>
      <c r="AK70" s="327"/>
      <c r="AL70" s="334">
        <v>217.91110910401193</v>
      </c>
      <c r="AM70" s="327"/>
      <c r="AN70" s="327"/>
      <c r="AO70" s="32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>
      <c r="E71" s="300" t="s">
        <v>413</v>
      </c>
      <c r="F71" s="227"/>
      <c r="G71" s="227"/>
      <c r="H71" s="227"/>
      <c r="I71" s="239"/>
      <c r="J71" s="227"/>
      <c r="K71" s="227"/>
      <c r="L71" s="227"/>
      <c r="M71" s="227"/>
      <c r="N71" s="227"/>
      <c r="O71" s="327"/>
      <c r="P71" s="327"/>
      <c r="Q71" s="327"/>
      <c r="R71" s="327"/>
      <c r="S71" s="327"/>
      <c r="T71" s="327"/>
      <c r="U71" s="327"/>
      <c r="V71" s="327"/>
      <c r="W71" s="327"/>
      <c r="X71" s="327"/>
      <c r="Y71" s="327"/>
      <c r="Z71" s="327"/>
      <c r="AA71" s="327"/>
      <c r="AB71" s="327"/>
      <c r="AC71" s="327"/>
      <c r="AD71" s="347"/>
      <c r="AE71" s="327"/>
      <c r="AF71" s="327"/>
      <c r="AG71" s="327"/>
      <c r="AH71" s="327"/>
      <c r="AI71" s="327"/>
      <c r="AJ71" s="327"/>
      <c r="AK71" s="327"/>
      <c r="AL71" s="327"/>
      <c r="AM71" s="327">
        <v>5.5844999999999999E-2</v>
      </c>
      <c r="AN71" s="327">
        <v>0.15410336000000002</v>
      </c>
      <c r="AO71" s="32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>
      <c r="E72" s="300"/>
      <c r="F72" s="440" t="s">
        <v>405</v>
      </c>
      <c r="G72" s="440"/>
      <c r="H72" s="440"/>
      <c r="I72" s="440"/>
      <c r="J72" s="440"/>
      <c r="K72" s="440"/>
      <c r="L72" s="440"/>
      <c r="M72" s="440"/>
      <c r="N72" s="440"/>
      <c r="O72" s="440"/>
      <c r="P72" s="440"/>
      <c r="Q72" s="440"/>
      <c r="R72" s="440"/>
      <c r="S72" s="440"/>
      <c r="T72" s="440"/>
      <c r="U72" s="440"/>
      <c r="V72" s="440"/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440"/>
      <c r="AL72" s="440"/>
      <c r="AM72" s="440"/>
      <c r="AN72" s="440"/>
      <c r="AO72" s="440"/>
      <c r="AP72" s="336" t="s">
        <v>441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>
      <c r="E74" s="300"/>
      <c r="F74" s="440" t="s">
        <v>442</v>
      </c>
      <c r="G74" s="440"/>
      <c r="H74" s="440"/>
      <c r="I74" s="440"/>
      <c r="J74" s="440"/>
      <c r="K74" s="440"/>
      <c r="L74" s="440"/>
      <c r="M74" s="440"/>
      <c r="N74" s="440"/>
      <c r="O74" s="440"/>
      <c r="P74" s="440"/>
      <c r="Q74" s="440"/>
      <c r="R74" s="440"/>
      <c r="S74" s="440"/>
      <c r="T74" s="440"/>
      <c r="U74" s="440"/>
      <c r="V74" s="440"/>
      <c r="W74" s="440"/>
      <c r="X74" s="440"/>
      <c r="Y74" s="440"/>
      <c r="Z74" s="440"/>
      <c r="AA74" s="440"/>
      <c r="AB74" s="440"/>
      <c r="AC74" s="440"/>
      <c r="AD74" s="440"/>
      <c r="AE74" s="440"/>
      <c r="AF74" s="440"/>
      <c r="AG74" s="440"/>
      <c r="AH74" s="440"/>
      <c r="AI74" s="440"/>
      <c r="AJ74" s="440"/>
      <c r="AK74" s="440"/>
      <c r="AL74" s="440"/>
      <c r="AM74" s="440"/>
      <c r="AN74" s="440"/>
      <c r="AO74" s="440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28">
      <c r="E83" s="300"/>
      <c r="F83" s="346" t="s">
        <v>409</v>
      </c>
      <c r="G83" s="346" t="s">
        <v>411</v>
      </c>
      <c r="H83" s="346" t="s">
        <v>412</v>
      </c>
      <c r="I83" s="346" t="s">
        <v>431</v>
      </c>
      <c r="J83" s="346" t="s">
        <v>453</v>
      </c>
      <c r="K83" s="346" t="s">
        <v>545</v>
      </c>
      <c r="L83" s="346" t="s">
        <v>546</v>
      </c>
      <c r="M83" s="346" t="s">
        <v>490</v>
      </c>
      <c r="N83" s="346" t="s">
        <v>538</v>
      </c>
      <c r="O83" s="345" t="s">
        <v>521</v>
      </c>
      <c r="P83" s="346" t="s">
        <v>488</v>
      </c>
      <c r="Q83" s="345" t="s">
        <v>491</v>
      </c>
      <c r="R83" s="346" t="s">
        <v>516</v>
      </c>
      <c r="S83" s="207" t="s">
        <v>509</v>
      </c>
      <c r="T83" s="346" t="s">
        <v>495</v>
      </c>
      <c r="U83" s="345" t="s">
        <v>520</v>
      </c>
      <c r="V83" s="345" t="s">
        <v>515</v>
      </c>
      <c r="W83" s="345" t="s">
        <v>512</v>
      </c>
      <c r="X83" s="345" t="s">
        <v>518</v>
      </c>
      <c r="Y83" s="207" t="s">
        <v>517</v>
      </c>
      <c r="Z83" s="207" t="s">
        <v>503</v>
      </c>
      <c r="AA83" s="207" t="s">
        <v>535</v>
      </c>
      <c r="AB83" s="207" t="s">
        <v>504</v>
      </c>
      <c r="AC83" s="207" t="s">
        <v>506</v>
      </c>
      <c r="AD83" s="207" t="s">
        <v>505</v>
      </c>
      <c r="AE83" s="207" t="s">
        <v>600</v>
      </c>
      <c r="AF83" s="229" t="s">
        <v>501</v>
      </c>
      <c r="AG83" s="229" t="s">
        <v>671</v>
      </c>
      <c r="AH83" s="207" t="s">
        <v>500</v>
      </c>
      <c r="AI83" s="346" t="s">
        <v>502</v>
      </c>
      <c r="AJ83" s="207" t="s">
        <v>634</v>
      </c>
      <c r="AK83" s="207" t="s">
        <v>636</v>
      </c>
      <c r="AL83" s="207" t="s">
        <v>524</v>
      </c>
      <c r="AM83" s="207" t="s">
        <v>525</v>
      </c>
      <c r="AN83" s="207" t="s">
        <v>526</v>
      </c>
      <c r="AO83" s="207" t="s">
        <v>536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>
      <c r="E84" s="300" t="s">
        <v>408</v>
      </c>
      <c r="F84" s="348">
        <v>0.47896953999999997</v>
      </c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5.6">
      <c r="E85" s="332" t="s">
        <v>492</v>
      </c>
      <c r="F85" s="348"/>
      <c r="G85" s="348">
        <v>0.18440139999999999</v>
      </c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>
      <c r="E86" s="203" t="s">
        <v>432</v>
      </c>
      <c r="F86" s="348"/>
      <c r="G86" s="348"/>
      <c r="H86" s="348">
        <v>754.33705407660659</v>
      </c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>
      <c r="E87" s="300" t="s">
        <v>456</v>
      </c>
      <c r="F87" s="348"/>
      <c r="G87" s="348"/>
      <c r="H87" s="348"/>
      <c r="I87" s="349">
        <v>6.0012280000000001E-2</v>
      </c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5.6">
      <c r="E88" s="300" t="s">
        <v>452</v>
      </c>
      <c r="F88" s="348"/>
      <c r="G88" s="348"/>
      <c r="H88" s="348"/>
      <c r="I88" s="348"/>
      <c r="J88" s="350">
        <v>1.604276E-2</v>
      </c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>
      <c r="E89" s="300" t="s">
        <v>548</v>
      </c>
      <c r="F89" s="348"/>
      <c r="G89" s="348"/>
      <c r="H89" s="348"/>
      <c r="I89" s="348"/>
      <c r="J89" s="348"/>
      <c r="K89" s="348">
        <v>0.16731462</v>
      </c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>
      <c r="E90" s="300" t="s">
        <v>547</v>
      </c>
      <c r="F90" s="348"/>
      <c r="G90" s="348"/>
      <c r="H90" s="348"/>
      <c r="I90" s="348"/>
      <c r="J90" s="348"/>
      <c r="K90" s="348"/>
      <c r="L90" s="348">
        <v>0.11423092</v>
      </c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>
      <c r="E91" s="300" t="s">
        <v>489</v>
      </c>
      <c r="F91" s="348"/>
      <c r="G91" s="348"/>
      <c r="H91" s="348"/>
      <c r="I91" s="348"/>
      <c r="J91" s="348"/>
      <c r="K91" s="348"/>
      <c r="L91" s="348"/>
      <c r="M91" s="348">
        <v>0.1402688</v>
      </c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>
      <c r="E92" s="300" t="s">
        <v>537</v>
      </c>
      <c r="F92" s="348"/>
      <c r="G92" s="348"/>
      <c r="H92" s="348"/>
      <c r="I92" s="348"/>
      <c r="J92" s="348"/>
      <c r="K92" s="348"/>
      <c r="L92" s="348"/>
      <c r="M92" s="348"/>
      <c r="N92" s="348">
        <v>0</v>
      </c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>
      <c r="E93" s="132"/>
      <c r="F93" s="440" t="s">
        <v>57</v>
      </c>
      <c r="G93" s="440"/>
      <c r="H93" s="440"/>
      <c r="I93" s="440"/>
      <c r="J93" s="440"/>
      <c r="K93" s="440"/>
      <c r="L93" s="440"/>
      <c r="M93" s="440"/>
      <c r="N93" s="440"/>
      <c r="O93" s="440"/>
      <c r="P93" s="440"/>
      <c r="Q93" s="440"/>
      <c r="R93" s="440"/>
      <c r="S93" s="440"/>
      <c r="T93" s="440"/>
      <c r="U93" s="440"/>
      <c r="V93" s="440"/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440"/>
      <c r="AL93" s="440"/>
      <c r="AM93" s="440"/>
      <c r="AN93" s="440"/>
      <c r="AO93" s="440"/>
      <c r="AP93" s="33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defaultColWidth="11.5546875" defaultRowHeight="14.4"/>
  <sheetData>
    <row r="17" spans="5:68" ht="109.8">
      <c r="AT17" s="204" t="s">
        <v>401</v>
      </c>
      <c r="AU17" s="204" t="s">
        <v>402</v>
      </c>
      <c r="AV17" s="204" t="s">
        <v>403</v>
      </c>
      <c r="AW17" s="204" t="s">
        <v>534</v>
      </c>
      <c r="AX17" s="204" t="s">
        <v>514</v>
      </c>
      <c r="AY17" s="204" t="s">
        <v>513</v>
      </c>
      <c r="AZ17" s="204" t="s">
        <v>427</v>
      </c>
      <c r="BA17" s="204" t="s">
        <v>424</v>
      </c>
      <c r="BB17" s="204" t="s">
        <v>438</v>
      </c>
      <c r="BC17" s="204" t="s">
        <v>425</v>
      </c>
      <c r="BD17" s="204" t="s">
        <v>420</v>
      </c>
      <c r="BE17" s="204" t="s">
        <v>633</v>
      </c>
      <c r="BF17" s="204" t="s">
        <v>635</v>
      </c>
      <c r="BG17" s="204" t="s">
        <v>81</v>
      </c>
      <c r="BH17" s="204" t="s">
        <v>413</v>
      </c>
    </row>
    <row r="18" spans="5:68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409</v>
      </c>
      <c r="AT18" s="327">
        <f>MCC_M_RUVY_matrices_mat_level!AR83*MCC_h_RUVY_matrices_mat_level!AR83 /MCC_MW_RUVY_matrices_mat_level!AT18</f>
        <v>-1777985.4355511186</v>
      </c>
      <c r="AU18" s="327">
        <v>0</v>
      </c>
      <c r="AV18" s="327">
        <v>0</v>
      </c>
      <c r="AW18" s="327">
        <v>0</v>
      </c>
      <c r="AX18" s="327">
        <v>0</v>
      </c>
      <c r="AY18" s="327">
        <v>0</v>
      </c>
      <c r="AZ18" s="327">
        <v>0</v>
      </c>
      <c r="BA18" s="327">
        <v>0</v>
      </c>
      <c r="BB18" s="327">
        <v>0</v>
      </c>
      <c r="BC18" s="327">
        <v>0</v>
      </c>
      <c r="BD18" s="327">
        <v>0</v>
      </c>
      <c r="BE18" s="327">
        <v>0</v>
      </c>
      <c r="BF18" s="327">
        <v>0</v>
      </c>
      <c r="BG18" s="327">
        <v>0</v>
      </c>
      <c r="BH18" s="327">
        <v>0</v>
      </c>
      <c r="BI18" s="329">
        <f>SUM(AT18:BH18)</f>
        <v>-1777985.4355511186</v>
      </c>
      <c r="BJ18" s="132"/>
      <c r="BK18" s="132"/>
      <c r="BL18" s="300"/>
      <c r="BM18" s="300" t="s">
        <v>409</v>
      </c>
      <c r="BN18" s="330">
        <v>0</v>
      </c>
      <c r="BO18" s="330">
        <v>0</v>
      </c>
      <c r="BP18" s="303">
        <f>SUM(BN18:BO18)</f>
        <v>0</v>
      </c>
    </row>
    <row r="19" spans="5:68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411</v>
      </c>
      <c r="AT19" s="327">
        <v>0</v>
      </c>
      <c r="AU19" s="327">
        <f>MCC_M_RUVY_matrices_mat_level!AS84*MCC_h_RUVY_matrices_mat_level!AS84 /MCC_MW_RUVY_matrices_mat_level!AU19</f>
        <v>-1359457.7959575919</v>
      </c>
      <c r="AV19" s="327">
        <v>0</v>
      </c>
      <c r="AW19" s="327">
        <v>0</v>
      </c>
      <c r="AX19" s="327">
        <v>0</v>
      </c>
      <c r="AY19" s="327">
        <v>0</v>
      </c>
      <c r="AZ19" s="327">
        <v>0</v>
      </c>
      <c r="BA19" s="327">
        <v>0</v>
      </c>
      <c r="BB19" s="327">
        <v>0</v>
      </c>
      <c r="BC19" s="327">
        <v>0</v>
      </c>
      <c r="BD19" s="327">
        <v>0</v>
      </c>
      <c r="BE19" s="327">
        <v>0</v>
      </c>
      <c r="BF19" s="327">
        <v>0</v>
      </c>
      <c r="BG19" s="327">
        <v>0</v>
      </c>
      <c r="BH19" s="327">
        <v>0</v>
      </c>
      <c r="BI19" s="329">
        <f t="shared" ref="BI19:BI53" si="0">SUM(AT19:BH19)</f>
        <v>-1359457.7959575919</v>
      </c>
      <c r="BJ19" s="132"/>
      <c r="BK19" s="132"/>
      <c r="BL19" s="300"/>
      <c r="BM19" s="300" t="s">
        <v>411</v>
      </c>
      <c r="BN19" s="330">
        <v>0</v>
      </c>
      <c r="BO19" s="330">
        <v>0</v>
      </c>
      <c r="BP19" s="303">
        <f t="shared" ref="BP19:BP53" si="1">SUM(BN19:BO19)</f>
        <v>0</v>
      </c>
    </row>
    <row r="20" spans="5:68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412</v>
      </c>
      <c r="AT20" s="327">
        <v>0</v>
      </c>
      <c r="AU20" s="327">
        <v>0</v>
      </c>
      <c r="AV20" s="327">
        <f>MCC_M_RUVY_matrices_mat_level!AT85*MCC_h_RUVY_matrices_mat_level!AT85 /MCC_MW_RUVY_matrices_mat_level!AV20</f>
        <v>9126570.1860198174</v>
      </c>
      <c r="AW20" s="327">
        <v>0</v>
      </c>
      <c r="AX20" s="327">
        <v>0</v>
      </c>
      <c r="AY20" s="327">
        <v>0</v>
      </c>
      <c r="AZ20" s="327">
        <v>0</v>
      </c>
      <c r="BA20" s="327">
        <v>0</v>
      </c>
      <c r="BB20" s="327">
        <v>0</v>
      </c>
      <c r="BC20" s="327">
        <v>0</v>
      </c>
      <c r="BD20" s="327">
        <v>0</v>
      </c>
      <c r="BE20" s="327">
        <v>0</v>
      </c>
      <c r="BF20" s="327">
        <v>0</v>
      </c>
      <c r="BG20" s="327">
        <v>0</v>
      </c>
      <c r="BH20" s="327">
        <v>0</v>
      </c>
      <c r="BI20" s="329">
        <f t="shared" si="0"/>
        <v>9126570.1860198174</v>
      </c>
      <c r="BJ20" s="132"/>
      <c r="BK20" s="132"/>
      <c r="BL20" s="300"/>
      <c r="BM20" s="300" t="s">
        <v>412</v>
      </c>
      <c r="BN20" s="330">
        <v>0</v>
      </c>
      <c r="BO20" s="330">
        <v>0</v>
      </c>
      <c r="BP20" s="303">
        <f t="shared" si="1"/>
        <v>0</v>
      </c>
    </row>
    <row r="21" spans="5:68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431</v>
      </c>
      <c r="AT21" s="327">
        <f>MCC_M_RUVY_matrices_mat_level!AR86*MCC_h_RUVY_matrices_mat_level!AR86 /MCC_MW_RUVY_matrices_mat_level!AT21</f>
        <v>0</v>
      </c>
      <c r="AU21" s="327">
        <f>MCC_M_RUVY_matrices_mat_level!AS86*MCC_h_RUVY_matrices_mat_level!AS86 /MCC_MW_RUVY_matrices_mat_level!AU21</f>
        <v>0</v>
      </c>
      <c r="AV21" s="327">
        <f>MCC_M_RUVY_matrices_mat_level!AT86*MCC_h_RUVY_matrices_mat_level!AT86 /MCC_MW_RUVY_matrices_mat_level!AV21</f>
        <v>0</v>
      </c>
      <c r="AW21" s="327">
        <v>0</v>
      </c>
      <c r="AX21" s="327">
        <v>0</v>
      </c>
      <c r="AY21" s="327">
        <v>0</v>
      </c>
      <c r="AZ21" s="327">
        <v>0</v>
      </c>
      <c r="BA21" s="327">
        <v>0</v>
      </c>
      <c r="BB21" s="327">
        <v>0</v>
      </c>
      <c r="BC21" s="327">
        <f>MCC_M_RUVY_matrices_mat_level!BA86*MCC_h_RUVY_matrices_mat_level!BA86 /MCC_MW_RUVY_matrices_mat_level!BC21</f>
        <v>0</v>
      </c>
      <c r="BD21" s="327">
        <f>MCC_M_RUVY_matrices_mat_level!BB86*MCC_h_RUVY_matrices_mat_level!BB86 /MCC_MW_RUVY_matrices_mat_level!BD21</f>
        <v>0</v>
      </c>
      <c r="BE21" s="327">
        <v>0</v>
      </c>
      <c r="BF21" s="327">
        <v>0</v>
      </c>
      <c r="BG21" s="327">
        <v>0</v>
      </c>
      <c r="BH21" s="327">
        <f>MCC_M_RUVY_matrices_mat_level!BF86*MCC_h_RUVY_matrices_mat_level!BF86 /MCC_MW_RUVY_matrices_mat_level!BH21</f>
        <v>0</v>
      </c>
      <c r="BI21" s="329">
        <f t="shared" si="0"/>
        <v>0</v>
      </c>
      <c r="BJ21" s="132"/>
      <c r="BK21" s="132"/>
      <c r="BL21" s="300"/>
      <c r="BM21" s="300" t="s">
        <v>431</v>
      </c>
      <c r="BN21" s="330">
        <v>0</v>
      </c>
      <c r="BO21" s="330">
        <v>0</v>
      </c>
      <c r="BP21" s="303">
        <f t="shared" si="1"/>
        <v>0</v>
      </c>
    </row>
    <row r="22" spans="5:68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453</v>
      </c>
      <c r="AT22" s="327">
        <v>0</v>
      </c>
      <c r="AU22" s="327">
        <v>0</v>
      </c>
      <c r="AV22" s="327">
        <v>0</v>
      </c>
      <c r="AW22" s="327">
        <v>0</v>
      </c>
      <c r="AX22" s="327">
        <v>0</v>
      </c>
      <c r="AY22" s="327">
        <v>0</v>
      </c>
      <c r="AZ22" s="327">
        <v>0</v>
      </c>
      <c r="BA22" s="327">
        <v>0</v>
      </c>
      <c r="BB22" s="327">
        <v>0</v>
      </c>
      <c r="BC22" s="327">
        <f>MCC_M_RUVY_matrices_mat_level!BA87*MCC_h_RUVY_matrices_mat_level!BA87 /MCC_MW_RUVY_matrices_mat_level!BC22</f>
        <v>-174982.33358796954</v>
      </c>
      <c r="BD22" s="327">
        <f>MCC_M_RUVY_matrices_mat_level!BB87*MCC_h_RUVY_matrices_mat_level!BB87 /MCC_MW_RUVY_matrices_mat_level!BD22</f>
        <v>-949206.42548067577</v>
      </c>
      <c r="BE22" s="327">
        <v>0</v>
      </c>
      <c r="BF22" s="327">
        <v>0</v>
      </c>
      <c r="BG22" s="327">
        <v>0</v>
      </c>
      <c r="BH22" s="327">
        <f>MCC_M_RUVY_matrices_mat_level!BF87*MCC_h_RUVY_matrices_mat_level!BF87 /MCC_MW_RUVY_matrices_mat_level!BH22</f>
        <v>-208916.35016621815</v>
      </c>
      <c r="BI22" s="329">
        <f t="shared" si="0"/>
        <v>-1333105.1092348634</v>
      </c>
      <c r="BJ22" s="132"/>
      <c r="BK22" s="132"/>
      <c r="BL22" s="300"/>
      <c r="BM22" s="300" t="s">
        <v>453</v>
      </c>
      <c r="BN22" s="330">
        <v>0</v>
      </c>
      <c r="BO22" s="330">
        <v>0</v>
      </c>
      <c r="BP22" s="303">
        <f t="shared" si="1"/>
        <v>0</v>
      </c>
    </row>
    <row r="23" spans="5:68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545</v>
      </c>
      <c r="AT23" s="327">
        <f>MCC_M_RUVY_matrices_mat_level!AR88*MCC_h_RUVY_matrices_mat_level!AR88 /MCC_MW_RUVY_matrices_mat_level!AT23</f>
        <v>88160.656904773379</v>
      </c>
      <c r="AU23" s="327">
        <f>MCC_M_RUVY_matrices_mat_level!AS88*MCC_h_RUVY_matrices_mat_level!AS88 /MCC_MW_RUVY_matrices_mat_level!AU23</f>
        <v>241.59146310558404</v>
      </c>
      <c r="AV23" s="327">
        <f>MCC_M_RUVY_matrices_mat_level!AT88*MCC_h_RUVY_matrices_mat_level!AT88 /MCC_MW_RUVY_matrices_mat_level!AV23</f>
        <v>21827.121921766418</v>
      </c>
      <c r="AW23" s="327">
        <v>0</v>
      </c>
      <c r="AX23" s="327">
        <v>0</v>
      </c>
      <c r="AY23" s="327">
        <v>0</v>
      </c>
      <c r="AZ23" s="327">
        <v>0</v>
      </c>
      <c r="BA23" s="327">
        <v>0</v>
      </c>
      <c r="BB23" s="327">
        <v>0</v>
      </c>
      <c r="BC23" s="327">
        <v>0</v>
      </c>
      <c r="BD23" s="327">
        <v>0</v>
      </c>
      <c r="BE23" s="327">
        <v>0</v>
      </c>
      <c r="BF23" s="327">
        <v>0</v>
      </c>
      <c r="BG23" s="327">
        <v>0</v>
      </c>
      <c r="BH23" s="327">
        <v>0</v>
      </c>
      <c r="BI23" s="329">
        <f t="shared" si="0"/>
        <v>110229.37028964538</v>
      </c>
      <c r="BJ23" s="132"/>
      <c r="BK23" s="132"/>
      <c r="BL23" s="300"/>
      <c r="BM23" s="300" t="s">
        <v>545</v>
      </c>
      <c r="BN23" s="330">
        <v>0</v>
      </c>
      <c r="BO23" s="330">
        <v>0</v>
      </c>
      <c r="BP23" s="303">
        <f t="shared" si="1"/>
        <v>0</v>
      </c>
    </row>
    <row r="24" spans="5:68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546</v>
      </c>
      <c r="AT24" s="327">
        <v>0</v>
      </c>
      <c r="AU24" s="327">
        <f>MCC_M_RUVY_matrices_mat_level!AS89*MCC_h_RUVY_matrices_mat_level!AS89 /MCC_MW_RUVY_matrices_mat_level!AU24</f>
        <v>-1.1322425723331082</v>
      </c>
      <c r="AV24" s="327">
        <v>0</v>
      </c>
      <c r="AW24" s="327">
        <v>0</v>
      </c>
      <c r="AX24" s="327">
        <v>0</v>
      </c>
      <c r="AY24" s="327">
        <v>0</v>
      </c>
      <c r="AZ24" s="327">
        <v>0</v>
      </c>
      <c r="BA24" s="327">
        <v>0</v>
      </c>
      <c r="BB24" s="327">
        <v>0</v>
      </c>
      <c r="BC24" s="327">
        <v>0</v>
      </c>
      <c r="BD24" s="327">
        <v>0</v>
      </c>
      <c r="BE24" s="327">
        <v>0</v>
      </c>
      <c r="BF24" s="327">
        <v>0</v>
      </c>
      <c r="BG24" s="327">
        <v>0</v>
      </c>
      <c r="BH24" s="327">
        <v>0</v>
      </c>
      <c r="BI24" s="329">
        <f t="shared" si="0"/>
        <v>-1.1322425723331082</v>
      </c>
      <c r="BJ24" s="132"/>
      <c r="BK24" s="132"/>
      <c r="BL24" s="300"/>
      <c r="BM24" s="300" t="s">
        <v>546</v>
      </c>
      <c r="BN24" s="330">
        <v>0</v>
      </c>
      <c r="BO24" s="330">
        <v>0</v>
      </c>
      <c r="BP24" s="303">
        <f t="shared" si="1"/>
        <v>0</v>
      </c>
    </row>
    <row r="25" spans="5:68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490</v>
      </c>
      <c r="AT25" s="327">
        <v>0</v>
      </c>
      <c r="AU25" s="327">
        <v>0</v>
      </c>
      <c r="AV25" s="327">
        <v>0</v>
      </c>
      <c r="AW25" s="327">
        <v>0</v>
      </c>
      <c r="AX25" s="327">
        <v>0</v>
      </c>
      <c r="AY25" s="327">
        <v>0</v>
      </c>
      <c r="AZ25" s="327">
        <v>0</v>
      </c>
      <c r="BA25" s="327">
        <v>0</v>
      </c>
      <c r="BB25" s="327">
        <v>0</v>
      </c>
      <c r="BC25" s="327">
        <v>0</v>
      </c>
      <c r="BD25" s="327">
        <v>0</v>
      </c>
      <c r="BE25" s="327">
        <v>0</v>
      </c>
      <c r="BF25" s="327">
        <v>0</v>
      </c>
      <c r="BG25" s="327">
        <v>0</v>
      </c>
      <c r="BH25" s="327">
        <f>MCC_M_RUVY_matrices_mat_level!BF90*MCC_h_RUVY_matrices_mat_level!BF90 /MCC_MW_RUVY_matrices_mat_level!BH25</f>
        <v>194131.36779323625</v>
      </c>
      <c r="BI25" s="329">
        <f t="shared" si="0"/>
        <v>194131.36779323625</v>
      </c>
      <c r="BJ25" s="132"/>
      <c r="BK25" s="132"/>
      <c r="BL25" s="300"/>
      <c r="BM25" s="300" t="s">
        <v>490</v>
      </c>
      <c r="BN25" s="330">
        <v>0</v>
      </c>
      <c r="BO25" s="330">
        <v>0</v>
      </c>
      <c r="BP25" s="303">
        <f t="shared" si="1"/>
        <v>0</v>
      </c>
    </row>
    <row r="26" spans="5:68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538</v>
      </c>
      <c r="AT26" s="327">
        <v>0</v>
      </c>
      <c r="AU26" s="327">
        <v>0</v>
      </c>
      <c r="AV26" s="327">
        <v>0</v>
      </c>
      <c r="AW26" s="327">
        <v>0</v>
      </c>
      <c r="AX26" s="327">
        <v>0</v>
      </c>
      <c r="AY26" s="327">
        <v>0</v>
      </c>
      <c r="AZ26" s="327">
        <v>0</v>
      </c>
      <c r="BA26" s="327">
        <v>0</v>
      </c>
      <c r="BB26" s="327">
        <v>0</v>
      </c>
      <c r="BC26" s="327">
        <v>0</v>
      </c>
      <c r="BD26" s="327">
        <v>0</v>
      </c>
      <c r="BE26" s="327">
        <v>0</v>
      </c>
      <c r="BF26" s="327">
        <v>0</v>
      </c>
      <c r="BG26" s="327">
        <v>0</v>
      </c>
      <c r="BH26" s="327">
        <v>0</v>
      </c>
      <c r="BI26" s="329">
        <f t="shared" si="0"/>
        <v>0</v>
      </c>
      <c r="BJ26" s="132"/>
      <c r="BK26" s="132"/>
      <c r="BL26" s="300"/>
      <c r="BM26" s="300" t="s">
        <v>538</v>
      </c>
      <c r="BN26" s="330">
        <v>0</v>
      </c>
      <c r="BO26" s="330">
        <v>0</v>
      </c>
      <c r="BP26" s="303">
        <f t="shared" si="1"/>
        <v>0</v>
      </c>
    </row>
    <row r="27" spans="5:68" ht="15.6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331"/>
      <c r="AK27" s="132"/>
      <c r="AL27" s="132"/>
      <c r="AM27" s="132"/>
      <c r="AN27" s="132"/>
      <c r="AO27" s="132"/>
      <c r="AP27" s="132"/>
      <c r="AQ27" s="132"/>
      <c r="AR27" s="132"/>
      <c r="AS27" s="332" t="s">
        <v>521</v>
      </c>
      <c r="AT27" s="327">
        <v>0</v>
      </c>
      <c r="AU27" s="327">
        <v>0</v>
      </c>
      <c r="AV27" s="327">
        <v>0</v>
      </c>
      <c r="AW27" s="327">
        <f>MCC_M_RUVY_matrices_mat_level!AU92*MCC_h_RUVY_matrices_mat_level!AU92 /MCC_MW_RUVY_matrices_mat_level!AW27</f>
        <v>-1777985.4355511186</v>
      </c>
      <c r="AX27" s="327">
        <v>0</v>
      </c>
      <c r="AY27" s="327">
        <v>0</v>
      </c>
      <c r="AZ27" s="327">
        <v>0</v>
      </c>
      <c r="BA27" s="327">
        <v>0</v>
      </c>
      <c r="BB27" s="327">
        <v>0</v>
      </c>
      <c r="BC27" s="327">
        <v>0</v>
      </c>
      <c r="BD27" s="327">
        <v>0</v>
      </c>
      <c r="BE27" s="327">
        <v>0</v>
      </c>
      <c r="BF27" s="327">
        <v>0</v>
      </c>
      <c r="BG27" s="327">
        <v>0</v>
      </c>
      <c r="BH27" s="327">
        <v>0</v>
      </c>
      <c r="BI27" s="329">
        <f t="shared" si="0"/>
        <v>-1777985.4355511186</v>
      </c>
      <c r="BJ27" s="132"/>
      <c r="BK27" s="132"/>
      <c r="BL27" s="332"/>
      <c r="BM27" s="300" t="s">
        <v>521</v>
      </c>
      <c r="BN27" s="330">
        <v>0</v>
      </c>
      <c r="BO27" s="330">
        <v>0</v>
      </c>
      <c r="BP27" s="303">
        <f t="shared" si="1"/>
        <v>0</v>
      </c>
    </row>
    <row r="28" spans="5:68" ht="15.6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332"/>
      <c r="AK28" s="132"/>
      <c r="AL28" s="132"/>
      <c r="AM28" s="132"/>
      <c r="AN28" s="132"/>
      <c r="AO28" s="132"/>
      <c r="AP28" s="132"/>
      <c r="AQ28" s="132"/>
      <c r="AR28" s="132"/>
      <c r="AS28" s="300" t="s">
        <v>488</v>
      </c>
      <c r="AT28" s="327">
        <v>0</v>
      </c>
      <c r="AU28" s="327">
        <v>0</v>
      </c>
      <c r="AV28" s="327">
        <v>0</v>
      </c>
      <c r="AW28" s="327">
        <v>0</v>
      </c>
      <c r="AX28" s="327">
        <v>0</v>
      </c>
      <c r="AY28" s="327">
        <v>0</v>
      </c>
      <c r="AZ28" s="327">
        <v>0</v>
      </c>
      <c r="BA28" s="327">
        <v>0</v>
      </c>
      <c r="BB28" s="327">
        <v>0</v>
      </c>
      <c r="BC28" s="327">
        <v>0</v>
      </c>
      <c r="BD28" s="327">
        <v>0</v>
      </c>
      <c r="BE28" s="327">
        <v>0</v>
      </c>
      <c r="BF28" s="327">
        <v>0</v>
      </c>
      <c r="BG28" s="327">
        <v>0</v>
      </c>
      <c r="BH28" s="327">
        <v>0</v>
      </c>
      <c r="BI28" s="329">
        <f t="shared" si="0"/>
        <v>0</v>
      </c>
      <c r="BJ28" s="132"/>
      <c r="BK28" s="132"/>
      <c r="BL28" s="300"/>
      <c r="BM28" s="300" t="s">
        <v>488</v>
      </c>
      <c r="BN28" s="330">
        <v>0</v>
      </c>
      <c r="BO28" s="33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5.6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332" t="s">
        <v>491</v>
      </c>
      <c r="AT29" s="327">
        <v>0</v>
      </c>
      <c r="AU29" s="327">
        <v>0</v>
      </c>
      <c r="AV29" s="327">
        <v>0</v>
      </c>
      <c r="AW29" s="327">
        <v>0</v>
      </c>
      <c r="AX29" s="327">
        <f>MCC_M_RUVY_matrices_mat_level!AV94*MCC_h_RUVY_matrices_mat_level!AV94 /MCC_MW_RUVY_matrices_mat_level!AX29</f>
        <v>-1359457.7959575919</v>
      </c>
      <c r="AY29" s="327">
        <v>0</v>
      </c>
      <c r="AZ29" s="327">
        <v>0</v>
      </c>
      <c r="BA29" s="327">
        <v>0</v>
      </c>
      <c r="BB29" s="327">
        <v>0</v>
      </c>
      <c r="BC29" s="327">
        <v>0</v>
      </c>
      <c r="BD29" s="327">
        <v>0</v>
      </c>
      <c r="BE29" s="327">
        <v>0</v>
      </c>
      <c r="BF29" s="327">
        <v>0</v>
      </c>
      <c r="BG29" s="327">
        <v>0</v>
      </c>
      <c r="BH29" s="327">
        <v>0</v>
      </c>
      <c r="BI29" s="329">
        <f t="shared" si="0"/>
        <v>-1359457.7959575919</v>
      </c>
      <c r="BJ29" s="132"/>
      <c r="BK29" s="132"/>
      <c r="BL29" s="332"/>
      <c r="BM29" s="300" t="s">
        <v>491</v>
      </c>
      <c r="BN29" s="330">
        <v>0</v>
      </c>
      <c r="BO29" s="330">
        <v>0</v>
      </c>
      <c r="BP29" s="303">
        <f t="shared" si="1"/>
        <v>0</v>
      </c>
    </row>
    <row r="30" spans="5:68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516</v>
      </c>
      <c r="AT30" s="327">
        <v>0</v>
      </c>
      <c r="AU30" s="327">
        <v>0</v>
      </c>
      <c r="AV30" s="327">
        <v>0</v>
      </c>
      <c r="AW30" s="327">
        <v>0</v>
      </c>
      <c r="AX30" s="327">
        <v>0</v>
      </c>
      <c r="AY30" s="327">
        <v>0</v>
      </c>
      <c r="AZ30" s="327">
        <v>0</v>
      </c>
      <c r="BA30" s="327">
        <v>0</v>
      </c>
      <c r="BB30" s="327">
        <v>0</v>
      </c>
      <c r="BC30" s="327">
        <v>0</v>
      </c>
      <c r="BD30" s="327">
        <v>0</v>
      </c>
      <c r="BE30" s="327">
        <v>0</v>
      </c>
      <c r="BF30" s="327">
        <v>0</v>
      </c>
      <c r="BG30" s="327">
        <v>0</v>
      </c>
      <c r="BH30" s="327">
        <v>0</v>
      </c>
      <c r="BI30" s="329">
        <f t="shared" si="0"/>
        <v>0</v>
      </c>
      <c r="BJ30" s="132"/>
      <c r="BK30" s="132"/>
      <c r="BL30" s="300"/>
      <c r="BM30" s="300" t="s">
        <v>516</v>
      </c>
      <c r="BN30" s="330">
        <v>0</v>
      </c>
      <c r="BO30" s="33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509</v>
      </c>
      <c r="AT31" s="327">
        <v>0</v>
      </c>
      <c r="AU31" s="327">
        <v>0</v>
      </c>
      <c r="AV31" s="327">
        <v>0</v>
      </c>
      <c r="AW31" s="327">
        <v>0</v>
      </c>
      <c r="AX31" s="327">
        <v>0</v>
      </c>
      <c r="AY31" s="327">
        <f>MCC_M_RUVY_matrices_mat_level!AW96*MCC_h_RUVY_matrices_mat_level!AW96 /MCC_MW_RUVY_matrices_mat_level!AY31</f>
        <v>-112.78165025676648</v>
      </c>
      <c r="AZ31" s="327">
        <v>0</v>
      </c>
      <c r="BA31" s="327">
        <v>0</v>
      </c>
      <c r="BB31" s="327">
        <v>0</v>
      </c>
      <c r="BC31" s="327">
        <v>0</v>
      </c>
      <c r="BD31" s="327">
        <v>0</v>
      </c>
      <c r="BE31" s="327">
        <v>0</v>
      </c>
      <c r="BF31" s="327">
        <v>0</v>
      </c>
      <c r="BG31" s="327">
        <v>0</v>
      </c>
      <c r="BH31" s="327">
        <v>0</v>
      </c>
      <c r="BI31" s="329">
        <f t="shared" si="0"/>
        <v>-112.78165025676648</v>
      </c>
      <c r="BJ31" s="132"/>
      <c r="BK31" s="132"/>
      <c r="BL31" s="203"/>
      <c r="BM31" s="300" t="s">
        <v>509</v>
      </c>
      <c r="BN31" s="330">
        <v>0</v>
      </c>
      <c r="BO31" s="330">
        <v>0</v>
      </c>
      <c r="BP31" s="303">
        <f t="shared" si="1"/>
        <v>0</v>
      </c>
    </row>
    <row r="32" spans="5:68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495</v>
      </c>
      <c r="AT32" s="327">
        <v>0</v>
      </c>
      <c r="AU32" s="327">
        <v>0</v>
      </c>
      <c r="AV32" s="327">
        <v>0</v>
      </c>
      <c r="AW32" s="327">
        <v>0</v>
      </c>
      <c r="AX32" s="327">
        <v>0</v>
      </c>
      <c r="AY32" s="327">
        <v>0</v>
      </c>
      <c r="AZ32" s="327">
        <v>0</v>
      </c>
      <c r="BA32" s="327">
        <v>0</v>
      </c>
      <c r="BB32" s="327">
        <v>0</v>
      </c>
      <c r="BC32" s="327">
        <v>0</v>
      </c>
      <c r="BD32" s="327">
        <v>0</v>
      </c>
      <c r="BE32" s="327">
        <v>0</v>
      </c>
      <c r="BF32" s="327">
        <v>0</v>
      </c>
      <c r="BG32" s="327">
        <v>0</v>
      </c>
      <c r="BH32" s="327">
        <v>0</v>
      </c>
      <c r="BI32" s="329">
        <f t="shared" si="0"/>
        <v>0</v>
      </c>
      <c r="BJ32" s="132"/>
      <c r="BK32" s="132"/>
      <c r="BL32" s="300"/>
      <c r="BM32" s="300" t="s">
        <v>495</v>
      </c>
      <c r="BN32" s="330">
        <v>0</v>
      </c>
      <c r="BO32" s="33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5.6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332" t="s">
        <v>520</v>
      </c>
      <c r="AT33" s="327">
        <v>0</v>
      </c>
      <c r="AU33" s="327">
        <v>0</v>
      </c>
      <c r="AV33" s="327">
        <v>0</v>
      </c>
      <c r="AW33" s="327">
        <v>0</v>
      </c>
      <c r="AX33" s="327">
        <v>0</v>
      </c>
      <c r="AY33" s="327">
        <v>0</v>
      </c>
      <c r="AZ33" s="327">
        <f>MCC_M_RUVY_matrices_mat_level!AX98*MCC_h_RUVY_matrices_mat_level!AX98 /MCC_MW_RUVY_matrices_mat_level!AZ33</f>
        <v>-1777985.4355511186</v>
      </c>
      <c r="BA33" s="327">
        <v>0</v>
      </c>
      <c r="BB33" s="327">
        <v>0</v>
      </c>
      <c r="BC33" s="327">
        <v>0</v>
      </c>
      <c r="BD33" s="327">
        <v>0</v>
      </c>
      <c r="BE33" s="327">
        <v>0</v>
      </c>
      <c r="BF33" s="327">
        <v>0</v>
      </c>
      <c r="BG33" s="327">
        <v>0</v>
      </c>
      <c r="BH33" s="327">
        <v>0</v>
      </c>
      <c r="BI33" s="329">
        <f t="shared" si="0"/>
        <v>-1777985.4355511186</v>
      </c>
      <c r="BJ33" s="132"/>
      <c r="BK33" s="132"/>
      <c r="BL33" s="332"/>
      <c r="BM33" s="300" t="s">
        <v>520</v>
      </c>
      <c r="BN33" s="330">
        <v>0</v>
      </c>
      <c r="BO33" s="330">
        <v>0</v>
      </c>
      <c r="BP33" s="303">
        <f t="shared" si="1"/>
        <v>0</v>
      </c>
    </row>
    <row r="34" spans="5:68" ht="15.6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332" t="s">
        <v>515</v>
      </c>
      <c r="AT34" s="327">
        <v>0</v>
      </c>
      <c r="AU34" s="327">
        <v>0</v>
      </c>
      <c r="AV34" s="327">
        <v>0</v>
      </c>
      <c r="AW34" s="327">
        <v>0</v>
      </c>
      <c r="AX34" s="327">
        <v>0</v>
      </c>
      <c r="AY34" s="327">
        <v>0</v>
      </c>
      <c r="AZ34" s="327">
        <v>0</v>
      </c>
      <c r="BA34" s="327">
        <f>MCC_M_RUVY_matrices_mat_level!AY99*MCC_h_RUVY_matrices_mat_level!AY99 /MCC_MW_RUVY_matrices_mat_level!BA34</f>
        <v>-1359457.7959575919</v>
      </c>
      <c r="BB34" s="327">
        <v>0</v>
      </c>
      <c r="BC34" s="327">
        <v>0</v>
      </c>
      <c r="BD34" s="327">
        <v>0</v>
      </c>
      <c r="BE34" s="327">
        <v>0</v>
      </c>
      <c r="BF34" s="327">
        <v>0</v>
      </c>
      <c r="BG34" s="327">
        <v>0</v>
      </c>
      <c r="BH34" s="327">
        <v>0</v>
      </c>
      <c r="BI34" s="329">
        <f t="shared" si="0"/>
        <v>-1359457.7959575919</v>
      </c>
      <c r="BJ34" s="132"/>
      <c r="BK34" s="132"/>
      <c r="BL34" s="332"/>
      <c r="BM34" s="300" t="s">
        <v>515</v>
      </c>
      <c r="BN34" s="330">
        <v>0</v>
      </c>
      <c r="BO34" s="330">
        <v>0</v>
      </c>
      <c r="BP34" s="303">
        <f t="shared" si="1"/>
        <v>0</v>
      </c>
    </row>
    <row r="35" spans="5:68" ht="15.6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332" t="s">
        <v>512</v>
      </c>
      <c r="AT35" s="327">
        <v>0</v>
      </c>
      <c r="AU35" s="327">
        <v>0</v>
      </c>
      <c r="AV35" s="327">
        <v>0</v>
      </c>
      <c r="AW35" s="327">
        <v>0</v>
      </c>
      <c r="AX35" s="327">
        <v>0</v>
      </c>
      <c r="AY35" s="327">
        <v>0</v>
      </c>
      <c r="AZ35" s="327">
        <v>0</v>
      </c>
      <c r="BA35" s="327">
        <v>0</v>
      </c>
      <c r="BB35" s="327">
        <f>MCC_M_RUVY_matrices_mat_level!AZ100*MCC_h_RUVY_matrices_mat_level!AZ100 /MCC_MW_RUVY_matrices_mat_level!BB35</f>
        <v>-112.78165025676648</v>
      </c>
      <c r="BC35" s="327">
        <v>0</v>
      </c>
      <c r="BD35" s="327">
        <v>0</v>
      </c>
      <c r="BE35" s="327">
        <v>0</v>
      </c>
      <c r="BF35" s="327">
        <v>0</v>
      </c>
      <c r="BG35" s="327">
        <v>0</v>
      </c>
      <c r="BH35" s="327">
        <v>0</v>
      </c>
      <c r="BI35" s="329">
        <f t="shared" si="0"/>
        <v>-112.78165025676648</v>
      </c>
      <c r="BJ35" s="132"/>
      <c r="BK35" s="132"/>
      <c r="BL35" s="332"/>
      <c r="BM35" s="300" t="s">
        <v>512</v>
      </c>
      <c r="BN35" s="330">
        <v>0</v>
      </c>
      <c r="BO35" s="330">
        <v>0</v>
      </c>
      <c r="BP35" s="303">
        <f t="shared" si="1"/>
        <v>0</v>
      </c>
    </row>
    <row r="36" spans="5:68" ht="15.6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332" t="s">
        <v>518</v>
      </c>
      <c r="AT36" s="327">
        <v>0</v>
      </c>
      <c r="AU36" s="327">
        <v>0</v>
      </c>
      <c r="AV36" s="327">
        <v>0</v>
      </c>
      <c r="AW36" s="327">
        <v>0</v>
      </c>
      <c r="AX36" s="327">
        <v>0</v>
      </c>
      <c r="AY36" s="327">
        <v>0</v>
      </c>
      <c r="AZ36" s="327">
        <v>0</v>
      </c>
      <c r="BA36" s="327">
        <v>0</v>
      </c>
      <c r="BB36" s="327">
        <v>0</v>
      </c>
      <c r="BC36" s="327">
        <v>0</v>
      </c>
      <c r="BD36" s="327">
        <v>0</v>
      </c>
      <c r="BE36" s="327">
        <v>0</v>
      </c>
      <c r="BF36" s="327">
        <v>0</v>
      </c>
      <c r="BG36" s="327">
        <f>MCC_M_RUVY_matrices_mat_level!BE101*MCC_h_RUVY_matrices_mat_level!BE101 /MCC_MW_RUVY_matrices_mat_level!BG36</f>
        <v>-3797055.1820632704</v>
      </c>
      <c r="BH36" s="327">
        <v>0</v>
      </c>
      <c r="BI36" s="329">
        <f t="shared" si="0"/>
        <v>-3797055.1820632704</v>
      </c>
      <c r="BJ36" s="132"/>
      <c r="BK36" s="132"/>
      <c r="BL36" s="332"/>
      <c r="BM36" s="300" t="s">
        <v>518</v>
      </c>
      <c r="BN36" s="330">
        <v>0</v>
      </c>
      <c r="BO36" s="330">
        <v>0</v>
      </c>
      <c r="BP36" s="303">
        <f t="shared" si="1"/>
        <v>0</v>
      </c>
    </row>
    <row r="37" spans="5:68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517</v>
      </c>
      <c r="AT37" s="327">
        <v>0</v>
      </c>
      <c r="AU37" s="327">
        <v>0</v>
      </c>
      <c r="AV37" s="327">
        <v>0</v>
      </c>
      <c r="AW37" s="327">
        <v>0</v>
      </c>
      <c r="AX37" s="327">
        <v>0</v>
      </c>
      <c r="AY37" s="327">
        <v>0</v>
      </c>
      <c r="AZ37" s="327">
        <v>0</v>
      </c>
      <c r="BA37" s="327">
        <v>0</v>
      </c>
      <c r="BB37" s="327">
        <v>0</v>
      </c>
      <c r="BC37" s="327">
        <v>0</v>
      </c>
      <c r="BD37" s="327">
        <v>0</v>
      </c>
      <c r="BE37" s="327">
        <v>0</v>
      </c>
      <c r="BF37" s="327">
        <v>0</v>
      </c>
      <c r="BG37" s="327">
        <v>0</v>
      </c>
      <c r="BH37" s="327">
        <v>0</v>
      </c>
      <c r="BI37" s="329">
        <f t="shared" si="0"/>
        <v>0</v>
      </c>
      <c r="BJ37" s="336"/>
      <c r="BK37" s="132"/>
      <c r="BL37" s="203"/>
      <c r="BM37" s="300" t="s">
        <v>517</v>
      </c>
      <c r="BN37" s="330">
        <v>0</v>
      </c>
      <c r="BO37" s="33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503</v>
      </c>
      <c r="AT38" s="327">
        <v>0</v>
      </c>
      <c r="AU38" s="327">
        <v>0</v>
      </c>
      <c r="AV38" s="327">
        <v>0</v>
      </c>
      <c r="AW38" s="327">
        <v>0</v>
      </c>
      <c r="AX38" s="327">
        <v>0</v>
      </c>
      <c r="AY38" s="327">
        <v>0</v>
      </c>
      <c r="AZ38" s="327">
        <v>0</v>
      </c>
      <c r="BA38" s="327">
        <v>0</v>
      </c>
      <c r="BB38" s="327">
        <v>0</v>
      </c>
      <c r="BC38" s="327">
        <f>MCC_M_RUVY_matrices_mat_level!BA103*MCC_h_RUVY_matrices_mat_level!BA103 /MCC_MW_RUVY_matrices_mat_level!BC38</f>
        <v>-1359457.7959575919</v>
      </c>
      <c r="BD38" s="327">
        <v>0</v>
      </c>
      <c r="BE38" s="327">
        <v>0</v>
      </c>
      <c r="BF38" s="327">
        <v>0</v>
      </c>
      <c r="BG38" s="327">
        <v>0</v>
      </c>
      <c r="BH38" s="327">
        <v>0</v>
      </c>
      <c r="BI38" s="329">
        <f t="shared" si="0"/>
        <v>-1359457.7959575919</v>
      </c>
      <c r="BJ38" s="132"/>
      <c r="BK38" s="132"/>
      <c r="BL38" s="203"/>
      <c r="BM38" s="300" t="s">
        <v>503</v>
      </c>
      <c r="BN38" s="330">
        <v>0</v>
      </c>
      <c r="BO38" s="330">
        <v>0</v>
      </c>
      <c r="BP38" s="303">
        <f t="shared" si="1"/>
        <v>0</v>
      </c>
    </row>
    <row r="39" spans="5:68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535</v>
      </c>
      <c r="AT39" s="327">
        <v>0</v>
      </c>
      <c r="AU39" s="327">
        <v>0</v>
      </c>
      <c r="AV39" s="327">
        <v>0</v>
      </c>
      <c r="AW39" s="327">
        <v>0</v>
      </c>
      <c r="AX39" s="327">
        <v>0</v>
      </c>
      <c r="AY39" s="327">
        <v>0</v>
      </c>
      <c r="AZ39" s="327">
        <v>0</v>
      </c>
      <c r="BA39" s="327">
        <v>0</v>
      </c>
      <c r="BB39" s="327">
        <v>0</v>
      </c>
      <c r="BC39" s="327">
        <v>0</v>
      </c>
      <c r="BD39" s="327">
        <f>MCC_M_RUVY_matrices_mat_level!BB104*MCC_h_RUVY_matrices_mat_level!BB104 /MCC_MW_RUVY_matrices_mat_level!BD39</f>
        <v>-112.78165025676648</v>
      </c>
      <c r="BE39" s="327">
        <v>0</v>
      </c>
      <c r="BF39" s="327">
        <v>0</v>
      </c>
      <c r="BG39" s="327">
        <v>0</v>
      </c>
      <c r="BH39" s="327">
        <v>0</v>
      </c>
      <c r="BI39" s="329">
        <f t="shared" si="0"/>
        <v>-112.78165025676648</v>
      </c>
      <c r="BJ39" s="132"/>
      <c r="BK39" s="132"/>
      <c r="BL39" s="203"/>
      <c r="BM39" s="300" t="s">
        <v>535</v>
      </c>
      <c r="BN39" s="330">
        <v>0</v>
      </c>
      <c r="BO39" s="330">
        <v>0</v>
      </c>
      <c r="BP39" s="303">
        <f t="shared" si="1"/>
        <v>0</v>
      </c>
    </row>
    <row r="40" spans="5:68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504</v>
      </c>
      <c r="AT40" s="327">
        <v>0</v>
      </c>
      <c r="AU40" s="327">
        <v>0</v>
      </c>
      <c r="AV40" s="327">
        <v>0</v>
      </c>
      <c r="AW40" s="327">
        <v>0</v>
      </c>
      <c r="AX40" s="327">
        <v>0</v>
      </c>
      <c r="AY40" s="327">
        <v>0</v>
      </c>
      <c r="AZ40" s="327">
        <v>0</v>
      </c>
      <c r="BA40" s="327">
        <v>0</v>
      </c>
      <c r="BB40" s="327">
        <v>0</v>
      </c>
      <c r="BC40" s="327">
        <v>0</v>
      </c>
      <c r="BD40" s="327">
        <v>0</v>
      </c>
      <c r="BE40" s="327">
        <v>0</v>
      </c>
      <c r="BF40" s="327">
        <v>0</v>
      </c>
      <c r="BG40" s="327">
        <f>MCC_M_RUVY_matrices_mat_level!BE105*MCC_h_RUVY_matrices_mat_level!BE105 /MCC_MW_RUVY_matrices_mat_level!BG40</f>
        <v>-1256817.6045988721</v>
      </c>
      <c r="BH40" s="327">
        <v>0</v>
      </c>
      <c r="BI40" s="329">
        <f t="shared" si="0"/>
        <v>-1256817.6045988721</v>
      </c>
      <c r="BJ40" s="132"/>
      <c r="BK40" s="132"/>
      <c r="BL40" s="203"/>
      <c r="BM40" s="300" t="s">
        <v>504</v>
      </c>
      <c r="BN40" s="330">
        <v>0</v>
      </c>
      <c r="BO40" s="330">
        <v>0</v>
      </c>
      <c r="BP40" s="303">
        <f t="shared" si="1"/>
        <v>0</v>
      </c>
    </row>
    <row r="41" spans="5:68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506</v>
      </c>
      <c r="AT41" s="327">
        <v>0</v>
      </c>
      <c r="AU41" s="327">
        <v>0</v>
      </c>
      <c r="AV41" s="327">
        <v>0</v>
      </c>
      <c r="AW41" s="327">
        <v>0</v>
      </c>
      <c r="AX41" s="327">
        <v>0</v>
      </c>
      <c r="AY41" s="327">
        <v>0</v>
      </c>
      <c r="AZ41" s="327">
        <v>0</v>
      </c>
      <c r="BA41" s="327">
        <v>0</v>
      </c>
      <c r="BB41" s="327">
        <v>0</v>
      </c>
      <c r="BC41" s="327">
        <v>0</v>
      </c>
      <c r="BD41" s="327">
        <v>0</v>
      </c>
      <c r="BE41" s="327">
        <v>0</v>
      </c>
      <c r="BF41" s="327">
        <v>0</v>
      </c>
      <c r="BG41" s="327">
        <v>0</v>
      </c>
      <c r="BH41" s="327">
        <v>0</v>
      </c>
      <c r="BI41" s="329">
        <f t="shared" si="0"/>
        <v>0</v>
      </c>
      <c r="BJ41" s="132"/>
      <c r="BK41" s="132"/>
      <c r="BL41" s="203"/>
      <c r="BM41" s="300" t="s">
        <v>506</v>
      </c>
      <c r="BN41" s="330">
        <v>0</v>
      </c>
      <c r="BO41" s="33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505</v>
      </c>
      <c r="AT42" s="327">
        <v>0</v>
      </c>
      <c r="AU42" s="327">
        <v>0</v>
      </c>
      <c r="AV42" s="327">
        <v>0</v>
      </c>
      <c r="AW42" s="327">
        <v>0</v>
      </c>
      <c r="AX42" s="327">
        <v>0</v>
      </c>
      <c r="AY42" s="327">
        <v>0</v>
      </c>
      <c r="AZ42" s="327">
        <v>0</v>
      </c>
      <c r="BA42" s="327">
        <v>0</v>
      </c>
      <c r="BB42" s="327">
        <v>0</v>
      </c>
      <c r="BC42" s="327">
        <v>0</v>
      </c>
      <c r="BD42" s="327">
        <v>0</v>
      </c>
      <c r="BE42" s="327">
        <v>0</v>
      </c>
      <c r="BF42" s="327">
        <v>0</v>
      </c>
      <c r="BG42" s="327">
        <v>0</v>
      </c>
      <c r="BH42" s="327">
        <v>0</v>
      </c>
      <c r="BI42" s="329">
        <f t="shared" si="0"/>
        <v>0</v>
      </c>
      <c r="BJ42" s="132"/>
      <c r="BK42" s="132"/>
      <c r="BL42" s="203"/>
      <c r="BM42" s="300" t="s">
        <v>505</v>
      </c>
      <c r="BN42" s="330">
        <v>0</v>
      </c>
      <c r="BO42" s="33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600</v>
      </c>
      <c r="AT43" s="327">
        <v>0</v>
      </c>
      <c r="AU43" s="327">
        <v>0</v>
      </c>
      <c r="AV43" s="327">
        <v>0</v>
      </c>
      <c r="AW43" s="327">
        <v>0</v>
      </c>
      <c r="AX43" s="327">
        <v>0</v>
      </c>
      <c r="AY43" s="327">
        <v>0</v>
      </c>
      <c r="AZ43" s="327">
        <v>0</v>
      </c>
      <c r="BA43" s="327">
        <v>0</v>
      </c>
      <c r="BB43" s="327">
        <v>0</v>
      </c>
      <c r="BC43" s="327">
        <v>0</v>
      </c>
      <c r="BD43" s="327">
        <v>0</v>
      </c>
      <c r="BE43" s="327">
        <v>0</v>
      </c>
      <c r="BF43" s="327">
        <v>0</v>
      </c>
      <c r="BG43" s="327">
        <f>MCC_M_RUVY_matrices_mat_level!BE108*MCC_h_RUVY_matrices_mat_level!BE108 /MCC_MW_RUVY_matrices_mat_level!BG43</f>
        <v>6114656.4031687425</v>
      </c>
      <c r="BH43" s="327">
        <v>0</v>
      </c>
      <c r="BI43" s="329">
        <f t="shared" si="0"/>
        <v>6114656.4031687425</v>
      </c>
      <c r="BJ43" s="132"/>
      <c r="BK43" s="132"/>
      <c r="BL43" s="203"/>
      <c r="BM43" s="300" t="s">
        <v>600</v>
      </c>
      <c r="BN43" s="330">
        <v>0</v>
      </c>
      <c r="BO43" s="330">
        <v>0</v>
      </c>
      <c r="BP43" s="303">
        <f t="shared" si="1"/>
        <v>0</v>
      </c>
    </row>
    <row r="44" spans="5:68" ht="15.6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501</v>
      </c>
      <c r="AT44" s="327">
        <v>0</v>
      </c>
      <c r="AU44" s="327">
        <v>0</v>
      </c>
      <c r="AV44" s="327">
        <v>0</v>
      </c>
      <c r="AW44" s="327">
        <v>0</v>
      </c>
      <c r="AX44" s="327">
        <v>0</v>
      </c>
      <c r="AY44" s="327">
        <v>0</v>
      </c>
      <c r="AZ44" s="327">
        <v>0</v>
      </c>
      <c r="BA44" s="327">
        <v>0</v>
      </c>
      <c r="BB44" s="327">
        <v>0</v>
      </c>
      <c r="BC44" s="327">
        <v>0</v>
      </c>
      <c r="BD44" s="327">
        <v>0</v>
      </c>
      <c r="BE44" s="327">
        <f>MCC_M_RUVY_matrices_mat_level!BC109*MCC_h_RUVY_matrices_mat_level!BC109 /MCC_MW_RUVY_matrices_mat_level!BE44</f>
        <v>-13740.19434752778</v>
      </c>
      <c r="BF44" s="327">
        <v>0</v>
      </c>
      <c r="BG44" s="327">
        <v>0</v>
      </c>
      <c r="BH44" s="327">
        <v>0</v>
      </c>
      <c r="BI44" s="329">
        <f t="shared" si="0"/>
        <v>-13740.19434752778</v>
      </c>
      <c r="BJ44" s="132"/>
      <c r="BK44" s="132"/>
      <c r="BL44" s="249"/>
      <c r="BM44" s="300" t="s">
        <v>501</v>
      </c>
      <c r="BN44" s="330">
        <v>0</v>
      </c>
      <c r="BO44" s="330">
        <v>0</v>
      </c>
      <c r="BP44" s="303">
        <f t="shared" si="1"/>
        <v>0</v>
      </c>
    </row>
    <row r="45" spans="5:68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671</v>
      </c>
      <c r="AT45" s="327">
        <v>0</v>
      </c>
      <c r="AU45" s="327">
        <v>0</v>
      </c>
      <c r="AV45" s="327">
        <v>0</v>
      </c>
      <c r="AW45" s="327">
        <v>0</v>
      </c>
      <c r="AX45" s="327">
        <v>0</v>
      </c>
      <c r="AY45" s="327">
        <v>0</v>
      </c>
      <c r="AZ45" s="327">
        <v>0</v>
      </c>
      <c r="BA45" s="327">
        <v>0</v>
      </c>
      <c r="BB45" s="327">
        <v>0</v>
      </c>
      <c r="BC45" s="327">
        <v>0</v>
      </c>
      <c r="BD45" s="327">
        <v>0</v>
      </c>
      <c r="BE45" s="327">
        <v>0</v>
      </c>
      <c r="BF45" s="327">
        <v>0</v>
      </c>
      <c r="BG45" s="327">
        <v>0</v>
      </c>
      <c r="BH45" s="327">
        <v>0</v>
      </c>
      <c r="BI45" s="329">
        <f t="shared" si="0"/>
        <v>0</v>
      </c>
      <c r="BJ45" s="132"/>
      <c r="BK45" s="132"/>
      <c r="BL45" s="203"/>
      <c r="BM45" s="300" t="s">
        <v>671</v>
      </c>
      <c r="BN45" s="330">
        <v>0</v>
      </c>
      <c r="BO45" s="33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500</v>
      </c>
      <c r="AT46" s="327">
        <v>0</v>
      </c>
      <c r="AU46" s="327">
        <v>0</v>
      </c>
      <c r="AV46" s="327">
        <v>0</v>
      </c>
      <c r="AW46" s="327">
        <v>0</v>
      </c>
      <c r="AX46" s="327">
        <v>0</v>
      </c>
      <c r="AY46" s="327">
        <v>0</v>
      </c>
      <c r="AZ46" s="327">
        <v>0</v>
      </c>
      <c r="BA46" s="327">
        <v>0</v>
      </c>
      <c r="BB46" s="327">
        <v>0</v>
      </c>
      <c r="BC46" s="327">
        <v>0</v>
      </c>
      <c r="BD46" s="327">
        <v>0</v>
      </c>
      <c r="BE46" s="327">
        <v>0</v>
      </c>
      <c r="BF46" s="327">
        <v>0</v>
      </c>
      <c r="BG46" s="327">
        <v>0</v>
      </c>
      <c r="BH46" s="327">
        <v>0</v>
      </c>
      <c r="BI46" s="329">
        <f t="shared" si="0"/>
        <v>0</v>
      </c>
      <c r="BJ46" s="132"/>
      <c r="BK46" s="132"/>
      <c r="BL46" s="300"/>
      <c r="BM46" s="300" t="s">
        <v>500</v>
      </c>
      <c r="BN46" s="330">
        <v>0</v>
      </c>
      <c r="BO46" s="33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502</v>
      </c>
      <c r="AT47" s="327">
        <v>0</v>
      </c>
      <c r="AU47" s="327">
        <v>0</v>
      </c>
      <c r="AV47" s="327">
        <v>0</v>
      </c>
      <c r="AW47" s="327">
        <v>0</v>
      </c>
      <c r="AX47" s="327">
        <v>0</v>
      </c>
      <c r="AY47" s="327">
        <v>0</v>
      </c>
      <c r="AZ47" s="327">
        <v>0</v>
      </c>
      <c r="BA47" s="327">
        <v>0</v>
      </c>
      <c r="BB47" s="327">
        <v>0</v>
      </c>
      <c r="BC47" s="327">
        <v>0</v>
      </c>
      <c r="BD47" s="327">
        <v>0</v>
      </c>
      <c r="BE47" s="327">
        <v>0</v>
      </c>
      <c r="BF47" s="327">
        <v>0</v>
      </c>
      <c r="BG47" s="327">
        <v>0</v>
      </c>
      <c r="BH47" s="327">
        <v>0</v>
      </c>
      <c r="BI47" s="329">
        <f t="shared" si="0"/>
        <v>0</v>
      </c>
      <c r="BJ47" s="132"/>
      <c r="BK47" s="132"/>
      <c r="BL47" s="203"/>
      <c r="BM47" s="300" t="s">
        <v>502</v>
      </c>
      <c r="BN47" s="330">
        <v>0</v>
      </c>
      <c r="BO47" s="33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634</v>
      </c>
      <c r="AT48" s="327">
        <v>0</v>
      </c>
      <c r="AU48" s="327">
        <v>0</v>
      </c>
      <c r="AV48" s="327">
        <v>0</v>
      </c>
      <c r="AW48" s="327">
        <v>0</v>
      </c>
      <c r="AX48" s="327">
        <v>0</v>
      </c>
      <c r="AY48" s="327">
        <v>0</v>
      </c>
      <c r="AZ48" s="327">
        <v>0</v>
      </c>
      <c r="BA48" s="327">
        <v>0</v>
      </c>
      <c r="BB48" s="327">
        <v>0</v>
      </c>
      <c r="BC48" s="327">
        <v>0</v>
      </c>
      <c r="BD48" s="327">
        <v>0</v>
      </c>
      <c r="BE48" s="327">
        <v>0</v>
      </c>
      <c r="BF48" s="327">
        <f>MCC_M_RUVY_matrices_mat_level!BD113*MCC_h_RUVY_matrices_mat_level!BD113 /MCC_MW_RUVY_matrices_mat_level!BF48</f>
        <v>-13104.628581498642</v>
      </c>
      <c r="BG48" s="327">
        <v>0</v>
      </c>
      <c r="BH48" s="327">
        <v>0</v>
      </c>
      <c r="BI48" s="329">
        <f t="shared" si="0"/>
        <v>-13104.628581498642</v>
      </c>
      <c r="BJ48" s="132"/>
      <c r="BK48" s="132"/>
      <c r="BL48" s="203"/>
      <c r="BM48" s="300" t="s">
        <v>634</v>
      </c>
      <c r="BN48" s="330">
        <v>0</v>
      </c>
      <c r="BO48" s="330">
        <v>0</v>
      </c>
      <c r="BP48" s="303">
        <f t="shared" si="1"/>
        <v>0</v>
      </c>
    </row>
    <row r="49" spans="5:68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636</v>
      </c>
      <c r="AT49" s="327">
        <v>0</v>
      </c>
      <c r="AU49" s="327">
        <v>0</v>
      </c>
      <c r="AV49" s="327">
        <v>0</v>
      </c>
      <c r="AW49" s="327">
        <v>0</v>
      </c>
      <c r="AX49" s="327">
        <v>0</v>
      </c>
      <c r="AY49" s="327">
        <v>0</v>
      </c>
      <c r="AZ49" s="327">
        <v>0</v>
      </c>
      <c r="BA49" s="327">
        <v>0</v>
      </c>
      <c r="BB49" s="327">
        <v>0</v>
      </c>
      <c r="BC49" s="327">
        <v>0</v>
      </c>
      <c r="BD49" s="327">
        <v>0</v>
      </c>
      <c r="BE49" s="327">
        <v>0</v>
      </c>
      <c r="BF49" s="327">
        <v>0</v>
      </c>
      <c r="BG49" s="327">
        <v>0</v>
      </c>
      <c r="BH49" s="327">
        <f>MCC_M_RUVY_matrices_mat_level!BF114*MCC_h_RUVY_matrices_mat_level!BF114 /MCC_MW_RUVY_matrices_mat_level!BH49</f>
        <v>-9173.2400070490494</v>
      </c>
      <c r="BI49" s="329">
        <f t="shared" si="0"/>
        <v>-9173.2400070490494</v>
      </c>
      <c r="BJ49" s="132"/>
      <c r="BK49" s="132"/>
      <c r="BL49" s="203"/>
      <c r="BM49" s="300" t="s">
        <v>636</v>
      </c>
      <c r="BN49" s="330">
        <f>MCC_M_RUVY_matrices_mat_level!BL114*MCC_h_RUVY_matrices_mat_level!BL114 / MCC_MW_RUVY_matrices_mat_level!BN49</f>
        <v>-3931.3885744495929</v>
      </c>
      <c r="BO49" s="330">
        <v>0</v>
      </c>
      <c r="BP49" s="303">
        <f t="shared" si="1"/>
        <v>-3931.3885744495929</v>
      </c>
    </row>
    <row r="50" spans="5:68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524</v>
      </c>
      <c r="AT50" s="327">
        <v>0</v>
      </c>
      <c r="AU50" s="327">
        <v>0</v>
      </c>
      <c r="AV50" s="327">
        <v>0</v>
      </c>
      <c r="AW50" s="327">
        <v>0</v>
      </c>
      <c r="AX50" s="327">
        <v>0</v>
      </c>
      <c r="AY50" s="327">
        <v>0</v>
      </c>
      <c r="AZ50" s="327">
        <v>0</v>
      </c>
      <c r="BA50" s="327">
        <v>0</v>
      </c>
      <c r="BB50" s="327">
        <v>0</v>
      </c>
      <c r="BC50" s="327">
        <v>0</v>
      </c>
      <c r="BD50" s="327">
        <v>0</v>
      </c>
      <c r="BE50" s="327">
        <v>0</v>
      </c>
      <c r="BF50" s="327">
        <v>0</v>
      </c>
      <c r="BG50" s="327">
        <v>0</v>
      </c>
      <c r="BH50" s="327">
        <f>MCC_M_RUVY_matrices_mat_level!BF115*MCC_h_RUVY_matrices_mat_level!BF115 /MCC_MW_RUVY_matrices_mat_level!BH50</f>
        <v>23907.404496491064</v>
      </c>
      <c r="BI50" s="329">
        <f t="shared" si="0"/>
        <v>23907.404496491064</v>
      </c>
      <c r="BJ50" s="132"/>
      <c r="BK50" s="132"/>
      <c r="BL50" s="203"/>
      <c r="BM50" s="300" t="s">
        <v>524</v>
      </c>
      <c r="BN50" s="330">
        <v>0</v>
      </c>
      <c r="BO50" s="330">
        <v>0</v>
      </c>
      <c r="BP50" s="303">
        <f t="shared" si="1"/>
        <v>0</v>
      </c>
    </row>
    <row r="51" spans="5:68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525</v>
      </c>
      <c r="AT51" s="327">
        <v>0</v>
      </c>
      <c r="AU51" s="327">
        <v>0</v>
      </c>
      <c r="AV51" s="327">
        <v>0</v>
      </c>
      <c r="AW51" s="327">
        <v>0</v>
      </c>
      <c r="AX51" s="327">
        <v>0</v>
      </c>
      <c r="AY51" s="327">
        <v>0</v>
      </c>
      <c r="AZ51" s="327">
        <v>0</v>
      </c>
      <c r="BA51" s="327">
        <v>0</v>
      </c>
      <c r="BB51" s="327">
        <v>0</v>
      </c>
      <c r="BC51" s="327">
        <v>0</v>
      </c>
      <c r="BD51" s="327">
        <v>0</v>
      </c>
      <c r="BE51" s="327">
        <v>0</v>
      </c>
      <c r="BF51" s="327">
        <v>0</v>
      </c>
      <c r="BG51" s="327">
        <v>0</v>
      </c>
      <c r="BH51" s="327">
        <v>0</v>
      </c>
      <c r="BI51" s="329">
        <f t="shared" si="0"/>
        <v>0</v>
      </c>
      <c r="BJ51" s="132"/>
      <c r="BK51" s="132"/>
      <c r="BL51" s="203"/>
      <c r="BM51" s="300" t="s">
        <v>525</v>
      </c>
      <c r="BN51" s="330">
        <f>MCC_M_RUVY_matrices_mat_level!BL116*MCC_h_RUVY_matrices_mat_level!BL116 / MCC_MW_RUVY_matrices_mat_level!BN51</f>
        <v>0</v>
      </c>
      <c r="BO51" s="330">
        <v>0</v>
      </c>
      <c r="BP51" s="303">
        <f t="shared" si="1"/>
        <v>0</v>
      </c>
    </row>
    <row r="52" spans="5:68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526</v>
      </c>
      <c r="AT52" s="327">
        <v>0</v>
      </c>
      <c r="AU52" s="327">
        <v>0</v>
      </c>
      <c r="AV52" s="327">
        <v>0</v>
      </c>
      <c r="AW52" s="327">
        <v>0</v>
      </c>
      <c r="AX52" s="327">
        <v>0</v>
      </c>
      <c r="AY52" s="327">
        <v>0</v>
      </c>
      <c r="AZ52" s="327">
        <v>0</v>
      </c>
      <c r="BA52" s="327">
        <v>0</v>
      </c>
      <c r="BB52" s="327">
        <v>0</v>
      </c>
      <c r="BC52" s="327">
        <v>0</v>
      </c>
      <c r="BD52" s="327">
        <v>0</v>
      </c>
      <c r="BE52" s="327">
        <v>0</v>
      </c>
      <c r="BF52" s="327">
        <v>0</v>
      </c>
      <c r="BG52" s="327">
        <v>0</v>
      </c>
      <c r="BH52" s="327">
        <v>0</v>
      </c>
      <c r="BI52" s="329">
        <f t="shared" si="0"/>
        <v>0</v>
      </c>
      <c r="BJ52" s="132"/>
      <c r="BK52" s="132"/>
      <c r="BL52" s="132"/>
      <c r="BM52" s="339" t="s">
        <v>526</v>
      </c>
      <c r="BN52" s="330">
        <v>0</v>
      </c>
      <c r="BO52" s="33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536</v>
      </c>
      <c r="AT53" s="327">
        <v>0</v>
      </c>
      <c r="AU53" s="327">
        <v>0</v>
      </c>
      <c r="AV53" s="327">
        <v>0</v>
      </c>
      <c r="AW53" s="327">
        <v>0</v>
      </c>
      <c r="AX53" s="327">
        <v>0</v>
      </c>
      <c r="AY53" s="327">
        <v>0</v>
      </c>
      <c r="AZ53" s="327">
        <v>0</v>
      </c>
      <c r="BA53" s="327">
        <v>0</v>
      </c>
      <c r="BB53" s="327">
        <v>0</v>
      </c>
      <c r="BC53" s="327">
        <v>0</v>
      </c>
      <c r="BD53" s="327">
        <v>0</v>
      </c>
      <c r="BE53" s="327">
        <v>0</v>
      </c>
      <c r="BF53" s="327">
        <v>0</v>
      </c>
      <c r="BG53" s="327">
        <v>0</v>
      </c>
      <c r="BH53" s="327">
        <v>0</v>
      </c>
      <c r="BI53" s="329">
        <f t="shared" si="0"/>
        <v>0</v>
      </c>
      <c r="BJ53" s="132"/>
      <c r="BK53" s="132"/>
      <c r="BL53" s="132"/>
      <c r="BM53" s="339" t="s">
        <v>536</v>
      </c>
      <c r="BN53" s="330">
        <v>0</v>
      </c>
      <c r="BO53" s="33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>
      <c r="E54" s="132"/>
      <c r="F54" s="441"/>
      <c r="G54" s="441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203"/>
      <c r="AK54" s="342"/>
      <c r="AL54" s="342"/>
      <c r="AM54" s="342"/>
      <c r="AN54" s="342"/>
      <c r="AO54" s="342"/>
      <c r="AP54" s="342"/>
      <c r="AQ54" s="342"/>
      <c r="AR54" s="132"/>
      <c r="AS54" s="132"/>
      <c r="AT54" s="442" t="s">
        <v>404</v>
      </c>
      <c r="AU54" s="443"/>
      <c r="AV54" s="443"/>
      <c r="AW54" s="443"/>
      <c r="AX54" s="443"/>
      <c r="AY54" s="443"/>
      <c r="AZ54" s="443"/>
      <c r="BA54" s="443"/>
      <c r="BB54" s="443"/>
      <c r="BC54" s="443"/>
      <c r="BD54" s="443"/>
      <c r="BE54" s="443"/>
      <c r="BF54" s="443"/>
      <c r="BG54" s="443"/>
      <c r="BH54" s="443"/>
      <c r="BI54" s="343" t="s">
        <v>445</v>
      </c>
      <c r="BJ54" s="132"/>
      <c r="BK54" s="132"/>
      <c r="BL54" s="132"/>
      <c r="BM54" s="336"/>
      <c r="BN54" s="440" t="s">
        <v>406</v>
      </c>
      <c r="BO54" s="440">
        <v>-89.61</v>
      </c>
      <c r="BP54" s="169" t="s">
        <v>457</v>
      </c>
    </row>
    <row r="55" spans="5:68">
      <c r="AQ55" s="132"/>
      <c r="AR55" s="132"/>
      <c r="AS55" s="132"/>
      <c r="AT55" s="344">
        <f>SUM(AT18:AT53)</f>
        <v>-1689824.7786463453</v>
      </c>
      <c r="AU55" s="344">
        <f t="shared" ref="AU55:BH55" si="2">SUM(AU18:AU53)</f>
        <v>-1359217.3367370586</v>
      </c>
      <c r="AV55" s="344">
        <f t="shared" si="2"/>
        <v>9148397.3079415839</v>
      </c>
      <c r="AW55" s="344">
        <f t="shared" si="2"/>
        <v>-1777985.4355511186</v>
      </c>
      <c r="AX55" s="344">
        <f t="shared" si="2"/>
        <v>-1359457.7959575919</v>
      </c>
      <c r="AY55" s="344">
        <f t="shared" si="2"/>
        <v>-112.78165025676648</v>
      </c>
      <c r="AZ55" s="344">
        <f t="shared" si="2"/>
        <v>-1777985.4355511186</v>
      </c>
      <c r="BA55" s="344">
        <f t="shared" si="2"/>
        <v>-1359457.7959575919</v>
      </c>
      <c r="BB55" s="344">
        <f t="shared" si="2"/>
        <v>-112.78165025676648</v>
      </c>
      <c r="BC55" s="344">
        <f t="shared" si="2"/>
        <v>-1534440.1295455615</v>
      </c>
      <c r="BD55" s="344">
        <f t="shared" si="2"/>
        <v>-949319.20713093248</v>
      </c>
      <c r="BE55" s="344">
        <f t="shared" si="2"/>
        <v>-13740.19434752778</v>
      </c>
      <c r="BF55" s="344">
        <f t="shared" si="2"/>
        <v>-13104.628581498642</v>
      </c>
      <c r="BG55" s="344">
        <f t="shared" si="2"/>
        <v>1060783.6165065998</v>
      </c>
      <c r="BH55" s="344">
        <f t="shared" si="2"/>
        <v>-50.81788353988668</v>
      </c>
      <c r="BJ55" s="132"/>
      <c r="BK55" s="132"/>
      <c r="BL55" s="132"/>
      <c r="BM55" s="132"/>
      <c r="BN55" s="336"/>
      <c r="BO55" s="132"/>
    </row>
    <row r="56" spans="5:68">
      <c r="AQ56" s="132"/>
      <c r="AR56" s="132"/>
      <c r="AS56" s="132"/>
      <c r="AT56" s="438" t="s">
        <v>444</v>
      </c>
      <c r="AU56" s="438"/>
      <c r="AV56" s="438"/>
      <c r="AW56" s="438"/>
      <c r="AX56" s="438"/>
      <c r="AY56" s="438"/>
      <c r="AZ56" s="438"/>
      <c r="BA56" s="438"/>
      <c r="BB56" s="438"/>
      <c r="BC56" s="438"/>
      <c r="BD56" s="438"/>
      <c r="BE56" s="438"/>
      <c r="BF56" s="438"/>
      <c r="BG56" s="438"/>
      <c r="BH56" s="438"/>
      <c r="BJ56" s="132"/>
      <c r="BK56" s="132"/>
      <c r="BL56" s="132"/>
      <c r="BM56" s="132"/>
      <c r="BN56" s="336"/>
      <c r="BO56" s="132"/>
    </row>
    <row r="57" spans="5:68" ht="228">
      <c r="E57" s="289"/>
      <c r="F57" s="204" t="s">
        <v>409</v>
      </c>
      <c r="G57" s="204" t="s">
        <v>411</v>
      </c>
      <c r="H57" s="204" t="s">
        <v>412</v>
      </c>
      <c r="I57" s="204" t="s">
        <v>431</v>
      </c>
      <c r="J57" s="204" t="s">
        <v>453</v>
      </c>
      <c r="K57" s="204" t="s">
        <v>545</v>
      </c>
      <c r="L57" s="204" t="s">
        <v>546</v>
      </c>
      <c r="M57" s="204" t="s">
        <v>490</v>
      </c>
      <c r="N57" s="204" t="s">
        <v>538</v>
      </c>
      <c r="O57" s="345" t="s">
        <v>521</v>
      </c>
      <c r="P57" s="346" t="s">
        <v>488</v>
      </c>
      <c r="Q57" s="345" t="s">
        <v>491</v>
      </c>
      <c r="R57" s="346" t="s">
        <v>516</v>
      </c>
      <c r="S57" s="207" t="s">
        <v>509</v>
      </c>
      <c r="T57" s="346" t="s">
        <v>495</v>
      </c>
      <c r="U57" s="345" t="s">
        <v>520</v>
      </c>
      <c r="V57" s="345" t="s">
        <v>515</v>
      </c>
      <c r="W57" s="345" t="s">
        <v>512</v>
      </c>
      <c r="X57" s="345" t="s">
        <v>518</v>
      </c>
      <c r="Y57" s="207" t="s">
        <v>517</v>
      </c>
      <c r="Z57" s="207" t="s">
        <v>503</v>
      </c>
      <c r="AA57" s="207" t="s">
        <v>535</v>
      </c>
      <c r="AB57" s="207" t="s">
        <v>504</v>
      </c>
      <c r="AC57" s="207" t="s">
        <v>506</v>
      </c>
      <c r="AD57" s="207" t="s">
        <v>505</v>
      </c>
      <c r="AE57" s="207" t="s">
        <v>600</v>
      </c>
      <c r="AF57" s="229" t="s">
        <v>501</v>
      </c>
      <c r="AG57" s="229" t="s">
        <v>671</v>
      </c>
      <c r="AH57" s="207" t="s">
        <v>500</v>
      </c>
      <c r="AI57" s="346" t="s">
        <v>502</v>
      </c>
      <c r="AJ57" s="207" t="s">
        <v>634</v>
      </c>
      <c r="AK57" s="207" t="s">
        <v>636</v>
      </c>
      <c r="AL57" s="207" t="s">
        <v>524</v>
      </c>
      <c r="AM57" s="207" t="s">
        <v>525</v>
      </c>
      <c r="AN57" s="207" t="s">
        <v>526</v>
      </c>
      <c r="AO57" s="207" t="s">
        <v>536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>
      <c r="E58" s="300" t="s">
        <v>401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>
      <c r="E59" s="300" t="s">
        <v>402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336"/>
      <c r="AU59" s="336"/>
      <c r="AV59" s="336"/>
      <c r="AW59" s="336"/>
      <c r="AX59" s="336"/>
      <c r="AY59" s="336"/>
      <c r="AZ59" s="336"/>
      <c r="BA59" s="336"/>
      <c r="BB59" s="336"/>
      <c r="BC59" s="336"/>
      <c r="BD59" s="336"/>
      <c r="BE59" s="336"/>
      <c r="BF59" s="336"/>
      <c r="BG59" s="336"/>
      <c r="BH59" s="132"/>
      <c r="BI59" s="132"/>
      <c r="BJ59" s="132"/>
      <c r="BK59" s="132"/>
      <c r="BL59" s="132"/>
      <c r="BM59" s="336"/>
      <c r="BN59" s="336"/>
      <c r="BO59" s="132"/>
    </row>
    <row r="60" spans="5:68">
      <c r="E60" s="300" t="s">
        <v>403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336"/>
      <c r="AU60" s="336"/>
      <c r="AV60" s="336"/>
      <c r="AW60" s="336"/>
      <c r="AX60" s="336"/>
      <c r="AY60" s="336"/>
      <c r="AZ60" s="336"/>
      <c r="BA60" s="336"/>
      <c r="BB60" s="336"/>
      <c r="BC60" s="336"/>
      <c r="BD60" s="336"/>
      <c r="BE60" s="336"/>
      <c r="BF60" s="336"/>
      <c r="BG60" s="336"/>
      <c r="BH60" s="132"/>
      <c r="BI60" s="132"/>
      <c r="BJ60" s="132"/>
      <c r="BK60" s="132"/>
      <c r="BL60" s="132"/>
      <c r="BM60" s="336"/>
      <c r="BN60" s="336"/>
      <c r="BO60" s="132"/>
    </row>
    <row r="61" spans="5:68">
      <c r="E61" s="300" t="s">
        <v>534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336"/>
      <c r="AU61" s="336"/>
      <c r="AV61" s="336"/>
      <c r="AW61" s="336"/>
      <c r="AX61" s="336"/>
      <c r="AY61" s="336"/>
      <c r="AZ61" s="336"/>
      <c r="BA61" s="336"/>
      <c r="BB61" s="336"/>
      <c r="BC61" s="336"/>
      <c r="BD61" s="336"/>
      <c r="BE61" s="336"/>
      <c r="BF61" s="336"/>
      <c r="BG61" s="336"/>
      <c r="BH61" s="132"/>
      <c r="BI61" s="132"/>
      <c r="BJ61" s="132"/>
      <c r="BK61" s="132"/>
      <c r="BL61" s="132"/>
      <c r="BM61" s="336"/>
      <c r="BN61" s="336"/>
      <c r="BO61" s="132"/>
    </row>
    <row r="62" spans="5:68">
      <c r="E62" s="300" t="s">
        <v>514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336"/>
      <c r="AU62" s="336"/>
      <c r="AV62" s="336"/>
      <c r="AW62" s="336"/>
      <c r="AX62" s="336"/>
      <c r="AY62" s="336"/>
      <c r="AZ62" s="336"/>
      <c r="BA62" s="336"/>
      <c r="BB62" s="336"/>
      <c r="BC62" s="336"/>
      <c r="BD62" s="336"/>
      <c r="BE62" s="336"/>
      <c r="BF62" s="336"/>
      <c r="BG62" s="336"/>
      <c r="BH62" s="132"/>
      <c r="BI62" s="132"/>
      <c r="BJ62" s="132"/>
      <c r="BK62" s="132"/>
      <c r="BL62" s="132"/>
      <c r="BM62" s="336"/>
      <c r="BN62" s="336"/>
      <c r="BO62" s="132"/>
    </row>
    <row r="63" spans="5:68">
      <c r="E63" s="300" t="s">
        <v>513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336"/>
      <c r="AU63" s="336"/>
      <c r="AV63" s="336"/>
      <c r="AW63" s="336"/>
      <c r="AX63" s="336"/>
      <c r="AY63" s="336"/>
      <c r="AZ63" s="336"/>
      <c r="BA63" s="336"/>
      <c r="BB63" s="336"/>
      <c r="BC63" s="336"/>
      <c r="BD63" s="336"/>
      <c r="BE63" s="336"/>
      <c r="BF63" s="336"/>
      <c r="BG63" s="336"/>
      <c r="BH63" s="132"/>
      <c r="BI63" s="132"/>
      <c r="BJ63" s="132"/>
      <c r="BK63" s="132"/>
      <c r="BL63" s="132"/>
      <c r="BM63" s="336"/>
      <c r="BN63" s="336"/>
      <c r="BO63" s="132"/>
    </row>
    <row r="64" spans="5:68">
      <c r="E64" s="300" t="s">
        <v>427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336"/>
      <c r="AU64" s="336"/>
      <c r="AV64" s="336"/>
      <c r="AW64" s="336"/>
      <c r="AX64" s="336"/>
      <c r="AY64" s="336"/>
      <c r="AZ64" s="336"/>
      <c r="BA64" s="336"/>
      <c r="BB64" s="336"/>
      <c r="BC64" s="336"/>
      <c r="BD64" s="336"/>
      <c r="BE64" s="336"/>
      <c r="BF64" s="336"/>
      <c r="BG64" s="336"/>
      <c r="BH64" s="132"/>
      <c r="BI64" s="132"/>
      <c r="BJ64" s="132"/>
      <c r="BK64" s="132"/>
      <c r="BL64" s="132"/>
      <c r="BM64" s="336"/>
      <c r="BN64" s="336"/>
      <c r="BO64" s="132"/>
    </row>
    <row r="65" spans="5:67">
      <c r="E65" s="300" t="s">
        <v>424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336"/>
      <c r="AU65" s="336"/>
      <c r="AV65" s="336"/>
      <c r="AW65" s="336"/>
      <c r="AX65" s="336"/>
      <c r="AY65" s="336"/>
      <c r="AZ65" s="336"/>
      <c r="BA65" s="336"/>
      <c r="BB65" s="336"/>
      <c r="BC65" s="336"/>
      <c r="BD65" s="336"/>
      <c r="BE65" s="336"/>
      <c r="BF65" s="336"/>
      <c r="BG65" s="336"/>
      <c r="BH65" s="132"/>
      <c r="BI65" s="132"/>
      <c r="BJ65" s="132"/>
      <c r="BK65" s="132"/>
      <c r="BL65" s="132"/>
      <c r="BM65" s="336"/>
      <c r="BN65" s="336"/>
      <c r="BO65" s="132"/>
    </row>
    <row r="66" spans="5:67">
      <c r="E66" s="300" t="s">
        <v>438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336"/>
      <c r="AU66" s="336"/>
      <c r="AV66" s="336"/>
      <c r="AW66" s="336"/>
      <c r="AX66" s="336"/>
      <c r="AY66" s="336"/>
      <c r="AZ66" s="336"/>
      <c r="BA66" s="336"/>
      <c r="BB66" s="336"/>
      <c r="BC66" s="336"/>
      <c r="BD66" s="336"/>
      <c r="BE66" s="336"/>
      <c r="BF66" s="336"/>
      <c r="BG66" s="336"/>
      <c r="BH66" s="132"/>
      <c r="BI66" s="132"/>
      <c r="BJ66" s="132"/>
      <c r="BK66" s="132"/>
      <c r="BL66" s="132"/>
      <c r="BM66" s="336"/>
      <c r="BN66" s="336"/>
      <c r="BO66" s="132"/>
    </row>
    <row r="67" spans="5:67">
      <c r="E67" s="300" t="s">
        <v>425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336"/>
      <c r="AU67" s="336"/>
      <c r="AV67" s="336"/>
      <c r="AW67" s="336"/>
      <c r="AX67" s="336"/>
      <c r="AY67" s="336"/>
      <c r="AZ67" s="336"/>
      <c r="BA67" s="336"/>
      <c r="BB67" s="336"/>
      <c r="BC67" s="336"/>
      <c r="BD67" s="336"/>
      <c r="BE67" s="336"/>
      <c r="BF67" s="336"/>
      <c r="BG67" s="336"/>
      <c r="BH67" s="132"/>
      <c r="BI67" s="132"/>
      <c r="BJ67" s="132"/>
      <c r="BK67" s="132"/>
      <c r="BL67" s="132"/>
      <c r="BM67" s="336"/>
      <c r="BN67" s="336"/>
      <c r="BO67" s="132"/>
    </row>
    <row r="68" spans="5:67">
      <c r="E68" s="300" t="s">
        <v>420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>
      <c r="E69" s="300" t="s">
        <v>633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>
      <c r="E70" s="300" t="s">
        <v>635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>
      <c r="E72" s="300" t="s">
        <v>413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>
      <c r="E73" s="300"/>
      <c r="F73" s="440" t="s">
        <v>405</v>
      </c>
      <c r="G73" s="440"/>
      <c r="H73" s="440"/>
      <c r="I73" s="440"/>
      <c r="J73" s="440"/>
      <c r="K73" s="440"/>
      <c r="L73" s="440"/>
      <c r="M73" s="440"/>
      <c r="N73" s="440"/>
      <c r="O73" s="440"/>
      <c r="P73" s="440"/>
      <c r="Q73" s="440"/>
      <c r="R73" s="440"/>
      <c r="S73" s="440"/>
      <c r="T73" s="440"/>
      <c r="U73" s="440"/>
      <c r="V73" s="440"/>
      <c r="W73" s="440"/>
      <c r="X73" s="440"/>
      <c r="Y73" s="440"/>
      <c r="Z73" s="440"/>
      <c r="AA73" s="440"/>
      <c r="AB73" s="440"/>
      <c r="AC73" s="440"/>
      <c r="AD73" s="440"/>
      <c r="AE73" s="440"/>
      <c r="AF73" s="440"/>
      <c r="AG73" s="440"/>
      <c r="AH73" s="440"/>
      <c r="AI73" s="440"/>
      <c r="AJ73" s="440"/>
      <c r="AK73" s="440"/>
      <c r="AL73" s="440"/>
      <c r="AM73" s="440"/>
      <c r="AN73" s="440"/>
      <c r="AO73" s="440"/>
      <c r="AP73" s="336" t="s">
        <v>441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>
      <c r="E75" s="300"/>
      <c r="F75" s="440" t="s">
        <v>442</v>
      </c>
      <c r="G75" s="440"/>
      <c r="H75" s="440"/>
      <c r="I75" s="440"/>
      <c r="J75" s="440"/>
      <c r="K75" s="440"/>
      <c r="L75" s="440"/>
      <c r="M75" s="440"/>
      <c r="N75" s="440"/>
      <c r="O75" s="440"/>
      <c r="P75" s="440"/>
      <c r="Q75" s="440"/>
      <c r="R75" s="440"/>
      <c r="S75" s="440"/>
      <c r="T75" s="440"/>
      <c r="U75" s="440"/>
      <c r="V75" s="440"/>
      <c r="W75" s="440"/>
      <c r="X75" s="440"/>
      <c r="Y75" s="440"/>
      <c r="Z75" s="440"/>
      <c r="AA75" s="440"/>
      <c r="AB75" s="440"/>
      <c r="AC75" s="440"/>
      <c r="AD75" s="440"/>
      <c r="AE75" s="440"/>
      <c r="AF75" s="440"/>
      <c r="AG75" s="440"/>
      <c r="AH75" s="440"/>
      <c r="AI75" s="440"/>
      <c r="AJ75" s="440"/>
      <c r="AK75" s="440"/>
      <c r="AL75" s="440"/>
      <c r="AM75" s="440"/>
      <c r="AN75" s="440"/>
      <c r="AO75" s="440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28">
      <c r="E84" s="300"/>
      <c r="F84" s="346" t="s">
        <v>409</v>
      </c>
      <c r="G84" s="346" t="s">
        <v>411</v>
      </c>
      <c r="H84" s="346" t="s">
        <v>412</v>
      </c>
      <c r="I84" s="346" t="s">
        <v>431</v>
      </c>
      <c r="J84" s="346" t="s">
        <v>453</v>
      </c>
      <c r="K84" s="346" t="s">
        <v>545</v>
      </c>
      <c r="L84" s="346" t="s">
        <v>546</v>
      </c>
      <c r="M84" s="346" t="s">
        <v>490</v>
      </c>
      <c r="N84" s="346" t="s">
        <v>538</v>
      </c>
      <c r="O84" s="345" t="s">
        <v>521</v>
      </c>
      <c r="P84" s="346" t="s">
        <v>488</v>
      </c>
      <c r="Q84" s="345" t="s">
        <v>491</v>
      </c>
      <c r="R84" s="346" t="s">
        <v>516</v>
      </c>
      <c r="S84" s="207" t="s">
        <v>509</v>
      </c>
      <c r="T84" s="346" t="s">
        <v>495</v>
      </c>
      <c r="U84" s="345" t="s">
        <v>520</v>
      </c>
      <c r="V84" s="345" t="s">
        <v>515</v>
      </c>
      <c r="W84" s="345" t="s">
        <v>512</v>
      </c>
      <c r="X84" s="345" t="s">
        <v>518</v>
      </c>
      <c r="Y84" s="207" t="s">
        <v>517</v>
      </c>
      <c r="Z84" s="207" t="s">
        <v>503</v>
      </c>
      <c r="AA84" s="207" t="s">
        <v>535</v>
      </c>
      <c r="AB84" s="207" t="s">
        <v>504</v>
      </c>
      <c r="AC84" s="207" t="s">
        <v>506</v>
      </c>
      <c r="AD84" s="207" t="s">
        <v>505</v>
      </c>
      <c r="AE84" s="207" t="s">
        <v>600</v>
      </c>
      <c r="AF84" s="229" t="s">
        <v>501</v>
      </c>
      <c r="AG84" s="229" t="s">
        <v>671</v>
      </c>
      <c r="AH84" s="207" t="s">
        <v>500</v>
      </c>
      <c r="AI84" s="346" t="s">
        <v>502</v>
      </c>
      <c r="AJ84" s="207" t="s">
        <v>634</v>
      </c>
      <c r="AK84" s="207" t="s">
        <v>636</v>
      </c>
      <c r="AL84" s="207" t="s">
        <v>524</v>
      </c>
      <c r="AM84" s="207" t="s">
        <v>525</v>
      </c>
      <c r="AN84" s="207" t="s">
        <v>526</v>
      </c>
      <c r="AO84" s="207" t="s">
        <v>536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>
      <c r="E85" s="300" t="s">
        <v>408</v>
      </c>
      <c r="F85" s="348">
        <f>MCC_M_RUVY_matrices_mat_level!C153*MCC_h_RUVY_matrices_mat_level!C152 / MCC_MW_RUVY_matrices_mat_level!F84</f>
        <v>-1777985.4355511186</v>
      </c>
      <c r="G85" s="348">
        <v>0</v>
      </c>
      <c r="H85" s="348">
        <v>0</v>
      </c>
      <c r="I85" s="348">
        <v>0</v>
      </c>
      <c r="J85" s="348">
        <v>0</v>
      </c>
      <c r="K85" s="348">
        <v>0</v>
      </c>
      <c r="L85" s="348">
        <v>0</v>
      </c>
      <c r="M85" s="348">
        <v>0</v>
      </c>
      <c r="N85" s="348">
        <v>0</v>
      </c>
      <c r="O85" s="348">
        <v>0</v>
      </c>
      <c r="P85" s="348">
        <v>0</v>
      </c>
      <c r="Q85" s="348">
        <v>0</v>
      </c>
      <c r="R85" s="348">
        <v>0</v>
      </c>
      <c r="S85" s="348">
        <v>0</v>
      </c>
      <c r="T85" s="348">
        <v>0</v>
      </c>
      <c r="U85" s="348">
        <v>0</v>
      </c>
      <c r="V85" s="348">
        <v>0</v>
      </c>
      <c r="W85" s="348">
        <v>0</v>
      </c>
      <c r="X85" s="348">
        <v>0</v>
      </c>
      <c r="Y85" s="348">
        <v>0</v>
      </c>
      <c r="Z85" s="348">
        <v>0</v>
      </c>
      <c r="AA85" s="348">
        <v>0</v>
      </c>
      <c r="AB85" s="348">
        <v>0</v>
      </c>
      <c r="AC85" s="348">
        <v>0</v>
      </c>
      <c r="AD85" s="348">
        <v>0</v>
      </c>
      <c r="AE85" s="348">
        <v>0</v>
      </c>
      <c r="AF85" s="348">
        <v>0</v>
      </c>
      <c r="AG85" s="348">
        <v>0</v>
      </c>
      <c r="AH85" s="348">
        <v>0</v>
      </c>
      <c r="AI85" s="348">
        <v>0</v>
      </c>
      <c r="AJ85" s="348">
        <v>0</v>
      </c>
      <c r="AK85" s="348">
        <v>0</v>
      </c>
      <c r="AL85" s="348">
        <v>0</v>
      </c>
      <c r="AM85" s="348">
        <v>0</v>
      </c>
      <c r="AN85" s="348">
        <v>0</v>
      </c>
      <c r="AO85" s="348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5.6">
      <c r="E86" s="332" t="s">
        <v>492</v>
      </c>
      <c r="F86" s="348">
        <v>0</v>
      </c>
      <c r="G86" s="348">
        <f>MCC_M_RUVY_matrices_mat_level!D154*MCC_h_RUVY_matrices_mat_level!D153 / MCC_MW_RUVY_matrices_mat_level!G85</f>
        <v>-1359457.7959575919</v>
      </c>
      <c r="H86" s="348">
        <v>0</v>
      </c>
      <c r="I86" s="348">
        <v>0</v>
      </c>
      <c r="J86" s="348">
        <v>0</v>
      </c>
      <c r="K86" s="348">
        <v>0</v>
      </c>
      <c r="L86" s="348">
        <v>0</v>
      </c>
      <c r="M86" s="348">
        <v>0</v>
      </c>
      <c r="N86" s="348">
        <v>0</v>
      </c>
      <c r="O86" s="348">
        <v>0</v>
      </c>
      <c r="P86" s="348">
        <v>0</v>
      </c>
      <c r="Q86" s="348">
        <v>0</v>
      </c>
      <c r="R86" s="348">
        <v>0</v>
      </c>
      <c r="S86" s="348">
        <v>0</v>
      </c>
      <c r="T86" s="348">
        <v>0</v>
      </c>
      <c r="U86" s="348">
        <v>0</v>
      </c>
      <c r="V86" s="348">
        <v>0</v>
      </c>
      <c r="W86" s="348">
        <v>0</v>
      </c>
      <c r="X86" s="348">
        <v>0</v>
      </c>
      <c r="Y86" s="348">
        <v>0</v>
      </c>
      <c r="Z86" s="348">
        <v>0</v>
      </c>
      <c r="AA86" s="348">
        <v>0</v>
      </c>
      <c r="AB86" s="348">
        <v>0</v>
      </c>
      <c r="AC86" s="348">
        <v>0</v>
      </c>
      <c r="AD86" s="348">
        <v>0</v>
      </c>
      <c r="AE86" s="348">
        <v>0</v>
      </c>
      <c r="AF86" s="348">
        <v>0</v>
      </c>
      <c r="AG86" s="348">
        <v>0</v>
      </c>
      <c r="AH86" s="348">
        <v>0</v>
      </c>
      <c r="AI86" s="348">
        <v>0</v>
      </c>
      <c r="AJ86" s="348">
        <v>0</v>
      </c>
      <c r="AK86" s="348">
        <v>0</v>
      </c>
      <c r="AL86" s="348">
        <v>0</v>
      </c>
      <c r="AM86" s="348">
        <v>0</v>
      </c>
      <c r="AN86" s="348">
        <v>0</v>
      </c>
      <c r="AO86" s="348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>
      <c r="E87" s="203" t="s">
        <v>432</v>
      </c>
      <c r="F87" s="348">
        <v>0</v>
      </c>
      <c r="G87" s="348">
        <v>0</v>
      </c>
      <c r="H87" s="348">
        <f>MCC_M_RUVY_matrices_mat_level!E155*MCC_h_RUVY_matrices_mat_level!E154 / MCC_MW_RUVY_matrices_mat_level!H86</f>
        <v>9126570.1860198174</v>
      </c>
      <c r="I87" s="348">
        <v>0</v>
      </c>
      <c r="J87" s="348">
        <v>0</v>
      </c>
      <c r="K87" s="348">
        <v>0</v>
      </c>
      <c r="L87" s="348">
        <v>0</v>
      </c>
      <c r="M87" s="348">
        <v>0</v>
      </c>
      <c r="N87" s="348">
        <v>0</v>
      </c>
      <c r="O87" s="348">
        <v>0</v>
      </c>
      <c r="P87" s="348">
        <v>0</v>
      </c>
      <c r="Q87" s="348">
        <v>0</v>
      </c>
      <c r="R87" s="348">
        <v>0</v>
      </c>
      <c r="S87" s="348">
        <v>0</v>
      </c>
      <c r="T87" s="348">
        <v>0</v>
      </c>
      <c r="U87" s="348">
        <v>0</v>
      </c>
      <c r="V87" s="348">
        <v>0</v>
      </c>
      <c r="W87" s="348">
        <v>0</v>
      </c>
      <c r="X87" s="348">
        <v>0</v>
      </c>
      <c r="Y87" s="348">
        <v>0</v>
      </c>
      <c r="Z87" s="348">
        <v>0</v>
      </c>
      <c r="AA87" s="348">
        <v>0</v>
      </c>
      <c r="AB87" s="348">
        <v>0</v>
      </c>
      <c r="AC87" s="348">
        <v>0</v>
      </c>
      <c r="AD87" s="348">
        <v>0</v>
      </c>
      <c r="AE87" s="348">
        <v>0</v>
      </c>
      <c r="AF87" s="348">
        <v>0</v>
      </c>
      <c r="AG87" s="348">
        <v>0</v>
      </c>
      <c r="AH87" s="348">
        <v>0</v>
      </c>
      <c r="AI87" s="348">
        <v>0</v>
      </c>
      <c r="AJ87" s="348">
        <v>0</v>
      </c>
      <c r="AK87" s="348">
        <v>0</v>
      </c>
      <c r="AL87" s="348">
        <v>0</v>
      </c>
      <c r="AM87" s="348">
        <v>0</v>
      </c>
      <c r="AN87" s="348">
        <v>0</v>
      </c>
      <c r="AO87" s="348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>
      <c r="E88" s="300" t="s">
        <v>456</v>
      </c>
      <c r="F88" s="348">
        <v>0</v>
      </c>
      <c r="G88" s="348">
        <v>0</v>
      </c>
      <c r="H88" s="348">
        <v>0</v>
      </c>
      <c r="I88" s="348">
        <f>MCC_M_RUVY_matrices_mat_level!F156*MCC_h_RUVY_matrices_mat_level!F155 / MCC_MW_RUVY_matrices_mat_level!I87</f>
        <v>0</v>
      </c>
      <c r="J88" s="348">
        <v>0</v>
      </c>
      <c r="K88" s="348">
        <v>0</v>
      </c>
      <c r="L88" s="348">
        <v>0</v>
      </c>
      <c r="M88" s="348">
        <v>0</v>
      </c>
      <c r="N88" s="348">
        <v>0</v>
      </c>
      <c r="O88" s="348">
        <v>0</v>
      </c>
      <c r="P88" s="348">
        <v>0</v>
      </c>
      <c r="Q88" s="348">
        <v>0</v>
      </c>
      <c r="R88" s="348">
        <v>0</v>
      </c>
      <c r="S88" s="348">
        <v>0</v>
      </c>
      <c r="T88" s="348">
        <v>0</v>
      </c>
      <c r="U88" s="348">
        <v>0</v>
      </c>
      <c r="V88" s="348">
        <v>0</v>
      </c>
      <c r="W88" s="348">
        <v>0</v>
      </c>
      <c r="X88" s="348">
        <v>0</v>
      </c>
      <c r="Y88" s="348">
        <v>0</v>
      </c>
      <c r="Z88" s="348">
        <v>0</v>
      </c>
      <c r="AA88" s="348">
        <v>0</v>
      </c>
      <c r="AB88" s="348">
        <v>0</v>
      </c>
      <c r="AC88" s="348">
        <v>0</v>
      </c>
      <c r="AD88" s="348">
        <v>0</v>
      </c>
      <c r="AE88" s="348">
        <v>0</v>
      </c>
      <c r="AF88" s="348">
        <v>0</v>
      </c>
      <c r="AG88" s="348">
        <v>0</v>
      </c>
      <c r="AH88" s="348">
        <v>0</v>
      </c>
      <c r="AI88" s="348">
        <v>0</v>
      </c>
      <c r="AJ88" s="348">
        <v>0</v>
      </c>
      <c r="AK88" s="348">
        <v>0</v>
      </c>
      <c r="AL88" s="348">
        <v>0</v>
      </c>
      <c r="AM88" s="348">
        <v>0</v>
      </c>
      <c r="AN88" s="348">
        <v>0</v>
      </c>
      <c r="AO88" s="348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>
      <c r="E89" s="300" t="s">
        <v>452</v>
      </c>
      <c r="F89" s="348">
        <v>0</v>
      </c>
      <c r="G89" s="348">
        <v>0</v>
      </c>
      <c r="H89" s="348">
        <v>0</v>
      </c>
      <c r="I89" s="348">
        <v>0</v>
      </c>
      <c r="J89" s="348">
        <f>MCC_M_RUVY_matrices_mat_level!G157*MCC_h_RUVY_matrices_mat_level!G156 / MCC_MW_RUVY_matrices_mat_level!J88</f>
        <v>-1333105.1092348634</v>
      </c>
      <c r="K89" s="348">
        <v>0</v>
      </c>
      <c r="L89" s="348">
        <v>0</v>
      </c>
      <c r="M89" s="348">
        <v>0</v>
      </c>
      <c r="N89" s="348">
        <v>0</v>
      </c>
      <c r="O89" s="348">
        <v>0</v>
      </c>
      <c r="P89" s="348">
        <v>0</v>
      </c>
      <c r="Q89" s="348">
        <v>0</v>
      </c>
      <c r="R89" s="348">
        <v>0</v>
      </c>
      <c r="S89" s="348">
        <v>0</v>
      </c>
      <c r="T89" s="348">
        <v>0</v>
      </c>
      <c r="U89" s="348">
        <v>0</v>
      </c>
      <c r="V89" s="348">
        <v>0</v>
      </c>
      <c r="W89" s="348">
        <v>0</v>
      </c>
      <c r="X89" s="348">
        <v>0</v>
      </c>
      <c r="Y89" s="348">
        <v>0</v>
      </c>
      <c r="Z89" s="348">
        <v>0</v>
      </c>
      <c r="AA89" s="348">
        <v>0</v>
      </c>
      <c r="AB89" s="348">
        <v>0</v>
      </c>
      <c r="AC89" s="348">
        <v>0</v>
      </c>
      <c r="AD89" s="348">
        <v>0</v>
      </c>
      <c r="AE89" s="348">
        <v>0</v>
      </c>
      <c r="AF89" s="348">
        <v>0</v>
      </c>
      <c r="AG89" s="348">
        <v>0</v>
      </c>
      <c r="AH89" s="348">
        <v>0</v>
      </c>
      <c r="AI89" s="348">
        <v>0</v>
      </c>
      <c r="AJ89" s="348">
        <v>0</v>
      </c>
      <c r="AK89" s="348">
        <v>0</v>
      </c>
      <c r="AL89" s="348">
        <v>0</v>
      </c>
      <c r="AM89" s="348">
        <v>0</v>
      </c>
      <c r="AN89" s="348">
        <v>0</v>
      </c>
      <c r="AO89" s="348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>
      <c r="E90" s="300" t="s">
        <v>548</v>
      </c>
      <c r="F90" s="348">
        <v>0</v>
      </c>
      <c r="G90" s="348">
        <v>0</v>
      </c>
      <c r="H90" s="348">
        <v>0</v>
      </c>
      <c r="I90" s="348">
        <v>0</v>
      </c>
      <c r="J90" s="348">
        <v>0</v>
      </c>
      <c r="K90" s="348">
        <f>MCC_M_RUVY_matrices_mat_level!H158*MCC_h_RUVY_matrices_mat_level!H157 / MCC_MW_RUVY_matrices_mat_level!K89</f>
        <v>110229.37028964539</v>
      </c>
      <c r="L90" s="348">
        <v>0</v>
      </c>
      <c r="M90" s="348">
        <v>0</v>
      </c>
      <c r="N90" s="348">
        <v>0</v>
      </c>
      <c r="O90" s="348">
        <v>0</v>
      </c>
      <c r="P90" s="348">
        <v>0</v>
      </c>
      <c r="Q90" s="348">
        <v>0</v>
      </c>
      <c r="R90" s="348">
        <v>0</v>
      </c>
      <c r="S90" s="348">
        <v>0</v>
      </c>
      <c r="T90" s="348">
        <v>0</v>
      </c>
      <c r="U90" s="348">
        <v>0</v>
      </c>
      <c r="V90" s="348">
        <v>0</v>
      </c>
      <c r="W90" s="348">
        <v>0</v>
      </c>
      <c r="X90" s="348">
        <v>0</v>
      </c>
      <c r="Y90" s="348">
        <v>0</v>
      </c>
      <c r="Z90" s="348">
        <v>0</v>
      </c>
      <c r="AA90" s="348">
        <v>0</v>
      </c>
      <c r="AB90" s="348">
        <v>0</v>
      </c>
      <c r="AC90" s="348">
        <v>0</v>
      </c>
      <c r="AD90" s="348">
        <v>0</v>
      </c>
      <c r="AE90" s="348">
        <v>0</v>
      </c>
      <c r="AF90" s="348">
        <v>0</v>
      </c>
      <c r="AG90" s="348">
        <v>0</v>
      </c>
      <c r="AH90" s="348">
        <v>0</v>
      </c>
      <c r="AI90" s="348">
        <v>0</v>
      </c>
      <c r="AJ90" s="348">
        <v>0</v>
      </c>
      <c r="AK90" s="348">
        <v>0</v>
      </c>
      <c r="AL90" s="348">
        <v>0</v>
      </c>
      <c r="AM90" s="348">
        <v>0</v>
      </c>
      <c r="AN90" s="348">
        <v>0</v>
      </c>
      <c r="AO90" s="348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>
      <c r="E91" s="300" t="s">
        <v>547</v>
      </c>
      <c r="F91" s="348">
        <v>0</v>
      </c>
      <c r="G91" s="348">
        <v>0</v>
      </c>
      <c r="H91" s="348">
        <v>0</v>
      </c>
      <c r="I91" s="348">
        <v>0</v>
      </c>
      <c r="J91" s="348">
        <v>0</v>
      </c>
      <c r="K91" s="348">
        <v>0</v>
      </c>
      <c r="L91" s="348">
        <f>MCC_M_RUVY_matrices_mat_level!I159*MCC_h_RUVY_matrices_mat_level!I158 / MCC_MW_RUVY_matrices_mat_level!L90</f>
        <v>-1.1322425723331082</v>
      </c>
      <c r="M91" s="348">
        <v>0</v>
      </c>
      <c r="N91" s="348">
        <v>0</v>
      </c>
      <c r="O91" s="348">
        <v>0</v>
      </c>
      <c r="P91" s="348">
        <v>0</v>
      </c>
      <c r="Q91" s="348">
        <v>0</v>
      </c>
      <c r="R91" s="348">
        <v>0</v>
      </c>
      <c r="S91" s="348">
        <v>0</v>
      </c>
      <c r="T91" s="348">
        <v>0</v>
      </c>
      <c r="U91" s="348">
        <v>0</v>
      </c>
      <c r="V91" s="348">
        <v>0</v>
      </c>
      <c r="W91" s="348">
        <v>0</v>
      </c>
      <c r="X91" s="348">
        <v>0</v>
      </c>
      <c r="Y91" s="348">
        <v>0</v>
      </c>
      <c r="Z91" s="348">
        <v>0</v>
      </c>
      <c r="AA91" s="348">
        <v>0</v>
      </c>
      <c r="AB91" s="348">
        <v>0</v>
      </c>
      <c r="AC91" s="348">
        <v>0</v>
      </c>
      <c r="AD91" s="348">
        <v>0</v>
      </c>
      <c r="AE91" s="348">
        <v>0</v>
      </c>
      <c r="AF91" s="348">
        <v>0</v>
      </c>
      <c r="AG91" s="348">
        <v>0</v>
      </c>
      <c r="AH91" s="348">
        <v>0</v>
      </c>
      <c r="AI91" s="348">
        <v>0</v>
      </c>
      <c r="AJ91" s="348">
        <v>0</v>
      </c>
      <c r="AK91" s="348">
        <v>0</v>
      </c>
      <c r="AL91" s="348">
        <v>0</v>
      </c>
      <c r="AM91" s="348">
        <v>0</v>
      </c>
      <c r="AN91" s="348">
        <v>0</v>
      </c>
      <c r="AO91" s="348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>
      <c r="E92" s="300" t="s">
        <v>489</v>
      </c>
      <c r="F92" s="348">
        <v>0</v>
      </c>
      <c r="G92" s="348">
        <v>0</v>
      </c>
      <c r="H92" s="348">
        <v>0</v>
      </c>
      <c r="I92" s="348">
        <v>0</v>
      </c>
      <c r="J92" s="348">
        <v>0</v>
      </c>
      <c r="K92" s="348">
        <v>0</v>
      </c>
      <c r="L92" s="348">
        <v>0</v>
      </c>
      <c r="M92" s="348">
        <f>MCC_M_RUVY_matrices_mat_level!J160*MCC_h_RUVY_matrices_mat_level!J159 / MCC_MW_RUVY_matrices_mat_level!M91</f>
        <v>194131.36779323625</v>
      </c>
      <c r="N92" s="348">
        <v>0</v>
      </c>
      <c r="O92" s="348">
        <v>0</v>
      </c>
      <c r="P92" s="348">
        <v>0</v>
      </c>
      <c r="Q92" s="348">
        <v>0</v>
      </c>
      <c r="R92" s="348">
        <v>0</v>
      </c>
      <c r="S92" s="348">
        <v>0</v>
      </c>
      <c r="T92" s="348">
        <v>0</v>
      </c>
      <c r="U92" s="348">
        <v>0</v>
      </c>
      <c r="V92" s="348">
        <v>0</v>
      </c>
      <c r="W92" s="348">
        <v>0</v>
      </c>
      <c r="X92" s="348">
        <v>0</v>
      </c>
      <c r="Y92" s="348">
        <v>0</v>
      </c>
      <c r="Z92" s="348">
        <v>0</v>
      </c>
      <c r="AA92" s="348">
        <v>0</v>
      </c>
      <c r="AB92" s="348">
        <v>0</v>
      </c>
      <c r="AC92" s="348">
        <v>0</v>
      </c>
      <c r="AD92" s="348">
        <v>0</v>
      </c>
      <c r="AE92" s="348">
        <v>0</v>
      </c>
      <c r="AF92" s="348">
        <v>0</v>
      </c>
      <c r="AG92" s="348">
        <v>0</v>
      </c>
      <c r="AH92" s="348">
        <v>0</v>
      </c>
      <c r="AI92" s="348">
        <v>0</v>
      </c>
      <c r="AJ92" s="348">
        <v>0</v>
      </c>
      <c r="AK92" s="348">
        <v>0</v>
      </c>
      <c r="AL92" s="348">
        <v>0</v>
      </c>
      <c r="AM92" s="348">
        <v>0</v>
      </c>
      <c r="AN92" s="348">
        <v>0</v>
      </c>
      <c r="AO92" s="348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>
      <c r="E93" s="300" t="s">
        <v>537</v>
      </c>
      <c r="F93" s="348">
        <v>0</v>
      </c>
      <c r="G93" s="348">
        <v>0</v>
      </c>
      <c r="H93" s="348">
        <v>0</v>
      </c>
      <c r="I93" s="348">
        <v>0</v>
      </c>
      <c r="J93" s="348">
        <v>0</v>
      </c>
      <c r="K93" s="348">
        <v>0</v>
      </c>
      <c r="L93" s="348">
        <v>0</v>
      </c>
      <c r="M93" s="348">
        <v>0</v>
      </c>
      <c r="N93" s="348">
        <v>0</v>
      </c>
      <c r="O93" s="348">
        <v>0</v>
      </c>
      <c r="P93" s="348">
        <v>0</v>
      </c>
      <c r="Q93" s="348">
        <v>0</v>
      </c>
      <c r="R93" s="348">
        <v>0</v>
      </c>
      <c r="S93" s="348">
        <v>0</v>
      </c>
      <c r="T93" s="348">
        <v>0</v>
      </c>
      <c r="U93" s="348">
        <v>0</v>
      </c>
      <c r="V93" s="348">
        <v>0</v>
      </c>
      <c r="W93" s="348">
        <v>0</v>
      </c>
      <c r="X93" s="348">
        <v>0</v>
      </c>
      <c r="Y93" s="348">
        <v>0</v>
      </c>
      <c r="Z93" s="348">
        <v>0</v>
      </c>
      <c r="AA93" s="348">
        <v>0</v>
      </c>
      <c r="AB93" s="348">
        <v>0</v>
      </c>
      <c r="AC93" s="348">
        <v>0</v>
      </c>
      <c r="AD93" s="348">
        <v>0</v>
      </c>
      <c r="AE93" s="348">
        <v>0</v>
      </c>
      <c r="AF93" s="348">
        <v>0</v>
      </c>
      <c r="AG93" s="348">
        <v>0</v>
      </c>
      <c r="AH93" s="348">
        <v>0</v>
      </c>
      <c r="AI93" s="348">
        <v>0</v>
      </c>
      <c r="AJ93" s="348">
        <v>0</v>
      </c>
      <c r="AK93" s="348">
        <v>0</v>
      </c>
      <c r="AL93" s="348">
        <v>0</v>
      </c>
      <c r="AM93" s="348">
        <v>0</v>
      </c>
      <c r="AN93" s="348">
        <v>0</v>
      </c>
      <c r="AO93" s="348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>
      <c r="E94" s="132"/>
      <c r="F94" s="440" t="s">
        <v>57</v>
      </c>
      <c r="G94" s="440"/>
      <c r="H94" s="440"/>
      <c r="I94" s="440"/>
      <c r="J94" s="440"/>
      <c r="K94" s="440"/>
      <c r="L94" s="440"/>
      <c r="M94" s="440"/>
      <c r="N94" s="440"/>
      <c r="O94" s="440"/>
      <c r="P94" s="440"/>
      <c r="Q94" s="440"/>
      <c r="R94" s="440"/>
      <c r="S94" s="440"/>
      <c r="T94" s="440"/>
      <c r="U94" s="440"/>
      <c r="V94" s="440"/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440"/>
      <c r="AL94" s="440"/>
      <c r="AM94" s="440"/>
      <c r="AN94" s="440"/>
      <c r="AO94" s="440"/>
      <c r="AP94" s="33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>
      <c r="E99" s="3"/>
      <c r="F99" s="438" t="s">
        <v>631</v>
      </c>
      <c r="G99" s="438"/>
      <c r="H99" s="438"/>
      <c r="I99" s="438"/>
      <c r="J99" s="438"/>
      <c r="K99" s="438"/>
      <c r="L99" s="438"/>
      <c r="M99" s="438"/>
      <c r="N99" s="438"/>
    </row>
    <row r="100" spans="5:14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>
      <c r="E102" s="201" t="s">
        <v>409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 t="shared" ref="J102:J137" si="6"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>
      <c r="E103" s="201" t="s">
        <v>411</v>
      </c>
      <c r="F103" s="248">
        <v>-1359457.7959575919</v>
      </c>
      <c r="G103" s="3"/>
      <c r="H103" s="248">
        <v>0</v>
      </c>
      <c r="I103" s="3"/>
      <c r="J103" s="248">
        <f t="shared" si="6"/>
        <v>-1359457.7959575919</v>
      </c>
      <c r="K103" s="3"/>
      <c r="L103" s="248">
        <v>0</v>
      </c>
      <c r="M103" s="3"/>
      <c r="N103" s="295">
        <f t="shared" ref="N103:N137" si="7">F103+H103-J103-L103</f>
        <v>0</v>
      </c>
    </row>
    <row r="104" spans="5:14">
      <c r="E104" s="201" t="s">
        <v>412</v>
      </c>
      <c r="F104" s="248">
        <v>9126570.1860198174</v>
      </c>
      <c r="G104" s="3"/>
      <c r="H104" s="248">
        <v>0</v>
      </c>
      <c r="I104" s="3"/>
      <c r="J104" s="248">
        <f t="shared" si="6"/>
        <v>9126570.1860198174</v>
      </c>
      <c r="K104" s="3"/>
      <c r="L104" s="248">
        <v>0</v>
      </c>
      <c r="M104" s="3"/>
      <c r="N104" s="295">
        <f t="shared" si="7"/>
        <v>0</v>
      </c>
    </row>
    <row r="105" spans="5:14">
      <c r="E105" s="201" t="s">
        <v>431</v>
      </c>
      <c r="F105" s="248">
        <v>0</v>
      </c>
      <c r="G105" s="3"/>
      <c r="H105" s="248">
        <v>0</v>
      </c>
      <c r="I105" s="3"/>
      <c r="J105" s="248">
        <f t="shared" si="6"/>
        <v>0</v>
      </c>
      <c r="K105" s="3"/>
      <c r="L105" s="248">
        <v>0</v>
      </c>
      <c r="M105" s="3"/>
      <c r="N105" s="295">
        <f t="shared" si="7"/>
        <v>0</v>
      </c>
    </row>
    <row r="106" spans="5:14">
      <c r="E106" s="201" t="s">
        <v>453</v>
      </c>
      <c r="F106" s="248">
        <v>-1333105.1092348634</v>
      </c>
      <c r="G106" s="3"/>
      <c r="H106" s="248">
        <v>0</v>
      </c>
      <c r="I106" s="3"/>
      <c r="J106" s="248">
        <f t="shared" si="6"/>
        <v>-1333105.1092348634</v>
      </c>
      <c r="K106" s="3"/>
      <c r="L106" s="248">
        <v>0</v>
      </c>
      <c r="M106" s="3"/>
      <c r="N106" s="295">
        <f t="shared" si="7"/>
        <v>0</v>
      </c>
    </row>
    <row r="107" spans="5:14">
      <c r="E107" s="201" t="s">
        <v>486</v>
      </c>
      <c r="F107" s="248">
        <v>110229.37028964539</v>
      </c>
      <c r="G107" s="3"/>
      <c r="H107" s="248">
        <v>0</v>
      </c>
      <c r="I107" s="3"/>
      <c r="J107" s="248">
        <f t="shared" si="6"/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>
      <c r="E108" s="201" t="s">
        <v>487</v>
      </c>
      <c r="F108" s="248">
        <v>-1.1322425723331082</v>
      </c>
      <c r="G108" s="3"/>
      <c r="H108" s="248">
        <v>0</v>
      </c>
      <c r="I108" s="3"/>
      <c r="J108" s="248">
        <f t="shared" si="6"/>
        <v>-1.1322425723331082</v>
      </c>
      <c r="K108" s="3"/>
      <c r="L108" s="248">
        <v>0</v>
      </c>
      <c r="M108" s="3"/>
      <c r="N108" s="295">
        <f t="shared" si="7"/>
        <v>0</v>
      </c>
    </row>
    <row r="109" spans="5:14">
      <c r="E109" s="201" t="s">
        <v>490</v>
      </c>
      <c r="F109" s="248">
        <v>194131.36779323625</v>
      </c>
      <c r="G109" s="3"/>
      <c r="H109" s="248">
        <v>0</v>
      </c>
      <c r="I109" s="3"/>
      <c r="J109" s="248">
        <f t="shared" si="6"/>
        <v>194131.36779323625</v>
      </c>
      <c r="K109" s="3"/>
      <c r="L109" s="248">
        <v>0</v>
      </c>
      <c r="M109" s="3"/>
      <c r="N109" s="295">
        <f t="shared" si="7"/>
        <v>0</v>
      </c>
    </row>
    <row r="110" spans="5:14">
      <c r="E110" s="201" t="s">
        <v>538</v>
      </c>
      <c r="F110" s="248">
        <v>0</v>
      </c>
      <c r="G110" s="3"/>
      <c r="H110" s="248">
        <v>0</v>
      </c>
      <c r="I110" s="3"/>
      <c r="J110" s="248">
        <f t="shared" si="6"/>
        <v>0</v>
      </c>
      <c r="K110" s="3"/>
      <c r="L110" s="248">
        <v>0</v>
      </c>
      <c r="M110" s="3"/>
      <c r="N110" s="295">
        <f t="shared" si="7"/>
        <v>0</v>
      </c>
    </row>
    <row r="111" spans="5:14" ht="15.6">
      <c r="E111" s="202" t="s">
        <v>521</v>
      </c>
      <c r="F111" s="248">
        <v>0</v>
      </c>
      <c r="G111" s="3"/>
      <c r="H111" s="248">
        <v>-1777985.4355511186</v>
      </c>
      <c r="I111" s="3"/>
      <c r="J111" s="248">
        <f t="shared" si="6"/>
        <v>-1777985.4355511186</v>
      </c>
      <c r="K111" s="3"/>
      <c r="L111" s="248">
        <v>0</v>
      </c>
      <c r="M111" s="3"/>
      <c r="N111" s="295">
        <f t="shared" si="7"/>
        <v>0</v>
      </c>
    </row>
    <row r="112" spans="5:14">
      <c r="E112" s="201" t="s">
        <v>488</v>
      </c>
      <c r="F112" s="248">
        <v>0</v>
      </c>
      <c r="G112" s="3"/>
      <c r="H112" s="248">
        <v>-35429.897676176748</v>
      </c>
      <c r="I112" s="3"/>
      <c r="J112" s="248">
        <f t="shared" si="6"/>
        <v>0</v>
      </c>
      <c r="K112" s="3"/>
      <c r="L112" s="248">
        <v>-35429.897676176748</v>
      </c>
      <c r="M112" s="3"/>
      <c r="N112" s="295">
        <f t="shared" si="7"/>
        <v>0</v>
      </c>
    </row>
    <row r="113" spans="5:14" ht="15.6">
      <c r="E113" s="202" t="s">
        <v>491</v>
      </c>
      <c r="F113" s="248">
        <v>0</v>
      </c>
      <c r="G113" s="3"/>
      <c r="H113" s="248">
        <v>-1359457.7959575919</v>
      </c>
      <c r="I113" s="3"/>
      <c r="J113" s="248">
        <f t="shared" si="6"/>
        <v>-1359457.7959575919</v>
      </c>
      <c r="K113" s="3"/>
      <c r="L113" s="248">
        <v>0</v>
      </c>
      <c r="M113" s="3"/>
      <c r="N113" s="295">
        <f t="shared" si="7"/>
        <v>0</v>
      </c>
    </row>
    <row r="114" spans="5:14">
      <c r="E114" s="201" t="s">
        <v>516</v>
      </c>
      <c r="F114" s="248">
        <v>0</v>
      </c>
      <c r="G114" s="3"/>
      <c r="H114" s="248">
        <v>-106.02767886152715</v>
      </c>
      <c r="I114" s="3"/>
      <c r="J114" s="248">
        <f t="shared" si="6"/>
        <v>0</v>
      </c>
      <c r="K114" s="3"/>
      <c r="L114" s="248">
        <v>-106.02767886152715</v>
      </c>
      <c r="M114" s="3"/>
      <c r="N114" s="295">
        <f t="shared" si="7"/>
        <v>0</v>
      </c>
    </row>
    <row r="115" spans="5:14">
      <c r="E115" s="203" t="s">
        <v>509</v>
      </c>
      <c r="F115" s="248">
        <v>0</v>
      </c>
      <c r="G115" s="255" t="s">
        <v>447</v>
      </c>
      <c r="H115" s="248">
        <v>-112.78165025676648</v>
      </c>
      <c r="I115" s="169" t="s">
        <v>449</v>
      </c>
      <c r="J115" s="248">
        <f t="shared" si="6"/>
        <v>-112.78165025676648</v>
      </c>
      <c r="K115" s="169" t="s">
        <v>449</v>
      </c>
      <c r="L115" s="248">
        <v>0</v>
      </c>
      <c r="M115" s="255" t="s">
        <v>450</v>
      </c>
      <c r="N115" s="295">
        <f t="shared" si="7"/>
        <v>0</v>
      </c>
    </row>
    <row r="116" spans="5:14">
      <c r="E116" s="201" t="s">
        <v>495</v>
      </c>
      <c r="F116" s="248">
        <v>0</v>
      </c>
      <c r="G116" s="3"/>
      <c r="H116" s="248">
        <v>-8771.8572366008211</v>
      </c>
      <c r="I116" s="3"/>
      <c r="J116" s="248">
        <f t="shared" si="6"/>
        <v>0</v>
      </c>
      <c r="K116" s="3"/>
      <c r="L116" s="248">
        <v>-8771.8572366008211</v>
      </c>
      <c r="M116" s="3"/>
      <c r="N116" s="295">
        <f t="shared" si="7"/>
        <v>0</v>
      </c>
    </row>
    <row r="117" spans="5:14" ht="15.6">
      <c r="E117" s="202" t="s">
        <v>520</v>
      </c>
      <c r="F117" s="248">
        <v>0</v>
      </c>
      <c r="G117" s="3"/>
      <c r="H117" s="248">
        <v>-1777985.4355511186</v>
      </c>
      <c r="I117" s="3"/>
      <c r="J117" s="248">
        <f t="shared" si="6"/>
        <v>-1777985.4355511186</v>
      </c>
      <c r="K117" s="3"/>
      <c r="L117" s="248">
        <v>0</v>
      </c>
      <c r="M117" s="3"/>
      <c r="N117" s="295">
        <f t="shared" si="7"/>
        <v>0</v>
      </c>
    </row>
    <row r="118" spans="5:14" ht="15.6">
      <c r="E118" s="202" t="s">
        <v>515</v>
      </c>
      <c r="F118" s="248">
        <v>0</v>
      </c>
      <c r="G118" s="3"/>
      <c r="H118" s="248">
        <v>-1359457.7959575919</v>
      </c>
      <c r="I118" s="3"/>
      <c r="J118" s="248">
        <f t="shared" si="6"/>
        <v>-1359457.7959575919</v>
      </c>
      <c r="K118" s="3"/>
      <c r="L118" s="248">
        <v>0</v>
      </c>
      <c r="M118" s="3"/>
      <c r="N118" s="295">
        <f t="shared" si="7"/>
        <v>0</v>
      </c>
    </row>
    <row r="119" spans="5:14" ht="15.6">
      <c r="E119" s="202" t="s">
        <v>512</v>
      </c>
      <c r="F119" s="248">
        <v>0</v>
      </c>
      <c r="G119" s="3"/>
      <c r="H119" s="248">
        <v>-112.78165025676648</v>
      </c>
      <c r="I119" s="3"/>
      <c r="J119" s="248">
        <f t="shared" si="6"/>
        <v>-112.78165025676648</v>
      </c>
      <c r="K119" s="3"/>
      <c r="L119" s="248">
        <v>0</v>
      </c>
      <c r="M119" s="3"/>
      <c r="N119" s="295">
        <f t="shared" si="7"/>
        <v>0</v>
      </c>
    </row>
    <row r="120" spans="5:14" ht="15.6">
      <c r="E120" s="202" t="s">
        <v>518</v>
      </c>
      <c r="F120" s="248">
        <v>0</v>
      </c>
      <c r="G120" s="3"/>
      <c r="H120" s="248">
        <v>-3797055.1820632704</v>
      </c>
      <c r="I120" s="3"/>
      <c r="J120" s="248">
        <f t="shared" si="6"/>
        <v>-3797055.1820632704</v>
      </c>
      <c r="K120" s="3"/>
      <c r="L120" s="248">
        <v>0</v>
      </c>
      <c r="M120" s="3"/>
      <c r="N120" s="295">
        <f t="shared" si="7"/>
        <v>0</v>
      </c>
    </row>
    <row r="121" spans="5:14">
      <c r="E121" s="203" t="s">
        <v>517</v>
      </c>
      <c r="F121" s="248">
        <v>0</v>
      </c>
      <c r="G121" s="3"/>
      <c r="H121" s="248">
        <v>-66021.418271669754</v>
      </c>
      <c r="I121" s="3"/>
      <c r="J121" s="248">
        <f t="shared" si="6"/>
        <v>0</v>
      </c>
      <c r="K121" s="3"/>
      <c r="L121" s="248">
        <v>-66021.418271669754</v>
      </c>
      <c r="M121" s="3"/>
      <c r="N121" s="295">
        <f t="shared" si="7"/>
        <v>0</v>
      </c>
    </row>
    <row r="122" spans="5:14">
      <c r="E122" s="203" t="s">
        <v>503</v>
      </c>
      <c r="F122" s="248">
        <v>0</v>
      </c>
      <c r="G122" s="3"/>
      <c r="H122" s="248">
        <v>-1359457.7959575919</v>
      </c>
      <c r="I122" s="3"/>
      <c r="J122" s="248">
        <f t="shared" si="6"/>
        <v>-1359457.7959575919</v>
      </c>
      <c r="K122" s="3"/>
      <c r="L122" s="248">
        <v>0</v>
      </c>
      <c r="M122" s="3"/>
      <c r="N122" s="295">
        <f t="shared" si="7"/>
        <v>0</v>
      </c>
    </row>
    <row r="123" spans="5:14">
      <c r="E123" s="203" t="s">
        <v>535</v>
      </c>
      <c r="F123" s="248">
        <v>0</v>
      </c>
      <c r="G123" s="3"/>
      <c r="H123" s="248">
        <v>-112.78165025676648</v>
      </c>
      <c r="I123" s="3"/>
      <c r="J123" s="248">
        <f t="shared" si="6"/>
        <v>-112.78165025676648</v>
      </c>
      <c r="K123" s="3"/>
      <c r="L123" s="248">
        <v>0</v>
      </c>
      <c r="M123" s="3"/>
      <c r="N123" s="295">
        <f t="shared" si="7"/>
        <v>0</v>
      </c>
    </row>
    <row r="124" spans="5:14">
      <c r="E124" s="203" t="s">
        <v>504</v>
      </c>
      <c r="F124" s="248">
        <v>0</v>
      </c>
      <c r="G124" s="3"/>
      <c r="H124" s="248">
        <v>-1256817.6045988721</v>
      </c>
      <c r="I124" s="3"/>
      <c r="J124" s="248">
        <f t="shared" si="6"/>
        <v>-1256817.6045988721</v>
      </c>
      <c r="K124" s="3"/>
      <c r="L124" s="248">
        <v>0</v>
      </c>
      <c r="M124" s="3"/>
      <c r="N124" s="295">
        <f t="shared" si="7"/>
        <v>0</v>
      </c>
    </row>
    <row r="125" spans="5:14">
      <c r="E125" s="203" t="s">
        <v>506</v>
      </c>
      <c r="F125" s="248">
        <v>0</v>
      </c>
      <c r="G125" s="3"/>
      <c r="H125" s="248">
        <v>-74404.460335125405</v>
      </c>
      <c r="I125" s="3"/>
      <c r="J125" s="248">
        <f t="shared" si="6"/>
        <v>0</v>
      </c>
      <c r="K125" s="3"/>
      <c r="L125" s="248">
        <v>-74404.460335125405</v>
      </c>
      <c r="M125" s="3"/>
      <c r="N125" s="295">
        <f t="shared" si="7"/>
        <v>0</v>
      </c>
    </row>
    <row r="126" spans="5:14">
      <c r="E126" s="203" t="s">
        <v>505</v>
      </c>
      <c r="F126" s="248">
        <v>0</v>
      </c>
      <c r="G126" s="3"/>
      <c r="H126" s="248">
        <v>-1082643.9792420177</v>
      </c>
      <c r="I126" s="3"/>
      <c r="J126" s="248">
        <f t="shared" si="6"/>
        <v>0</v>
      </c>
      <c r="K126" s="3"/>
      <c r="L126" s="248">
        <v>-1082643.9792420177</v>
      </c>
      <c r="M126" s="3"/>
      <c r="N126" s="295">
        <f t="shared" si="7"/>
        <v>0</v>
      </c>
    </row>
    <row r="127" spans="5:14">
      <c r="E127" s="203" t="s">
        <v>600</v>
      </c>
      <c r="F127" s="248">
        <v>0</v>
      </c>
      <c r="G127" s="3"/>
      <c r="H127" s="248">
        <v>6114656.4031687425</v>
      </c>
      <c r="I127" s="3"/>
      <c r="J127" s="248">
        <f t="shared" si="6"/>
        <v>6114656.4031687425</v>
      </c>
      <c r="K127" s="3"/>
      <c r="L127" s="248">
        <v>0</v>
      </c>
      <c r="M127" s="3"/>
      <c r="N127" s="295">
        <f t="shared" si="7"/>
        <v>0</v>
      </c>
    </row>
    <row r="128" spans="5:14" ht="15.6">
      <c r="E128" s="249" t="s">
        <v>501</v>
      </c>
      <c r="F128" s="248">
        <v>0</v>
      </c>
      <c r="G128" s="3"/>
      <c r="H128" s="248">
        <v>-13740.19434752778</v>
      </c>
      <c r="I128" s="3"/>
      <c r="J128" s="248">
        <f t="shared" si="6"/>
        <v>-13740.19434752778</v>
      </c>
      <c r="K128" s="3"/>
      <c r="L128" s="248">
        <v>0</v>
      </c>
      <c r="M128" s="3"/>
      <c r="N128" s="295">
        <f t="shared" si="7"/>
        <v>0</v>
      </c>
    </row>
    <row r="129" spans="5:14" ht="15.6">
      <c r="E129" s="249" t="s">
        <v>671</v>
      </c>
      <c r="F129" s="248">
        <v>0</v>
      </c>
      <c r="G129" s="3"/>
      <c r="H129" s="248">
        <v>-3677.1587424372706</v>
      </c>
      <c r="I129" s="3"/>
      <c r="J129" s="248">
        <f t="shared" si="6"/>
        <v>0</v>
      </c>
      <c r="K129" s="3"/>
      <c r="L129" s="248">
        <v>-3677.1587424372706</v>
      </c>
      <c r="M129" s="3"/>
      <c r="N129" s="295">
        <f t="shared" si="7"/>
        <v>0</v>
      </c>
    </row>
    <row r="130" spans="5:14">
      <c r="E130" s="203" t="s">
        <v>500</v>
      </c>
      <c r="F130" s="248">
        <v>0</v>
      </c>
      <c r="G130" s="3"/>
      <c r="H130" s="248">
        <v>-12527.870530226932</v>
      </c>
      <c r="I130" s="3"/>
      <c r="J130" s="248">
        <f t="shared" si="6"/>
        <v>0</v>
      </c>
      <c r="K130" s="3"/>
      <c r="L130" s="248">
        <v>-12527.870530226932</v>
      </c>
      <c r="M130" s="3"/>
      <c r="N130" s="295">
        <f t="shared" si="7"/>
        <v>0</v>
      </c>
    </row>
    <row r="131" spans="5:14">
      <c r="E131" s="201" t="s">
        <v>502</v>
      </c>
      <c r="F131" s="248">
        <v>0</v>
      </c>
      <c r="G131" s="3"/>
      <c r="H131" s="248">
        <v>-3678478.5848042481</v>
      </c>
      <c r="I131" s="3"/>
      <c r="J131" s="248">
        <f t="shared" si="6"/>
        <v>0</v>
      </c>
      <c r="K131" s="3"/>
      <c r="L131" s="248">
        <v>-3678478.5848042481</v>
      </c>
      <c r="M131" s="3"/>
      <c r="N131" s="295">
        <f t="shared" si="7"/>
        <v>0</v>
      </c>
    </row>
    <row r="132" spans="5:14">
      <c r="E132" s="203" t="s">
        <v>634</v>
      </c>
      <c r="F132" s="248">
        <v>0</v>
      </c>
      <c r="G132" s="3"/>
      <c r="H132" s="248">
        <v>-13104.628581498642</v>
      </c>
      <c r="I132" s="3"/>
      <c r="J132" s="248">
        <f t="shared" si="6"/>
        <v>-13104.628581498642</v>
      </c>
      <c r="K132" s="3"/>
      <c r="L132" s="248">
        <v>0</v>
      </c>
      <c r="M132" s="3"/>
      <c r="N132" s="295">
        <f t="shared" si="7"/>
        <v>0</v>
      </c>
    </row>
    <row r="133" spans="5:14">
      <c r="E133" s="203" t="s">
        <v>636</v>
      </c>
      <c r="F133" s="248">
        <v>0</v>
      </c>
      <c r="G133" s="3"/>
      <c r="H133" s="248">
        <v>-13104.628581498642</v>
      </c>
      <c r="I133" s="3"/>
      <c r="J133" s="248">
        <f t="shared" si="6"/>
        <v>-9173.2400070490494</v>
      </c>
      <c r="K133" s="3"/>
      <c r="L133" s="248">
        <v>-3931.3885744495929</v>
      </c>
      <c r="M133" s="3"/>
      <c r="N133" s="295">
        <f t="shared" si="7"/>
        <v>0</v>
      </c>
    </row>
    <row r="134" spans="5:14">
      <c r="E134" s="203" t="s">
        <v>524</v>
      </c>
      <c r="F134" s="248">
        <v>0</v>
      </c>
      <c r="G134" s="3"/>
      <c r="H134" s="248">
        <v>23907.404496491064</v>
      </c>
      <c r="I134" s="3"/>
      <c r="J134" s="248">
        <f t="shared" si="6"/>
        <v>23907.404496491064</v>
      </c>
      <c r="K134" s="3"/>
      <c r="L134" s="248">
        <v>0</v>
      </c>
      <c r="M134" s="3"/>
      <c r="N134" s="295">
        <f t="shared" si="7"/>
        <v>0</v>
      </c>
    </row>
    <row r="135" spans="5:14">
      <c r="E135" s="203" t="s">
        <v>525</v>
      </c>
      <c r="F135" s="248">
        <v>0</v>
      </c>
      <c r="G135" s="3"/>
      <c r="H135" s="248">
        <v>0</v>
      </c>
      <c r="I135" s="3"/>
      <c r="J135" s="248">
        <f t="shared" si="6"/>
        <v>0</v>
      </c>
      <c r="K135" s="3"/>
      <c r="L135" s="248">
        <v>0</v>
      </c>
      <c r="M135" s="3"/>
      <c r="N135" s="295">
        <f t="shared" si="7"/>
        <v>0</v>
      </c>
    </row>
    <row r="136" spans="5:14">
      <c r="E136" s="203" t="s">
        <v>526</v>
      </c>
      <c r="F136" s="248">
        <v>0</v>
      </c>
      <c r="G136" s="3"/>
      <c r="H136" s="248">
        <v>-2788514.0257371739</v>
      </c>
      <c r="I136" s="3"/>
      <c r="J136" s="248">
        <f t="shared" si="6"/>
        <v>0</v>
      </c>
      <c r="K136" s="3"/>
      <c r="L136" s="248">
        <v>-2788514.0257371739</v>
      </c>
      <c r="M136" s="3"/>
      <c r="N136" s="295">
        <f t="shared" si="7"/>
        <v>0</v>
      </c>
    </row>
    <row r="137" spans="5:14">
      <c r="E137" s="203" t="s">
        <v>536</v>
      </c>
      <c r="F137" s="248">
        <v>0</v>
      </c>
      <c r="G137" s="3"/>
      <c r="H137" s="248">
        <v>-177387.6603372262</v>
      </c>
      <c r="I137" s="3"/>
      <c r="J137" s="248">
        <f t="shared" si="6"/>
        <v>0</v>
      </c>
      <c r="K137" s="3"/>
      <c r="L137" s="248">
        <v>-177387.6603372262</v>
      </c>
      <c r="M137" s="3"/>
      <c r="N137" s="295">
        <f t="shared" si="7"/>
        <v>0</v>
      </c>
    </row>
    <row r="138" spans="5:14" ht="16.8">
      <c r="E138" s="203"/>
      <c r="F138" s="3" t="s">
        <v>446</v>
      </c>
      <c r="G138" s="3"/>
      <c r="H138" s="3" t="s">
        <v>448</v>
      </c>
      <c r="I138" s="3"/>
      <c r="J138" s="25" t="s">
        <v>445</v>
      </c>
      <c r="K138" s="3"/>
      <c r="L138" s="25" t="s">
        <v>39</v>
      </c>
      <c r="M138" s="3"/>
      <c r="N138" s="25">
        <f>SUM(N102:N137)</f>
        <v>0</v>
      </c>
    </row>
    <row r="142" spans="5:14">
      <c r="E142" s="132"/>
      <c r="F142" s="440" t="s">
        <v>698</v>
      </c>
      <c r="G142" s="440"/>
      <c r="H142" s="440"/>
      <c r="I142" s="440"/>
      <c r="J142" s="440"/>
      <c r="K142" s="132"/>
      <c r="L142" s="132"/>
    </row>
    <row r="143" spans="5:14">
      <c r="E143" s="132"/>
      <c r="F143" s="132"/>
      <c r="G143" s="132"/>
      <c r="H143" s="132"/>
      <c r="I143" s="132"/>
      <c r="J143" s="132"/>
      <c r="K143" s="132"/>
      <c r="L143" s="132"/>
    </row>
    <row r="144" spans="5:14">
      <c r="E144" s="132"/>
      <c r="F144" s="132"/>
      <c r="G144" s="132"/>
      <c r="H144" s="132"/>
      <c r="I144" s="132"/>
      <c r="J144" s="132"/>
      <c r="K144" s="132"/>
      <c r="L144" s="132"/>
    </row>
    <row r="145" spans="5:12">
      <c r="E145" s="300" t="s">
        <v>401</v>
      </c>
      <c r="F145" s="301" cm="1">
        <f t="array" ref="F145:F159">TRANSPOSE(AT55:BH55)</f>
        <v>-1689824.7786463453</v>
      </c>
      <c r="G145" s="352"/>
      <c r="H145" s="301">
        <v>0</v>
      </c>
      <c r="I145" s="132"/>
      <c r="J145" s="301">
        <f>AP58</f>
        <v>-1813415.3332272954</v>
      </c>
      <c r="K145" s="132"/>
      <c r="L145" s="351">
        <f>F145+H145-J145</f>
        <v>123590.55458095018</v>
      </c>
    </row>
    <row r="146" spans="5:12">
      <c r="E146" s="300" t="s">
        <v>402</v>
      </c>
      <c r="F146" s="301">
        <v>-1359217.3367370586</v>
      </c>
      <c r="G146" s="352"/>
      <c r="H146" s="301">
        <v>0</v>
      </c>
      <c r="I146" s="132"/>
      <c r="J146" s="301">
        <f t="shared" ref="J146:J159" si="8">AP59</f>
        <v>-1359563.8236364534</v>
      </c>
      <c r="K146" s="132"/>
      <c r="L146" s="351">
        <f t="shared" ref="L146:L159" si="9">F146+H146-J146</f>
        <v>346.48689939477481</v>
      </c>
    </row>
    <row r="147" spans="5:12">
      <c r="E147" s="300" t="s">
        <v>403</v>
      </c>
      <c r="F147" s="301">
        <v>9148397.3079415839</v>
      </c>
      <c r="G147" s="352"/>
      <c r="H147" s="301">
        <f>Ore_to_PI!AC195</f>
        <v>80616.370239891301</v>
      </c>
      <c r="I147" s="132"/>
      <c r="J147" s="301">
        <f t="shared" si="8"/>
        <v>-8884.6388868575868</v>
      </c>
      <c r="K147" s="132"/>
      <c r="L147" s="351">
        <f t="shared" si="9"/>
        <v>9237898.3170683328</v>
      </c>
    </row>
    <row r="148" spans="5:12">
      <c r="E148" s="300" t="s">
        <v>534</v>
      </c>
      <c r="F148" s="301">
        <v>-1777985.4355511186</v>
      </c>
      <c r="G148" s="352"/>
      <c r="H148" s="301">
        <f>Ore_to_PI!AU28</f>
        <v>609792.2517593482</v>
      </c>
      <c r="I148" s="353"/>
      <c r="J148" s="301">
        <f t="shared" si="8"/>
        <v>-1777985.4355511186</v>
      </c>
      <c r="K148" s="353"/>
      <c r="L148" s="351">
        <f t="shared" si="9"/>
        <v>609792.2517593482</v>
      </c>
    </row>
    <row r="149" spans="5:12">
      <c r="E149" s="300" t="s">
        <v>514</v>
      </c>
      <c r="F149" s="301">
        <v>-1359457.7959575919</v>
      </c>
      <c r="G149" s="352"/>
      <c r="H149" s="301">
        <f>Ore_to_PI!AU113</f>
        <v>2824.8856477449194</v>
      </c>
      <c r="I149" s="132"/>
      <c r="J149" s="301">
        <f t="shared" si="8"/>
        <v>-1359457.7959575919</v>
      </c>
      <c r="K149" s="132"/>
      <c r="L149" s="351">
        <f t="shared" si="9"/>
        <v>2824.8856477448717</v>
      </c>
    </row>
    <row r="150" spans="5:12">
      <c r="E150" s="300" t="s">
        <v>513</v>
      </c>
      <c r="F150" s="301">
        <v>-112.78165025676648</v>
      </c>
      <c r="G150" s="352"/>
      <c r="H150" s="301">
        <f>Ore_to_PI!AU190</f>
        <v>282.1287710315147</v>
      </c>
      <c r="I150" s="132"/>
      <c r="J150" s="301">
        <f t="shared" si="8"/>
        <v>-112.78165025676648</v>
      </c>
      <c r="K150" s="132"/>
      <c r="L150" s="351">
        <f t="shared" si="9"/>
        <v>282.1287710315147</v>
      </c>
    </row>
    <row r="151" spans="5:12">
      <c r="E151" s="300" t="s">
        <v>427</v>
      </c>
      <c r="F151" s="301">
        <v>-1777985.4355511186</v>
      </c>
      <c r="G151" s="352"/>
      <c r="H151" s="301">
        <f>Ore_to_PI!BN35</f>
        <v>12626.098826338684</v>
      </c>
      <c r="I151" s="132"/>
      <c r="J151" s="301">
        <f t="shared" si="8"/>
        <v>-3863076.60033494</v>
      </c>
      <c r="K151" s="132"/>
      <c r="L151" s="351">
        <f t="shared" si="9"/>
        <v>2097717.26361016</v>
      </c>
    </row>
    <row r="152" spans="5:12">
      <c r="E152" s="300" t="s">
        <v>424</v>
      </c>
      <c r="F152" s="301">
        <v>-1359457.7959575919</v>
      </c>
      <c r="G152" s="352" t="s">
        <v>447</v>
      </c>
      <c r="H152" s="301">
        <f>Ore_to_PI!BM116</f>
        <v>34.678095164114971</v>
      </c>
      <c r="I152" s="302" t="s">
        <v>454</v>
      </c>
      <c r="J152" s="301">
        <f t="shared" si="8"/>
        <v>-1359457.7959575919</v>
      </c>
      <c r="K152" s="302" t="s">
        <v>450</v>
      </c>
      <c r="L152" s="351">
        <f t="shared" si="9"/>
        <v>34.678095164010301</v>
      </c>
    </row>
    <row r="153" spans="5:12">
      <c r="E153" s="300" t="s">
        <v>438</v>
      </c>
      <c r="F153" s="301">
        <v>-112.78165025676648</v>
      </c>
      <c r="G153" s="352"/>
      <c r="H153" s="301">
        <f>Ore_to_PI!BM195</f>
        <v>50.358084153937838</v>
      </c>
      <c r="I153" s="132"/>
      <c r="J153" s="301">
        <f t="shared" si="8"/>
        <v>-112.78165025676648</v>
      </c>
      <c r="K153" s="132"/>
      <c r="L153" s="351">
        <f t="shared" si="9"/>
        <v>50.358084153937838</v>
      </c>
    </row>
    <row r="154" spans="5:12">
      <c r="E154" s="300" t="s">
        <v>425</v>
      </c>
      <c r="F154" s="301">
        <v>-1534440.1295455615</v>
      </c>
      <c r="G154" s="352"/>
      <c r="H154" s="301">
        <v>0</v>
      </c>
      <c r="I154" s="132"/>
      <c r="J154" s="301">
        <f t="shared" si="8"/>
        <v>-2413866.0441760151</v>
      </c>
      <c r="K154" s="132"/>
      <c r="L154" s="351">
        <f t="shared" si="9"/>
        <v>879425.91463045357</v>
      </c>
    </row>
    <row r="155" spans="5:12">
      <c r="E155" s="300" t="s">
        <v>420</v>
      </c>
      <c r="F155" s="301">
        <v>-949319.20713093248</v>
      </c>
      <c r="G155" s="352"/>
      <c r="H155" s="301">
        <v>0</v>
      </c>
      <c r="I155" s="132"/>
      <c r="J155" s="301">
        <f t="shared" si="8"/>
        <v>2406232.5947443023</v>
      </c>
      <c r="K155" s="132"/>
      <c r="L155" s="351">
        <f t="shared" si="9"/>
        <v>-3355551.8018752346</v>
      </c>
    </row>
    <row r="156" spans="5:12">
      <c r="E156" s="201" t="s">
        <v>633</v>
      </c>
      <c r="F156" s="301">
        <v>-13740.19434752778</v>
      </c>
      <c r="G156" s="352"/>
      <c r="H156" s="301">
        <f>Ore_to_PI!DD229</f>
        <v>33191.859393697465</v>
      </c>
      <c r="I156" s="132"/>
      <c r="J156" s="301">
        <f t="shared" si="8"/>
        <v>-13104.628581498642</v>
      </c>
      <c r="K156" s="132"/>
      <c r="L156" s="351">
        <f t="shared" si="9"/>
        <v>32556.293627668325</v>
      </c>
    </row>
    <row r="157" spans="5:12">
      <c r="E157" s="201" t="s">
        <v>635</v>
      </c>
      <c r="F157" s="301">
        <v>-13104.628581498642</v>
      </c>
      <c r="G157" s="352"/>
      <c r="H157" s="301">
        <v>0</v>
      </c>
      <c r="I157" s="132"/>
      <c r="J157" s="301">
        <f t="shared" si="8"/>
        <v>-13104.628581498642</v>
      </c>
      <c r="K157" s="132"/>
      <c r="L157" s="351">
        <f t="shared" si="9"/>
        <v>0</v>
      </c>
    </row>
    <row r="158" spans="5:12">
      <c r="E158" s="201" t="s">
        <v>81</v>
      </c>
      <c r="F158" s="301">
        <v>1060783.6165065998</v>
      </c>
      <c r="G158" s="352"/>
      <c r="H158" s="301">
        <v>0</v>
      </c>
      <c r="I158" s="132"/>
      <c r="J158" s="301">
        <f t="shared" si="8"/>
        <v>23907.404496491064</v>
      </c>
      <c r="K158" s="132"/>
      <c r="L158" s="351">
        <f t="shared" si="9"/>
        <v>1036876.2120101087</v>
      </c>
    </row>
    <row r="159" spans="5:12">
      <c r="E159" s="201" t="s">
        <v>413</v>
      </c>
      <c r="F159" s="301">
        <v>-50.81788353988668</v>
      </c>
      <c r="G159" s="352"/>
      <c r="H159" s="303">
        <f>Ore_to_PI!EU117</f>
        <v>318930.1042317453</v>
      </c>
      <c r="I159" s="302"/>
      <c r="J159" s="301">
        <f t="shared" si="8"/>
        <v>-2965901.6860743999</v>
      </c>
      <c r="K159" s="132"/>
      <c r="L159" s="351">
        <f t="shared" si="9"/>
        <v>3284780.9724226054</v>
      </c>
    </row>
    <row r="160" spans="5:12" ht="16.8">
      <c r="F160" s="132" t="s">
        <v>699</v>
      </c>
      <c r="G160" s="302"/>
      <c r="H160" s="302" t="s">
        <v>265</v>
      </c>
      <c r="I160" s="302"/>
      <c r="J160" s="343" t="s">
        <v>441</v>
      </c>
      <c r="K160" s="132"/>
      <c r="L160" s="302" t="s">
        <v>700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defaultColWidth="11.5546875" defaultRowHeight="14.4"/>
  <cols>
    <col min="2" max="2" width="17" bestFit="1" customWidth="1"/>
    <col min="28" max="28" width="16" customWidth="1"/>
  </cols>
  <sheetData>
    <row r="41" spans="10:31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38" t="s">
        <v>406</v>
      </c>
      <c r="AD50" s="438"/>
      <c r="AE50" s="438"/>
    </row>
    <row r="51" spans="2:35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>
      <c r="K53" s="438" t="s">
        <v>404</v>
      </c>
      <c r="L53" s="438"/>
      <c r="M53" s="438"/>
      <c r="N53" s="438"/>
      <c r="O53" s="438"/>
      <c r="P53" s="438"/>
      <c r="Q53" s="438"/>
      <c r="R53" s="438"/>
      <c r="S53" s="438"/>
      <c r="T53" s="438"/>
      <c r="U53" s="438"/>
      <c r="V53" s="438"/>
      <c r="W53" s="438"/>
      <c r="AD53" s="25"/>
      <c r="AE53" s="25"/>
      <c r="AF53" s="25"/>
      <c r="AG53" s="25"/>
      <c r="AH53" s="25"/>
      <c r="AI53" s="25"/>
    </row>
    <row r="58" spans="2:35">
      <c r="C58" s="439"/>
      <c r="D58" s="439"/>
      <c r="E58" s="231"/>
      <c r="F58" s="231"/>
      <c r="G58" s="231"/>
      <c r="H58" s="231"/>
    </row>
    <row r="59" spans="2:35">
      <c r="C59" s="206"/>
      <c r="D59" s="206"/>
      <c r="E59" s="207"/>
      <c r="F59" s="207"/>
      <c r="G59" s="207"/>
      <c r="H59" s="207"/>
      <c r="I59" s="229"/>
      <c r="J59" s="229"/>
    </row>
    <row r="60" spans="2:35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>
      <c r="C73" s="438" t="s">
        <v>405</v>
      </c>
      <c r="D73" s="438"/>
      <c r="E73" s="438"/>
      <c r="F73" s="438"/>
      <c r="G73" s="438"/>
      <c r="H73" s="438"/>
      <c r="I73" s="438"/>
      <c r="J73" s="438"/>
    </row>
    <row r="86" spans="2:7">
      <c r="C86" s="204"/>
      <c r="D86" s="204"/>
      <c r="E86" s="204"/>
      <c r="F86" s="204"/>
      <c r="G86" s="204"/>
    </row>
    <row r="87" spans="2:7">
      <c r="B87" s="201" t="s">
        <v>278</v>
      </c>
      <c r="C87" s="205"/>
      <c r="D87" s="205"/>
      <c r="E87" s="205"/>
      <c r="F87" s="205"/>
      <c r="G87" s="205"/>
    </row>
    <row r="88" spans="2:7">
      <c r="B88" s="201" t="s">
        <v>418</v>
      </c>
      <c r="C88" s="205"/>
      <c r="D88" s="205"/>
      <c r="E88" s="205"/>
      <c r="F88" s="205"/>
      <c r="G88" s="205"/>
    </row>
    <row r="89" spans="2:7">
      <c r="B89" s="201" t="s">
        <v>419</v>
      </c>
      <c r="C89" s="205"/>
      <c r="D89" s="205"/>
      <c r="E89" s="205"/>
      <c r="F89" s="205"/>
      <c r="G89" s="205"/>
    </row>
    <row r="90" spans="2:7">
      <c r="C90" s="205"/>
      <c r="D90" s="205"/>
      <c r="E90" s="205"/>
      <c r="F90" s="226"/>
      <c r="G90" s="205"/>
    </row>
    <row r="91" spans="2:7">
      <c r="C91" s="205"/>
      <c r="D91" s="205"/>
      <c r="E91" s="205"/>
      <c r="F91" s="205"/>
      <c r="G91" s="205"/>
    </row>
    <row r="92" spans="2:7">
      <c r="C92" s="438" t="s">
        <v>57</v>
      </c>
      <c r="D92" s="438"/>
      <c r="E92" s="438"/>
      <c r="F92" s="438"/>
      <c r="G92" s="438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defaultColWidth="8.77734375" defaultRowHeight="14.4"/>
  <cols>
    <col min="3" max="4" width="8.77734375" customWidth="1"/>
    <col min="7" max="7" width="11.44140625" bestFit="1" customWidth="1"/>
  </cols>
  <sheetData>
    <row r="2" spans="2:22">
      <c r="B2" s="3"/>
      <c r="C2" s="3"/>
      <c r="D2" s="358" t="s">
        <v>314</v>
      </c>
      <c r="E2" s="358"/>
      <c r="F2" s="358"/>
      <c r="G2" s="358"/>
      <c r="V2" s="164"/>
    </row>
    <row r="3" spans="2:22">
      <c r="B3" s="3"/>
      <c r="C3" s="3"/>
      <c r="D3" s="467" t="s">
        <v>82</v>
      </c>
      <c r="E3" s="467"/>
      <c r="F3" s="467"/>
      <c r="G3" s="467"/>
      <c r="O3" s="164"/>
      <c r="P3" s="164"/>
      <c r="Q3" s="164"/>
      <c r="R3" s="164"/>
      <c r="S3" s="164"/>
      <c r="T3" s="164"/>
      <c r="U3" s="164"/>
      <c r="V3" s="164"/>
    </row>
    <row r="4" spans="2:22">
      <c r="B4" s="447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44" t="s">
        <v>351</v>
      </c>
      <c r="S4" s="444"/>
      <c r="T4" s="444"/>
      <c r="U4" s="444"/>
      <c r="V4" s="164"/>
    </row>
    <row r="5" spans="2:22" ht="14.55" customHeight="1">
      <c r="B5" s="447"/>
      <c r="C5" s="145" t="s">
        <v>337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  <c r="O5" s="164"/>
      <c r="P5" s="164"/>
      <c r="Q5" s="164"/>
      <c r="R5" s="444"/>
      <c r="S5" s="444"/>
      <c r="T5" s="444"/>
      <c r="U5" s="444"/>
      <c r="V5" s="164"/>
    </row>
    <row r="6" spans="2:22">
      <c r="B6" s="447"/>
      <c r="C6" s="147" t="s">
        <v>605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  <c r="O6" s="164"/>
      <c r="P6" s="164"/>
      <c r="Q6" s="164"/>
      <c r="R6" s="444"/>
      <c r="S6" s="444"/>
      <c r="T6" s="444"/>
      <c r="U6" s="444"/>
      <c r="V6" s="164"/>
    </row>
    <row r="7" spans="2:22" ht="15" thickBot="1">
      <c r="B7" s="447"/>
      <c r="C7" s="146" t="s">
        <v>394</v>
      </c>
      <c r="D7" s="163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  <c r="O7" s="164"/>
      <c r="P7" s="164"/>
      <c r="Q7" s="164"/>
      <c r="R7" s="445"/>
      <c r="S7" s="445"/>
      <c r="T7" s="445"/>
      <c r="U7" s="445"/>
      <c r="V7" s="164"/>
    </row>
    <row r="8" spans="2:2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44" t="s">
        <v>350</v>
      </c>
      <c r="Q8" s="460"/>
      <c r="R8" s="462" t="s">
        <v>337</v>
      </c>
      <c r="S8" s="463"/>
      <c r="T8" s="448" t="s">
        <v>394</v>
      </c>
      <c r="U8" s="449"/>
      <c r="V8" s="164"/>
    </row>
    <row r="9" spans="2:22">
      <c r="E9" s="3"/>
      <c r="F9" s="3"/>
      <c r="G9" s="3"/>
      <c r="H9" s="3"/>
      <c r="I9" s="3"/>
      <c r="L9" s="3"/>
      <c r="M9" s="3"/>
      <c r="O9" s="164"/>
      <c r="P9" s="444"/>
      <c r="Q9" s="460"/>
      <c r="R9" s="464"/>
      <c r="S9" s="465"/>
      <c r="T9" s="450"/>
      <c r="U9" s="451"/>
      <c r="V9" s="164"/>
    </row>
    <row r="10" spans="2:22">
      <c r="L10" s="3"/>
      <c r="M10" s="3"/>
      <c r="O10" s="164"/>
      <c r="P10" s="444"/>
      <c r="Q10" s="460"/>
      <c r="R10" s="464"/>
      <c r="S10" s="465"/>
      <c r="T10" s="450"/>
      <c r="U10" s="451"/>
      <c r="V10" s="164"/>
    </row>
    <row r="11" spans="2:22">
      <c r="B11" s="3"/>
      <c r="C11" s="3"/>
      <c r="D11" s="358" t="s">
        <v>314</v>
      </c>
      <c r="E11" s="358"/>
      <c r="F11" s="358"/>
      <c r="G11" s="358"/>
      <c r="H11" s="358"/>
      <c r="L11" s="3"/>
      <c r="M11" s="3"/>
      <c r="O11" s="164"/>
      <c r="P11" s="444"/>
      <c r="Q11" s="460"/>
      <c r="R11" s="464"/>
      <c r="S11" s="465"/>
      <c r="T11" s="450"/>
      <c r="U11" s="451"/>
      <c r="V11" s="164"/>
    </row>
    <row r="12" spans="2:22">
      <c r="B12" s="3"/>
      <c r="C12" s="3"/>
      <c r="D12" s="467" t="s">
        <v>82</v>
      </c>
      <c r="E12" s="467"/>
      <c r="F12" s="467"/>
      <c r="G12" s="467"/>
      <c r="H12" s="467"/>
      <c r="L12" s="3"/>
      <c r="M12" s="3"/>
      <c r="O12" s="164"/>
      <c r="P12" s="461" t="s">
        <v>393</v>
      </c>
      <c r="Q12" s="460"/>
      <c r="R12" s="456" t="s">
        <v>313</v>
      </c>
      <c r="S12" s="457"/>
      <c r="T12" s="452" t="s">
        <v>605</v>
      </c>
      <c r="U12" s="453"/>
      <c r="V12" s="164"/>
    </row>
    <row r="13" spans="2:22" ht="14.55" customHeight="1">
      <c r="B13" s="446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44"/>
      <c r="Q13" s="460"/>
      <c r="R13" s="456"/>
      <c r="S13" s="457"/>
      <c r="T13" s="452"/>
      <c r="U13" s="453"/>
      <c r="V13" s="164"/>
    </row>
    <row r="14" spans="2:22">
      <c r="B14" s="446"/>
      <c r="C14" s="145" t="s">
        <v>337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44"/>
      <c r="Q14" s="460"/>
      <c r="R14" s="456"/>
      <c r="S14" s="457"/>
      <c r="T14" s="452"/>
      <c r="U14" s="453"/>
      <c r="V14" s="164"/>
    </row>
    <row r="15" spans="2:22" ht="15" thickBot="1">
      <c r="B15" s="446"/>
      <c r="C15" s="147" t="s">
        <v>605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  <c r="O15" s="164"/>
      <c r="P15" s="444"/>
      <c r="Q15" s="460"/>
      <c r="R15" s="458"/>
      <c r="S15" s="459"/>
      <c r="T15" s="454"/>
      <c r="U15" s="455"/>
      <c r="V15" s="164"/>
    </row>
    <row r="16" spans="2:22">
      <c r="B16" s="446"/>
      <c r="C16" s="146" t="s">
        <v>394</v>
      </c>
      <c r="D16" s="163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>
      <c r="L18" s="3"/>
      <c r="M18" s="3"/>
    </row>
    <row r="19" spans="2:13">
      <c r="B19" s="3"/>
      <c r="C19" s="3"/>
      <c r="D19" s="358" t="s">
        <v>314</v>
      </c>
      <c r="E19" s="358"/>
      <c r="F19" s="358"/>
      <c r="G19" s="358"/>
      <c r="L19" s="3"/>
      <c r="M19" s="3"/>
    </row>
    <row r="20" spans="2:13">
      <c r="B20" s="3"/>
      <c r="C20" s="3"/>
      <c r="D20" s="467" t="s">
        <v>82</v>
      </c>
      <c r="E20" s="467"/>
      <c r="F20" s="467"/>
      <c r="G20" s="467"/>
      <c r="K20" s="3"/>
      <c r="L20" s="3"/>
    </row>
    <row r="21" spans="2:13">
      <c r="B21" s="468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>
      <c r="B22" s="468"/>
      <c r="C22" s="145" t="s">
        <v>337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>
      <c r="B23" s="468"/>
      <c r="C23" s="147" t="s">
        <v>605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>
      <c r="B24" s="468"/>
      <c r="C24" s="146" t="s">
        <v>394</v>
      </c>
      <c r="D24" s="163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>
      <c r="B30" s="466" t="s">
        <v>390</v>
      </c>
      <c r="D30" s="192" t="s">
        <v>81</v>
      </c>
      <c r="E30" s="192" t="s">
        <v>348</v>
      </c>
    </row>
    <row r="31" spans="2:13">
      <c r="B31" s="466"/>
      <c r="C31" s="145" t="s">
        <v>337</v>
      </c>
      <c r="D31" s="3" t="s">
        <v>98</v>
      </c>
      <c r="E31" s="3" t="str">
        <f>Bejan_BF</f>
        <v>[-]</v>
      </c>
    </row>
    <row r="32" spans="2:13">
      <c r="B32" s="466"/>
      <c r="C32" s="147" t="s">
        <v>605</v>
      </c>
      <c r="D32" s="3">
        <f>Rational_mixer</f>
        <v>0.99174963463121601</v>
      </c>
      <c r="E32" s="3">
        <f>Rational_BF</f>
        <v>0.37943022424115741</v>
      </c>
    </row>
    <row r="33" spans="2:5">
      <c r="B33" s="466"/>
      <c r="C33" s="146" t="s">
        <v>394</v>
      </c>
      <c r="D33" s="3">
        <f>Resource_Mixer</f>
        <v>1.0976920273227081E-2</v>
      </c>
      <c r="E33" s="3">
        <f>Resource_BF</f>
        <v>0.34074255379728524</v>
      </c>
    </row>
    <row r="34" spans="2:5">
      <c r="C34" s="132" t="s">
        <v>334</v>
      </c>
      <c r="D34" s="3">
        <f>mass_bal_Mixer</f>
        <v>0</v>
      </c>
      <c r="E34" s="3">
        <f>mass_bal_BF</f>
        <v>0</v>
      </c>
    </row>
    <row r="37" spans="2:5" ht="16.2">
      <c r="C37" s="3" t="s">
        <v>604</v>
      </c>
    </row>
    <row r="38" spans="2:5" ht="83.4">
      <c r="B38" s="294" t="s">
        <v>603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defaultColWidth="8.77734375" defaultRowHeight="14.4"/>
  <cols>
    <col min="1" max="4" width="8.77734375" style="3"/>
    <col min="5" max="5" width="12" style="3" bestFit="1" customWidth="1"/>
    <col min="6" max="6" width="8.77734375" style="3"/>
    <col min="7" max="7" width="12" style="3" bestFit="1" customWidth="1"/>
    <col min="8" max="13" width="8.77734375" style="3"/>
    <col min="14" max="15" width="12.109375" style="3" bestFit="1" customWidth="1"/>
    <col min="16" max="19" width="8.77734375" style="3"/>
    <col min="20" max="20" width="12.109375" style="3" bestFit="1" customWidth="1"/>
    <col min="21" max="16384" width="8.77734375" style="3"/>
  </cols>
  <sheetData>
    <row r="3" spans="3:20" ht="16.2">
      <c r="E3" s="469" t="s">
        <v>352</v>
      </c>
      <c r="F3" s="469"/>
      <c r="G3" s="469"/>
      <c r="H3"/>
      <c r="I3"/>
      <c r="L3" s="438" t="s">
        <v>430</v>
      </c>
      <c r="M3" s="438"/>
      <c r="N3" s="438"/>
      <c r="P3"/>
      <c r="T3" s="169" t="s">
        <v>429</v>
      </c>
    </row>
    <row r="4" spans="3:20" ht="15" thickBot="1">
      <c r="E4" s="467" t="s">
        <v>11</v>
      </c>
      <c r="F4" s="467"/>
      <c r="G4" s="467"/>
      <c r="H4"/>
      <c r="I4"/>
      <c r="L4" s="467" t="s">
        <v>48</v>
      </c>
      <c r="M4" s="467"/>
      <c r="N4" s="467"/>
      <c r="P4"/>
      <c r="T4" s="3" t="s">
        <v>48</v>
      </c>
    </row>
    <row r="5" spans="3:20" ht="14.55" customHeight="1" thickBot="1">
      <c r="C5" s="447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47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5.6">
      <c r="C7" s="447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6.2">
      <c r="L9" s="438" t="s">
        <v>430</v>
      </c>
      <c r="M9" s="438"/>
      <c r="N9" s="438"/>
      <c r="O9" s="438"/>
    </row>
    <row r="10" spans="3:20">
      <c r="E10" s="469" t="s">
        <v>352</v>
      </c>
      <c r="F10" s="469"/>
      <c r="L10" s="467" t="s">
        <v>48</v>
      </c>
      <c r="M10" s="467"/>
      <c r="N10" s="467"/>
      <c r="O10" s="467"/>
    </row>
    <row r="11" spans="3:20">
      <c r="E11" s="467" t="s">
        <v>11</v>
      </c>
      <c r="F11" s="467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>
      <c r="C12" s="446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5" customHeight="1">
      <c r="C13" s="446"/>
      <c r="D13" s="153" t="s">
        <v>353</v>
      </c>
      <c r="E13" s="3" t="s">
        <v>98</v>
      </c>
      <c r="F13" s="3">
        <f>Kiln_SolidWaste</f>
        <v>4.9847525450981189</v>
      </c>
    </row>
    <row r="14" spans="3:20" ht="16.95" customHeight="1">
      <c r="C14" s="446"/>
      <c r="D14" s="153" t="s">
        <v>23</v>
      </c>
      <c r="E14" s="3" t="s">
        <v>98</v>
      </c>
      <c r="F14" s="3">
        <f>Kiln_H2OWaste</f>
        <v>84.513558569455128</v>
      </c>
      <c r="L14" s="438" t="s">
        <v>430</v>
      </c>
      <c r="M14" s="438"/>
      <c r="N14" s="438"/>
    </row>
    <row r="15" spans="3:20">
      <c r="C15" s="446"/>
      <c r="D15" s="3" t="s">
        <v>19</v>
      </c>
      <c r="E15" s="17">
        <f>SUM(E13:E14)</f>
        <v>0</v>
      </c>
      <c r="F15" s="17">
        <f>SUM(F13:F14)</f>
        <v>89.498311114553246</v>
      </c>
      <c r="L15" s="467" t="s">
        <v>48</v>
      </c>
      <c r="M15" s="467"/>
      <c r="N15" s="467"/>
    </row>
    <row r="16" spans="3:20">
      <c r="L16" s="154" t="s">
        <v>189</v>
      </c>
      <c r="M16" s="154" t="s">
        <v>176</v>
      </c>
      <c r="N16" s="154" t="s">
        <v>371</v>
      </c>
    </row>
    <row r="17" spans="3:16">
      <c r="K17" s="224" t="s">
        <v>349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>
      <c r="E18" s="169" t="s">
        <v>352</v>
      </c>
    </row>
    <row r="19" spans="3:16" ht="16.2">
      <c r="E19" s="28" t="s">
        <v>11</v>
      </c>
      <c r="L19" s="438" t="s">
        <v>430</v>
      </c>
      <c r="M19" s="438"/>
    </row>
    <row r="20" spans="3:16">
      <c r="C20" s="468" t="s">
        <v>349</v>
      </c>
      <c r="E20" s="154" t="s">
        <v>346</v>
      </c>
      <c r="L20" s="467" t="s">
        <v>48</v>
      </c>
      <c r="M20" s="467"/>
    </row>
    <row r="21" spans="3:16" ht="14.55" customHeight="1">
      <c r="C21" s="468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6.95" customHeight="1">
      <c r="C22" s="468"/>
      <c r="D22" s="153" t="s">
        <v>23</v>
      </c>
      <c r="E22" s="3" t="s">
        <v>98</v>
      </c>
      <c r="K22" s="221" t="s">
        <v>390</v>
      </c>
      <c r="L22" s="3">
        <f>B_lost_mixer</f>
        <v>0</v>
      </c>
      <c r="M22" s="3">
        <f>B_lost_blast_furnace</f>
        <v>472084.51440660493</v>
      </c>
    </row>
    <row r="23" spans="3:16">
      <c r="C23" s="468"/>
      <c r="D23" s="3" t="s">
        <v>19</v>
      </c>
      <c r="E23" s="17">
        <f>SUM(E21:E22)</f>
        <v>25.253201846716312</v>
      </c>
    </row>
    <row r="25" spans="3:16">
      <c r="K25"/>
    </row>
    <row r="29" spans="3:16">
      <c r="P29"/>
    </row>
    <row r="30" spans="3:16">
      <c r="P30"/>
    </row>
    <row r="31" spans="3:16">
      <c r="P31"/>
    </row>
    <row r="32" spans="3:16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defaultColWidth="8.77734375" defaultRowHeight="14.4"/>
  <cols>
    <col min="1" max="3" width="8.77734375" style="3"/>
    <col min="4" max="4" width="10.44140625" style="3" bestFit="1" customWidth="1"/>
    <col min="5" max="5" width="8.77734375" style="3"/>
    <col min="6" max="6" width="12.44140625" style="3" bestFit="1" customWidth="1"/>
    <col min="7" max="7" width="11.44140625" style="3" bestFit="1" customWidth="1"/>
    <col min="8" max="8" width="9.6640625" style="3" bestFit="1" customWidth="1"/>
    <col min="9" max="9" width="16.44140625" style="3" customWidth="1"/>
    <col min="10" max="10" width="8.77734375" style="3"/>
    <col min="11" max="11" width="14" style="3" bestFit="1" customWidth="1"/>
    <col min="12" max="13" width="13.33203125" style="3" bestFit="1" customWidth="1"/>
    <col min="14" max="14" width="8.77734375" style="3"/>
    <col min="15" max="15" width="16.33203125" style="3" bestFit="1" customWidth="1"/>
    <col min="16" max="16" width="11.44140625" style="3" bestFit="1" customWidth="1"/>
    <col min="17" max="17" width="9.6640625" style="3" bestFit="1" customWidth="1"/>
    <col min="18" max="18" width="8.44140625" style="3" customWidth="1"/>
    <col min="19" max="19" width="8.77734375" style="3"/>
    <col min="20" max="20" width="10.44140625" style="3" bestFit="1" customWidth="1"/>
    <col min="21" max="29" width="8.77734375" style="3"/>
    <col min="30" max="31" width="14" style="3" bestFit="1" customWidth="1"/>
    <col min="32" max="32" width="14.33203125" style="3" bestFit="1" customWidth="1"/>
    <col min="33" max="38" width="8.77734375" style="3"/>
    <col min="39" max="39" width="13.6640625" style="3" bestFit="1" customWidth="1"/>
    <col min="40" max="47" width="8.77734375" style="3"/>
    <col min="48" max="48" width="12.6640625" style="3" bestFit="1" customWidth="1"/>
    <col min="49" max="49" width="13.77734375" style="3" bestFit="1" customWidth="1"/>
    <col min="50" max="50" width="8.77734375" style="3"/>
    <col min="51" max="51" width="13.77734375" style="3" bestFit="1" customWidth="1"/>
    <col min="52" max="53" width="13.6640625" style="3" bestFit="1" customWidth="1"/>
    <col min="54" max="54" width="14.6640625" style="3" bestFit="1" customWidth="1"/>
    <col min="55" max="55" width="10.44140625" style="3" bestFit="1" customWidth="1"/>
    <col min="56" max="58" width="8.77734375" style="3"/>
    <col min="59" max="59" width="12" style="3" bestFit="1" customWidth="1"/>
    <col min="60" max="60" width="14.6640625" style="3" bestFit="1" customWidth="1"/>
    <col min="61" max="63" width="8.77734375" style="3"/>
    <col min="64" max="64" width="13.6640625" style="3" bestFit="1" customWidth="1"/>
    <col min="65" max="65" width="8.77734375" style="3"/>
    <col min="66" max="66" width="14" style="3" bestFit="1" customWidth="1"/>
    <col min="67" max="67" width="13.77734375" style="3" bestFit="1" customWidth="1"/>
    <col min="68" max="68" width="13.33203125" style="3" customWidth="1"/>
    <col min="69" max="71" width="8.77734375" style="3"/>
    <col min="72" max="72" width="11.109375" style="3" bestFit="1" customWidth="1"/>
    <col min="73" max="73" width="7.77734375" style="3" bestFit="1" customWidth="1"/>
    <col min="74" max="74" width="13.6640625" style="3" bestFit="1" customWidth="1"/>
    <col min="75" max="76" width="14.44140625" style="3" bestFit="1" customWidth="1"/>
    <col min="77" max="77" width="8.77734375" style="3"/>
    <col min="78" max="78" width="11.33203125" style="3" bestFit="1" customWidth="1"/>
    <col min="79" max="79" width="13.77734375" style="3" bestFit="1" customWidth="1"/>
    <col min="80" max="80" width="12.109375" style="3" bestFit="1" customWidth="1"/>
    <col min="81" max="85" width="8.77734375" style="3"/>
    <col min="86" max="86" width="15.109375" style="3" bestFit="1" customWidth="1"/>
    <col min="87" max="16384" width="8.77734375" style="3"/>
  </cols>
  <sheetData>
    <row r="2" spans="3:69">
      <c r="H2" s="357" t="s">
        <v>70</v>
      </c>
      <c r="I2" s="357"/>
      <c r="J2" s="357"/>
      <c r="K2" s="357"/>
      <c r="L2" s="357"/>
      <c r="M2" s="357"/>
    </row>
    <row r="3" spans="3:69" ht="19.2">
      <c r="C3" s="13" t="s">
        <v>65</v>
      </c>
      <c r="D3" s="13" t="s">
        <v>71</v>
      </c>
      <c r="E3" s="20" t="s">
        <v>72</v>
      </c>
      <c r="F3" s="20" t="s">
        <v>73</v>
      </c>
      <c r="H3" s="357" t="s">
        <v>74</v>
      </c>
      <c r="I3" s="357"/>
      <c r="J3" s="357"/>
      <c r="K3" s="13"/>
      <c r="L3" s="363" t="s">
        <v>75</v>
      </c>
      <c r="M3" s="363"/>
      <c r="N3" s="7"/>
      <c r="AN3" s="477" t="s">
        <v>78</v>
      </c>
      <c r="AO3" s="477"/>
      <c r="AP3" s="477"/>
      <c r="AQ3" s="477"/>
      <c r="AR3" s="477"/>
      <c r="AS3" s="477"/>
      <c r="AT3" s="477"/>
      <c r="AU3" s="477"/>
      <c r="AV3" s="477"/>
      <c r="AW3" s="477"/>
      <c r="AX3" s="477"/>
      <c r="AY3" s="477"/>
      <c r="AZ3" s="477"/>
      <c r="BA3" s="477"/>
      <c r="BB3" s="477"/>
      <c r="BC3" s="477"/>
      <c r="BD3" s="477"/>
      <c r="BE3" s="477"/>
      <c r="BF3" s="477"/>
      <c r="BG3" s="477"/>
      <c r="BH3" s="477"/>
      <c r="BI3" s="477"/>
      <c r="BJ3" s="477"/>
      <c r="BK3" s="477"/>
    </row>
    <row r="4" spans="3:69" ht="15.6">
      <c r="C4" s="13" t="s">
        <v>11</v>
      </c>
      <c r="D4" s="13" t="s">
        <v>76</v>
      </c>
      <c r="E4" s="13"/>
      <c r="F4" s="13"/>
      <c r="AN4" s="477"/>
      <c r="AO4" s="477"/>
      <c r="AP4" s="477"/>
      <c r="AQ4" s="477"/>
      <c r="AR4" s="477"/>
      <c r="AS4" s="477"/>
      <c r="AT4" s="477"/>
      <c r="AU4" s="477"/>
      <c r="AV4" s="477"/>
      <c r="AW4" s="477"/>
      <c r="AX4" s="477"/>
      <c r="AY4" s="477"/>
      <c r="AZ4" s="477"/>
      <c r="BA4" s="477"/>
      <c r="BB4" s="477"/>
      <c r="BC4" s="477"/>
      <c r="BD4" s="477"/>
      <c r="BE4" s="477"/>
      <c r="BF4" s="477"/>
      <c r="BG4" s="477"/>
      <c r="BH4" s="477"/>
      <c r="BI4" s="477"/>
      <c r="BJ4" s="477"/>
      <c r="BK4" s="477"/>
    </row>
    <row r="5" spans="3:69">
      <c r="C5" s="32">
        <v>1</v>
      </c>
      <c r="D5" s="13">
        <f>F12</f>
        <v>62.333413951215377</v>
      </c>
      <c r="E5" s="13">
        <v>2</v>
      </c>
      <c r="F5" s="13">
        <v>3.76</v>
      </c>
      <c r="H5" s="35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57"/>
      <c r="J5" s="357"/>
      <c r="K5" s="357"/>
      <c r="L5" s="357"/>
      <c r="M5" s="357"/>
      <c r="AN5" s="477"/>
      <c r="AO5" s="477"/>
      <c r="AP5" s="477"/>
      <c r="AQ5" s="477"/>
      <c r="AR5" s="477"/>
      <c r="AS5" s="477"/>
      <c r="AT5" s="477"/>
      <c r="AU5" s="477"/>
      <c r="AV5" s="477"/>
      <c r="AW5" s="477"/>
      <c r="AX5" s="477"/>
      <c r="AY5" s="477"/>
      <c r="AZ5" s="477"/>
      <c r="BA5" s="477"/>
      <c r="BB5" s="477"/>
      <c r="BC5" s="477"/>
      <c r="BD5" s="477"/>
      <c r="BE5" s="477"/>
      <c r="BF5" s="477"/>
      <c r="BG5" s="477"/>
      <c r="BH5" s="477"/>
      <c r="BI5" s="477"/>
      <c r="BJ5" s="477"/>
      <c r="BK5" s="477"/>
    </row>
    <row r="8" spans="3:69" ht="14.55" customHeight="1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5" customHeight="1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5" customHeight="1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76">
        <v>6</v>
      </c>
      <c r="BJ10" s="476"/>
      <c r="BK10" s="476"/>
      <c r="BL10" s="476"/>
      <c r="BM10" s="476"/>
      <c r="BN10" s="476"/>
      <c r="BO10" s="476"/>
      <c r="BP10" s="476"/>
      <c r="BQ10" s="476"/>
    </row>
    <row r="11" spans="3:69" ht="18.600000000000001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76"/>
      <c r="BJ11" s="476"/>
      <c r="BK11" s="476"/>
      <c r="BL11" s="476"/>
      <c r="BM11" s="476"/>
      <c r="BN11" s="476"/>
      <c r="BO11" s="476"/>
      <c r="BP11" s="476"/>
      <c r="BQ11" s="476"/>
    </row>
    <row r="12" spans="3:69" ht="19.2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.8" thickBot="1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9.2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.600000000000001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6.2" thickBot="1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>
      <c r="BI17" s="473" t="s">
        <v>112</v>
      </c>
    </row>
    <row r="18" spans="3:87" ht="18.45" customHeight="1">
      <c r="BI18" s="473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.600000000000001">
      <c r="BI19" s="473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6.2">
      <c r="BI20" s="473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6.2">
      <c r="BI21" s="473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9.2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73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8.8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" customHeight="1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" customHeight="1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5.6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5.6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3.6">
      <c r="C28" s="471">
        <v>1</v>
      </c>
      <c r="D28" s="471"/>
      <c r="E28" s="471"/>
      <c r="F28" s="471"/>
      <c r="G28" s="471"/>
      <c r="H28" s="471"/>
      <c r="I28" s="471"/>
      <c r="J28" s="471"/>
      <c r="K28" s="471"/>
      <c r="L28" s="471"/>
      <c r="M28" s="471"/>
      <c r="N28" s="471"/>
      <c r="O28" s="471"/>
      <c r="P28" s="1"/>
      <c r="Q28" s="1"/>
      <c r="R28" s="1"/>
      <c r="S28" s="1"/>
      <c r="T28" s="1"/>
      <c r="U28" s="1"/>
      <c r="V28" s="1"/>
      <c r="W28" s="470">
        <v>3</v>
      </c>
      <c r="X28" s="470"/>
      <c r="Y28" s="470"/>
      <c r="Z28" s="470"/>
      <c r="AA28" s="470"/>
      <c r="AB28" s="470"/>
      <c r="AC28" s="470"/>
      <c r="AD28" s="470"/>
      <c r="AE28" s="470"/>
      <c r="AF28" s="470"/>
      <c r="AG28" s="470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71">
        <v>4</v>
      </c>
      <c r="AU28" s="471"/>
      <c r="AV28" s="471"/>
      <c r="AW28" s="471"/>
      <c r="AX28" s="471"/>
      <c r="AY28" s="471"/>
      <c r="AZ28" s="471"/>
      <c r="BA28" s="471"/>
      <c r="BB28" s="471"/>
      <c r="BC28" s="471"/>
      <c r="BD28" s="471"/>
      <c r="BE28" s="471"/>
      <c r="BF28" s="471"/>
      <c r="BG28" s="471"/>
      <c r="BH28" s="471"/>
      <c r="BI28" s="471"/>
      <c r="BT28" s="471">
        <v>5</v>
      </c>
      <c r="BU28" s="471"/>
      <c r="BV28" s="471"/>
      <c r="BW28" s="471"/>
      <c r="BX28" s="471"/>
      <c r="BY28" s="471"/>
      <c r="BZ28" s="471"/>
      <c r="CA28" s="471"/>
      <c r="CB28" s="471"/>
      <c r="CC28" s="471"/>
      <c r="CD28" s="471"/>
      <c r="CE28" s="471"/>
      <c r="CF28" s="471"/>
      <c r="CG28" s="471"/>
      <c r="CH28" s="471"/>
      <c r="CI28" s="471"/>
    </row>
    <row r="29" spans="3:87" ht="20.55" customHeight="1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45" customHeight="1" thickBot="1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" customHeight="1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" customHeight="1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6.2" thickBot="1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5.6">
      <c r="C34" s="475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5" customHeight="1" thickBot="1">
      <c r="C35" s="475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>
      <c r="C36" s="475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6.95" customHeight="1">
      <c r="C37" s="475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74" t="s">
        <v>80</v>
      </c>
      <c r="AK37" s="474"/>
      <c r="AL37" s="474"/>
      <c r="AM37" s="474"/>
      <c r="AN37" s="474"/>
      <c r="AO37" s="474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45" customHeight="1" thickBot="1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74" t="s">
        <v>81</v>
      </c>
      <c r="S38" s="474"/>
      <c r="T38" s="474"/>
      <c r="U38" s="474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74"/>
      <c r="AK38" s="474"/>
      <c r="AL38" s="474"/>
      <c r="AM38" s="474"/>
      <c r="AN38" s="474"/>
      <c r="AO38" s="474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74" t="s">
        <v>97</v>
      </c>
      <c r="BM38" s="474"/>
      <c r="BN38" s="474"/>
      <c r="BO38" s="474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45" customHeight="1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74"/>
      <c r="S39" s="474"/>
      <c r="T39" s="474"/>
      <c r="U39" s="474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74"/>
      <c r="AK39" s="474"/>
      <c r="AL39" s="474"/>
      <c r="AM39" s="474"/>
      <c r="AN39" s="474"/>
      <c r="AO39" s="474"/>
      <c r="AP39" s="51"/>
      <c r="AQ39" s="51"/>
      <c r="AR39" s="1"/>
      <c r="AS39" s="1"/>
      <c r="AT39" s="1"/>
      <c r="AU39" s="1"/>
      <c r="AV39" s="1"/>
      <c r="AW39" s="1"/>
      <c r="AX39" s="1"/>
      <c r="BL39" s="474"/>
      <c r="BM39" s="474"/>
      <c r="BN39" s="474"/>
      <c r="BO39" s="474"/>
      <c r="BS39" s="1"/>
      <c r="BT39" s="1"/>
      <c r="BU39" s="1"/>
      <c r="BV39" s="1"/>
      <c r="BW39" s="1"/>
      <c r="BX39" s="1"/>
    </row>
    <row r="40" spans="3:87" ht="15.45" customHeight="1">
      <c r="C40" s="45"/>
      <c r="D40" s="1"/>
      <c r="E40" s="1"/>
      <c r="H40" s="4"/>
      <c r="I40" s="4"/>
      <c r="N40" s="1"/>
      <c r="O40" s="1"/>
      <c r="P40" s="1"/>
      <c r="Q40" s="1"/>
      <c r="R40" s="474"/>
      <c r="S40" s="474"/>
      <c r="T40" s="474"/>
      <c r="U40" s="474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74"/>
      <c r="AK40" s="474"/>
      <c r="AL40" s="474"/>
      <c r="AM40" s="474"/>
      <c r="AN40" s="474"/>
      <c r="AO40" s="474"/>
      <c r="AP40" s="51"/>
      <c r="AQ40" s="51"/>
      <c r="AR40" s="1"/>
      <c r="AS40" s="56"/>
      <c r="AT40" s="1"/>
      <c r="AU40" s="1"/>
      <c r="AV40" s="1"/>
      <c r="AW40" s="1"/>
      <c r="AX40" s="1"/>
      <c r="BL40" s="474"/>
      <c r="BM40" s="474"/>
      <c r="BN40" s="474"/>
      <c r="BO40" s="474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19.95" customHeight="1" thickBot="1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74"/>
      <c r="AK41" s="474"/>
      <c r="AL41" s="474"/>
      <c r="AM41" s="474"/>
      <c r="AN41" s="474"/>
      <c r="AO41" s="474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19.95" customHeight="1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404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74"/>
      <c r="AK42" s="474"/>
      <c r="AL42" s="474"/>
      <c r="AM42" s="474"/>
      <c r="AN42" s="474"/>
      <c r="AO42" s="474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91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8.600000000000001" thickBot="1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405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1" t="s">
        <v>48</v>
      </c>
      <c r="BM43" s="6" t="s">
        <v>321</v>
      </c>
      <c r="BN43" s="392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" customHeight="1" thickBot="1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378.60718583733978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9" t="s">
        <v>323</v>
      </c>
      <c r="AL44" s="135" t="s">
        <v>344</v>
      </c>
      <c r="AM44" s="391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4">
        <f>(BI38-CI38)</f>
        <v>1844.0540671306007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9.2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276.71130726223782</v>
      </c>
      <c r="S45" s="4"/>
      <c r="T45" s="139" t="s">
        <v>338</v>
      </c>
      <c r="U45" s="103">
        <f>AG38/(N33+N46)</f>
        <v>0.99270786380145459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1" t="s">
        <v>48</v>
      </c>
      <c r="AL45" s="6" t="s">
        <v>321</v>
      </c>
      <c r="AM45" s="392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9" t="s">
        <v>338</v>
      </c>
      <c r="BO45" s="103">
        <f>CI38/BI38</f>
        <v>0.4466095899612133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.2" thickBot="1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40" t="s">
        <v>339</v>
      </c>
      <c r="U46" s="99">
        <f>AG43/N37</f>
        <v>0.99466312443893445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4">
        <f>AG38-BI38</f>
        <v>48209.036632916235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40" t="s">
        <v>339</v>
      </c>
      <c r="BO46" s="99">
        <f>CI42/BI43</f>
        <v>-3.3555679094074267E-2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.600000000000001">
      <c r="C47" s="472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6.4652672013850165E-2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.8" thickBot="1">
      <c r="C48" s="472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45" customHeight="1">
      <c r="C49" s="472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6.2">
      <c r="C50" s="472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45" customHeight="1">
      <c r="C51" s="472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9.2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.600000000000001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5.6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5.6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5.6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3.6">
      <c r="C57" s="470">
        <v>2</v>
      </c>
      <c r="D57" s="470"/>
      <c r="E57" s="470"/>
      <c r="F57" s="470"/>
      <c r="G57" s="470"/>
      <c r="H57" s="470"/>
      <c r="I57" s="470"/>
      <c r="J57" s="470"/>
      <c r="K57" s="470"/>
      <c r="L57" s="470"/>
      <c r="M57" s="470"/>
      <c r="N57" s="470"/>
      <c r="O57" s="470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5.6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5.6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5.6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5.6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5.6">
      <c r="P62" s="1"/>
      <c r="Q62" s="1"/>
    </row>
    <row r="63" spans="3:77" ht="14.55" customHeight="1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5" customHeight="1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5.6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5.6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8.8">
      <c r="N67" s="5"/>
      <c r="O67" s="1"/>
      <c r="P67" s="1"/>
    </row>
    <row r="68" spans="14:34" ht="28.8">
      <c r="N68" s="5"/>
      <c r="O68" s="1"/>
      <c r="P68" s="1"/>
    </row>
    <row r="69" spans="14:34" ht="28.8">
      <c r="N69" s="5"/>
    </row>
    <row r="70" spans="14:34" ht="28.8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42" zoomScale="108" workbookViewId="0">
      <selection activeCell="C66" sqref="C66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</cols>
  <sheetData>
    <row r="2" spans="1:23">
      <c r="B2" s="164"/>
      <c r="C2" s="164"/>
      <c r="D2" s="164"/>
      <c r="E2" s="164"/>
      <c r="F2" s="164"/>
      <c r="G2" s="164"/>
      <c r="H2" s="164"/>
      <c r="I2" s="164"/>
    </row>
    <row r="3" spans="1:23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>
      <c r="A4" s="164"/>
      <c r="B4" s="166"/>
      <c r="C4" s="166"/>
      <c r="D4" s="358" t="s">
        <v>314</v>
      </c>
      <c r="E4" s="358"/>
      <c r="F4" s="358"/>
      <c r="G4" s="358"/>
      <c r="H4" s="164"/>
      <c r="I4" s="164"/>
      <c r="P4" s="164"/>
      <c r="Q4" s="164"/>
      <c r="R4" s="164"/>
      <c r="S4" s="444" t="s">
        <v>351</v>
      </c>
      <c r="T4" s="444"/>
      <c r="U4" s="444"/>
      <c r="V4" s="444"/>
      <c r="W4" s="164"/>
    </row>
    <row r="5" spans="1:23">
      <c r="A5" s="164"/>
      <c r="B5" s="166"/>
      <c r="C5" s="166"/>
      <c r="D5" s="467" t="s">
        <v>82</v>
      </c>
      <c r="E5" s="467"/>
      <c r="F5" s="467"/>
      <c r="G5" s="467"/>
      <c r="H5" s="164"/>
      <c r="I5" s="164"/>
      <c r="P5" s="164"/>
      <c r="Q5" s="164"/>
      <c r="R5" s="164"/>
      <c r="S5" s="444"/>
      <c r="T5" s="444"/>
      <c r="U5" s="444"/>
      <c r="V5" s="444"/>
      <c r="W5" s="164"/>
    </row>
    <row r="6" spans="1:23" ht="15" customHeight="1">
      <c r="A6" s="164"/>
      <c r="B6" s="447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44"/>
      <c r="T6" s="444"/>
      <c r="U6" s="444"/>
      <c r="V6" s="444"/>
      <c r="W6" s="164"/>
    </row>
    <row r="7" spans="1:23" ht="15" thickBot="1">
      <c r="A7" s="164"/>
      <c r="B7" s="447"/>
      <c r="C7" s="145" t="s">
        <v>337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4"/>
      <c r="I7" s="164"/>
      <c r="P7" s="164"/>
      <c r="Q7" s="164"/>
      <c r="R7" s="164"/>
      <c r="S7" s="445"/>
      <c r="T7" s="445"/>
      <c r="U7" s="445"/>
      <c r="V7" s="445"/>
      <c r="W7" s="164"/>
    </row>
    <row r="8" spans="1:23">
      <c r="A8" s="164"/>
      <c r="B8" s="447"/>
      <c r="C8" s="147" t="s">
        <v>338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4"/>
      <c r="I8" s="164"/>
      <c r="P8" s="164"/>
      <c r="Q8" s="444" t="s">
        <v>350</v>
      </c>
      <c r="R8" s="460"/>
      <c r="S8" s="462" t="s">
        <v>337</v>
      </c>
      <c r="T8" s="463"/>
      <c r="U8" s="448" t="s">
        <v>394</v>
      </c>
      <c r="V8" s="449"/>
      <c r="W8" s="164"/>
    </row>
    <row r="9" spans="1:23">
      <c r="A9" s="164"/>
      <c r="B9" s="447"/>
      <c r="C9" s="146" t="s">
        <v>394</v>
      </c>
      <c r="D9" s="163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4"/>
      <c r="I9" s="164"/>
      <c r="P9" s="164"/>
      <c r="Q9" s="444"/>
      <c r="R9" s="460"/>
      <c r="S9" s="464"/>
      <c r="T9" s="465"/>
      <c r="U9" s="450"/>
      <c r="V9" s="451"/>
      <c r="W9" s="164"/>
    </row>
    <row r="10" spans="1:23">
      <c r="A10" s="164"/>
      <c r="C10" s="132"/>
      <c r="D10" s="164"/>
      <c r="E10" s="199"/>
      <c r="F10" s="199"/>
      <c r="G10" s="199"/>
      <c r="H10" s="166"/>
      <c r="I10" s="164"/>
      <c r="P10" s="164"/>
      <c r="Q10" s="444"/>
      <c r="R10" s="460"/>
      <c r="S10" s="464"/>
      <c r="T10" s="465"/>
      <c r="U10" s="450"/>
      <c r="V10" s="451"/>
      <c r="W10" s="164"/>
    </row>
    <row r="11" spans="1:23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44"/>
      <c r="R11" s="460"/>
      <c r="S11" s="464"/>
      <c r="T11" s="465"/>
      <c r="U11" s="450"/>
      <c r="V11" s="451"/>
      <c r="W11" s="164"/>
    </row>
    <row r="12" spans="1:23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78" t="s">
        <v>393</v>
      </c>
      <c r="R12" s="460"/>
      <c r="S12" s="456" t="s">
        <v>313</v>
      </c>
      <c r="T12" s="457"/>
      <c r="U12" s="452" t="s">
        <v>338</v>
      </c>
      <c r="V12" s="453"/>
      <c r="W12" s="164"/>
    </row>
    <row r="13" spans="1:23">
      <c r="A13" s="164"/>
      <c r="B13" s="166"/>
      <c r="C13" s="166"/>
      <c r="D13" s="358" t="s">
        <v>314</v>
      </c>
      <c r="E13" s="358"/>
      <c r="F13" s="358"/>
      <c r="G13" s="358"/>
      <c r="H13" s="358"/>
      <c r="I13" s="164"/>
      <c r="P13" s="164"/>
      <c r="Q13" s="444"/>
      <c r="R13" s="460"/>
      <c r="S13" s="456"/>
      <c r="T13" s="457"/>
      <c r="U13" s="452"/>
      <c r="V13" s="453"/>
      <c r="W13" s="164"/>
    </row>
    <row r="14" spans="1:23" ht="15" customHeight="1">
      <c r="A14" s="164"/>
      <c r="B14" s="166"/>
      <c r="C14" s="166"/>
      <c r="D14" s="467" t="s">
        <v>82</v>
      </c>
      <c r="E14" s="467"/>
      <c r="F14" s="467"/>
      <c r="G14" s="467"/>
      <c r="H14" s="467"/>
      <c r="I14" s="164"/>
      <c r="P14" s="164"/>
      <c r="Q14" s="444"/>
      <c r="R14" s="460"/>
      <c r="S14" s="456"/>
      <c r="T14" s="457"/>
      <c r="U14" s="452"/>
      <c r="V14" s="453"/>
      <c r="W14" s="164"/>
    </row>
    <row r="15" spans="1:23" ht="15" thickBot="1">
      <c r="A15" s="164"/>
      <c r="B15" s="446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44"/>
      <c r="R15" s="460"/>
      <c r="S15" s="458"/>
      <c r="T15" s="459"/>
      <c r="U15" s="454"/>
      <c r="V15" s="455"/>
      <c r="W15" s="164"/>
    </row>
    <row r="16" spans="1:23">
      <c r="A16" s="164"/>
      <c r="B16" s="446"/>
      <c r="C16" s="145" t="s">
        <v>337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>
      <c r="A17" s="164"/>
      <c r="B17" s="446"/>
      <c r="C17" s="147" t="s">
        <v>338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4"/>
    </row>
    <row r="18" spans="1:12">
      <c r="A18" s="164"/>
      <c r="B18" s="446"/>
      <c r="C18" s="146" t="s">
        <v>394</v>
      </c>
      <c r="D18" s="163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4"/>
    </row>
    <row r="19" spans="1:12">
      <c r="A19" s="164"/>
      <c r="C19" s="132"/>
      <c r="D19" s="164"/>
      <c r="E19" s="199"/>
      <c r="F19" s="199"/>
      <c r="G19" s="199"/>
      <c r="H19" s="199"/>
      <c r="I19" s="164"/>
      <c r="L19" t="s">
        <v>433</v>
      </c>
    </row>
    <row r="20" spans="1:1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>
      <c r="A21" s="164"/>
      <c r="B21" s="166"/>
      <c r="C21" s="166"/>
      <c r="D21" s="358" t="s">
        <v>314</v>
      </c>
      <c r="E21" s="358"/>
      <c r="F21" s="358"/>
      <c r="G21" s="358"/>
      <c r="H21" s="164"/>
      <c r="I21" s="164"/>
    </row>
    <row r="22" spans="1:12" ht="15" customHeight="1">
      <c r="A22" s="164"/>
      <c r="B22" s="166"/>
      <c r="C22" s="166"/>
      <c r="D22" s="467" t="s">
        <v>82</v>
      </c>
      <c r="E22" s="467"/>
      <c r="F22" s="467"/>
      <c r="G22" s="467"/>
      <c r="H22" s="164"/>
      <c r="I22" s="164"/>
    </row>
    <row r="23" spans="1:12">
      <c r="A23" s="164"/>
      <c r="B23" s="468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>
      <c r="A24" s="164"/>
      <c r="B24" s="468"/>
      <c r="C24" s="145" t="s">
        <v>337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>
      <c r="A25" s="164"/>
      <c r="B25" s="468"/>
      <c r="C25" s="147" t="s">
        <v>338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4"/>
      <c r="I25" s="164"/>
    </row>
    <row r="26" spans="1:12">
      <c r="A26" s="164"/>
      <c r="B26" s="468"/>
      <c r="C26" s="146" t="s">
        <v>394</v>
      </c>
      <c r="D26" s="163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4"/>
    </row>
    <row r="27" spans="1:1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>
      <c r="A32" s="164"/>
      <c r="B32" s="466" t="s">
        <v>390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>
      <c r="A33" s="164"/>
      <c r="B33" s="466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>
      <c r="A34" s="164"/>
      <c r="B34" s="466"/>
      <c r="C34" s="147" t="s">
        <v>338</v>
      </c>
      <c r="D34" s="3">
        <f>Rational_mixer</f>
        <v>0.99174963463121601</v>
      </c>
      <c r="E34" s="3">
        <f>Rational_BF</f>
        <v>0.37943022424115741</v>
      </c>
      <c r="F34" s="164"/>
      <c r="G34" s="164"/>
      <c r="H34" s="164"/>
      <c r="I34" s="164"/>
    </row>
    <row r="35" spans="1:9">
      <c r="A35" s="164"/>
      <c r="B35" s="466"/>
      <c r="C35" s="146" t="s">
        <v>394</v>
      </c>
      <c r="D35" s="3">
        <f>Resource_Mixer</f>
        <v>1.0976920273227081E-2</v>
      </c>
      <c r="E35" s="3">
        <f>Resource_BF</f>
        <v>0.34074255379728524</v>
      </c>
      <c r="F35" s="164"/>
      <c r="G35" s="164"/>
      <c r="H35" s="164"/>
      <c r="I35" s="164"/>
    </row>
    <row r="36" spans="1:9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ht="83.4">
      <c r="D49" s="294"/>
      <c r="E49" s="294"/>
    </row>
    <row r="50" spans="2:5">
      <c r="C50" s="201" t="s">
        <v>707</v>
      </c>
      <c r="D50" s="201" t="s">
        <v>708</v>
      </c>
      <c r="E50" s="201" t="s">
        <v>709</v>
      </c>
    </row>
    <row r="51" spans="2:5">
      <c r="B51" s="201" t="s">
        <v>401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</row>
    <row r="52" spans="2:5">
      <c r="B52" s="201" t="s">
        <v>402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</row>
    <row r="53" spans="2:5">
      <c r="B53" s="201" t="s">
        <v>403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</row>
    <row r="54" spans="2:5">
      <c r="B54" s="201" t="s">
        <v>534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</row>
    <row r="55" spans="2:5">
      <c r="B55" s="201" t="s">
        <v>514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</row>
    <row r="56" spans="2:5">
      <c r="B56" s="201" t="s">
        <v>513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</row>
    <row r="57" spans="2:5">
      <c r="B57" s="201" t="s">
        <v>427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</row>
    <row r="58" spans="2:5">
      <c r="B58" s="201" t="s">
        <v>424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</row>
    <row r="59" spans="2:5">
      <c r="B59" s="201" t="s">
        <v>438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</row>
    <row r="60" spans="2:5">
      <c r="B60" s="201" t="s">
        <v>425</v>
      </c>
      <c r="C60" s="3"/>
      <c r="D60" s="3">
        <f>Rational_Kiln</f>
        <v>0.17027276068302746</v>
      </c>
      <c r="E60" s="3">
        <f>Resource_Kiln</f>
        <v>0.1222893219234706</v>
      </c>
    </row>
    <row r="61" spans="2:5">
      <c r="B61" s="201" t="s">
        <v>420</v>
      </c>
      <c r="C61" s="3"/>
      <c r="D61" s="3">
        <f>Rational_Cokeoven</f>
        <v>0.60155306227269634</v>
      </c>
      <c r="E61" s="3">
        <f>Resource_Cokeoven</f>
        <v>0.32940597812032246</v>
      </c>
    </row>
    <row r="62" spans="2:5">
      <c r="B62" s="201" t="s">
        <v>633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</row>
    <row r="63" spans="2:5">
      <c r="B63" s="201" t="s">
        <v>635</v>
      </c>
      <c r="C63" s="3"/>
      <c r="D63" s="3">
        <f>Rational_COGdistribution</f>
        <v>1</v>
      </c>
      <c r="E63" s="3">
        <f>Resource_COGdistribution</f>
        <v>1</v>
      </c>
    </row>
    <row r="64" spans="2:5">
      <c r="B64" s="201" t="s">
        <v>81</v>
      </c>
      <c r="C64" s="3"/>
      <c r="D64" s="3">
        <f>Rational_mixer</f>
        <v>0.99174963463121601</v>
      </c>
      <c r="E64" s="3">
        <f>Resource_Mixer</f>
        <v>1.0976920273227081E-2</v>
      </c>
    </row>
    <row r="65" spans="2:5">
      <c r="B65" s="201" t="s">
        <v>413</v>
      </c>
      <c r="C65" s="3"/>
      <c r="D65" s="3">
        <f>Rational_BF</f>
        <v>0.37943022424115741</v>
      </c>
      <c r="E65" s="3">
        <f>Resource_BF</f>
        <v>0.34074255379728524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398</vt:i4>
      </vt:variant>
    </vt:vector>
  </HeadingPairs>
  <TitlesOfParts>
    <vt:vector size="414" baseType="lpstr">
      <vt:lpstr>Constants</vt:lpstr>
      <vt:lpstr>Fuel Exergy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2025-07-29T16:43:46Z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