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/>
  <mc:AlternateContent xmlns:mc="http://schemas.openxmlformats.org/markup-compatibility/2006">
    <mc:Choice Requires="x15">
      <x15ac:absPath xmlns:x15ac="http://schemas.microsoft.com/office/spreadsheetml/2010/11/ac" url="/Users/erinschuman/Documents/github/MaterialExergyPaper/MaterialExergyPaper2025/data/"/>
    </mc:Choice>
  </mc:AlternateContent>
  <xr:revisionPtr revIDLastSave="0" documentId="13_ncr:1_{60D3E9BF-A7B5-B74F-A890-9A9DB0E99350}" xr6:coauthVersionLast="47" xr6:coauthVersionMax="47" xr10:uidLastSave="{00000000-0000-0000-0000-000000000000}"/>
  <bookViews>
    <workbookView xWindow="13000" yWindow="1060" windowWidth="37420" windowHeight="26120" activeTab="3" xr2:uid="{B56C0490-30AA-4047-9BD3-68F16EDF25FC}"/>
  </bookViews>
  <sheets>
    <sheet name="Constants" sheetId="3" r:id="rId1"/>
    <sheet name="Calculators" sheetId="11" r:id="rId2"/>
    <sheet name="Fuel Exergy" sheetId="21" r:id="rId3"/>
    <sheet name="Ore-&gt;PI" sheetId="9" r:id="rId4"/>
    <sheet name="Energy X" sheetId="17" r:id="rId5"/>
    <sheet name="MCC_B_RUVY_matrices_mat_level" sheetId="20" r:id="rId6"/>
    <sheet name="MCC_M_RUVY_matrices_mat_level" sheetId="15" r:id="rId7"/>
    <sheet name="MCC_h_RUVY_matrices_mat_level" sheetId="22" r:id="rId8"/>
    <sheet name="Energy RUVY matrices" sheetId="18" r:id="rId9"/>
    <sheet name="Efficiencies" sheetId="12" r:id="rId10"/>
    <sheet name="Waste" sheetId="13" r:id="rId11"/>
    <sheet name="Methane Combustion - EES" sheetId="8" r:id="rId12"/>
    <sheet name="Tables for Paper" sheetId="14" r:id="rId13"/>
  </sheets>
  <definedNames>
    <definedName name="Air_to_Kiln">Constants!$AE$4</definedName>
    <definedName name="Ash_in_coal">Calculators!$G$75</definedName>
    <definedName name="b_ch_Al2O3">Constants!$E$24</definedName>
    <definedName name="b_ch_C">Constants!$E$5</definedName>
    <definedName name="b_ch_C2H4">Constants!$E$36</definedName>
    <definedName name="b_ch_Ca">Constants!$J$6</definedName>
    <definedName name="b_ch_CaCO3">Constants!$E$6</definedName>
    <definedName name="b_ch_CaO">Constants!$E$17</definedName>
    <definedName name="b_ch_CaSiO3">Constants!$E$7</definedName>
    <definedName name="b_ch_CH4">Constants!$E$18</definedName>
    <definedName name="b_ch_Cl">Constants!$E$23</definedName>
    <definedName name="b_ch_CO">Constants!$E$16</definedName>
    <definedName name="b_ch_CO2">Constants!$E$8</definedName>
    <definedName name="b_ch_coal">Calculators!$M$91</definedName>
    <definedName name="b_ch_coke">Calculators!$N$91</definedName>
    <definedName name="b_ch_Diesel">Calculators!$P$230</definedName>
    <definedName name="b_ch_Fe">Constants!$E$9</definedName>
    <definedName name="b_ch_Fe2O3">Constants!$E$10</definedName>
    <definedName name="b_ch_FeC">Constants!$E$15</definedName>
    <definedName name="b_ch_fueloil">Calculators!$H$271</definedName>
    <definedName name="b_ch_Gasoline">Calculators!$H$254</definedName>
    <definedName name="b_ch_H">Constants!$E$21</definedName>
    <definedName name="b_ch_H2">Constants!$J$8</definedName>
    <definedName name="b_ch_H2O">Constants!$E$20</definedName>
    <definedName name="b_ch_K2O">Constants!$E$27</definedName>
    <definedName name="b_ch_MgCO3">Constants!$E$29</definedName>
    <definedName name="b_ch_MgO">Constants!$E$25</definedName>
    <definedName name="b_ch_N">Constants!$E$30</definedName>
    <definedName name="b_ch_N2">Constants!$E$19</definedName>
    <definedName name="b_ch_Na2O">Constants!$E$26</definedName>
    <definedName name="b_ch_O">Constants!$E$11</definedName>
    <definedName name="b_ch_O2">Constants!$E$12</definedName>
    <definedName name="b_ch_P">Constants!$E$28</definedName>
    <definedName name="b_ch_S">Constants!$E$22</definedName>
    <definedName name="b_ch_Si">Constants!$E$13</definedName>
    <definedName name="b_ch_SiO2">Constants!$E$14</definedName>
    <definedName name="B_lost_blast_furnace">'Ore-&gt;PI'!$EO$131</definedName>
    <definedName name="B_lost_coal_ext">'Ore-&gt;PI'!$X$210</definedName>
    <definedName name="B_lost_coal_haul">'Ore-&gt;PI'!$AQ$210</definedName>
    <definedName name="B_lost_coke_oven">'Ore-&gt;PI'!$CD$210</definedName>
    <definedName name="B_lost_iron_benef">'Ore-&gt;PI'!$BI$46</definedName>
    <definedName name="B_lost_Iron_Ext">'Ore-&gt;PI'!$W$46</definedName>
    <definedName name="B_lost_Iron_haul">'Ore-&gt;PI'!$AP$46</definedName>
    <definedName name="B_lost_kiln">'Ore-&gt;PI'!$CC$130</definedName>
    <definedName name="B_lost_lime_benef">'Ore-&gt;PI'!$BJ$130</definedName>
    <definedName name="B_lost_lime_ext">'Ore-&gt;PI'!$W$130</definedName>
    <definedName name="B_lost_lime_haul">'Ore-&gt;PI'!$AQ$130</definedName>
    <definedName name="B_lost_mixer">'Ore-&gt;PI'!$DT$131</definedName>
    <definedName name="Bejan_BF">'Ore-&gt;PI'!$ES$131</definedName>
    <definedName name="Bejan_CoalExtraction">'Ore-&gt;PI'!$AB$210</definedName>
    <definedName name="Bejan_CoalHauling">'Ore-&gt;PI'!$AU$210</definedName>
    <definedName name="Bejan_CokeBeneficiation">'Ore-&gt;PI'!$CH$210</definedName>
    <definedName name="Bejan_IronBeneficiation">'Ore-&gt;PI'!$BM$46</definedName>
    <definedName name="Bejan_IronExtraction">'Ore-&gt;PI'!$AA$46</definedName>
    <definedName name="Bejan_IronHauling">'Ore-&gt;PI'!$AT$46</definedName>
    <definedName name="Bejan_LimeBeneficiation">'Ore-&gt;PI'!$BN$130</definedName>
    <definedName name="Bejan_LimeExtraction">'Ore-&gt;PI'!$AA$130</definedName>
    <definedName name="Bejan_LimeHauling">'Ore-&gt;PI'!$AU$130</definedName>
    <definedName name="Bejan_MEROI_Coal">'Ore-&gt;PI'!$Q$193</definedName>
    <definedName name="Bejan_MEROI_Iron">'Ore-&gt;PI'!$Q$27</definedName>
    <definedName name="Bejan_MEROI_Limestone">'Ore-&gt;PI'!$Q$115</definedName>
    <definedName name="Beneficiation_CoalWaste">'Ore-&gt;PI'!$CV$217</definedName>
    <definedName name="Beneficiation_Iron_waste">'Ore-&gt;PI'!$BZ$55</definedName>
    <definedName name="BF_CO2Waste">'Ore-&gt;PI'!$FB$145</definedName>
    <definedName name="BF_SolidWaste">'Ore-&gt;PI'!$FL$104</definedName>
    <definedName name="Btu_to_kJ">Constants!$W$4</definedName>
    <definedName name="C_for_BF">Calculators!$L$23</definedName>
    <definedName name="C_Kiln_out">Calculators!$L$59</definedName>
    <definedName name="cal_to_kJ">Constants!$W$6</definedName>
    <definedName name="CH4_into_Kiln">Calculators!$C$51</definedName>
    <definedName name="CH4_out_COtreatment">Calculators!$Z$88</definedName>
    <definedName name="CH4_to_BF">Calculators!$Z$99</definedName>
    <definedName name="CH4_to_coke_oven">Calculators!$AH$99</definedName>
    <definedName name="CO2_BF_Out">Calculators!$M$23</definedName>
    <definedName name="CO2_Diesel_molcoeff">Calculators!$M$222</definedName>
    <definedName name="CO2_from_coke_oven_comb">Calculators!$I$110</definedName>
    <definedName name="CO2_Gasoline_molcoeff">Calculators!$M$247</definedName>
    <definedName name="CO2_Kiln_Out">Calculators!$I$38</definedName>
    <definedName name="CO2_molcoeff">Calculators!$M$222</definedName>
    <definedName name="Co2_Naturalgas_molcoeff">Calculators!$M$280</definedName>
    <definedName name="Co2_Oil_molcoef">Calculators!$M$264</definedName>
    <definedName name="CO2_out_BF">Calculators!$M$153</definedName>
    <definedName name="CO2_out_Coal_Ext">Calculators!$I$222</definedName>
    <definedName name="CO2_out_coke_oven">Calculators!$M$187</definedName>
    <definedName name="COG_needed">Calculators!$G$74</definedName>
    <definedName name="Coking_BF_in">Calculators!$L$23</definedName>
    <definedName name="Diesel_N2_molcoeff">Calculators!$M$224</definedName>
    <definedName name="E_tot">'Energy X'!$F$19</definedName>
    <definedName name="Fe_BF_out">Calculators!$I$31</definedName>
    <definedName name="Fe2O3_BF_in">Calculators!$I$29</definedName>
    <definedName name="h_0_CO2">Constants!$T$5</definedName>
    <definedName name="h_0_H2O">Constants!$T$6</definedName>
    <definedName name="h_0_N2">Constants!$T$7</definedName>
    <definedName name="h_Al2O3">Constants!$G$24</definedName>
    <definedName name="h_C">Constants!$G$5</definedName>
    <definedName name="h_C2H4">Constants!$G$36</definedName>
    <definedName name="h_C2H6">Constants!$G$31</definedName>
    <definedName name="h_C6H6">Constants!$G$34</definedName>
    <definedName name="h_C8H18">Constants!$G$39</definedName>
    <definedName name="h_CaCO3">Constants!$G$6</definedName>
    <definedName name="h_CaO">Constants!$G$17</definedName>
    <definedName name="h_CaSiO3">Constants!$G$7</definedName>
    <definedName name="h_CH4">Constants!$G$18</definedName>
    <definedName name="h_Cl">Constants!$G$23</definedName>
    <definedName name="h_CO">Constants!$G$16</definedName>
    <definedName name="h_CO2">Constants!$G$8</definedName>
    <definedName name="h_CS2">Constants!$G$38</definedName>
    <definedName name="h_Fe">Constants!$G$9</definedName>
    <definedName name="h_Fe2O3">Constants!$G$10</definedName>
    <definedName name="h_fg_ash">Constants!$V$15</definedName>
    <definedName name="h_H">Constants!$G$21</definedName>
    <definedName name="h_H2">Constants!$G$32</definedName>
    <definedName name="h_H2O">Constants!$G$20</definedName>
    <definedName name="h_H2S">Constants!$G$33</definedName>
    <definedName name="h_HCN">Constants!$G$37</definedName>
    <definedName name="h_K2O">Constants!$G$27</definedName>
    <definedName name="h_MgCO3">Constants!$G$29</definedName>
    <definedName name="h_MgO">Constants!$G$25</definedName>
    <definedName name="h_N">Constants!$G$30</definedName>
    <definedName name="h_N2">Constants!$G$19</definedName>
    <definedName name="h_Na2O">Constants!$G$26</definedName>
    <definedName name="h_NH3">Constants!$G$35</definedName>
    <definedName name="h_O">Constants!$G$11</definedName>
    <definedName name="h_O2">Constants!$G$12</definedName>
    <definedName name="h_P">Constants!$G$28</definedName>
    <definedName name="h_S">Constants!$G$22</definedName>
    <definedName name="h_Si">Constants!$G$13</definedName>
    <definedName name="h_SiO2">Constants!$G$14</definedName>
    <definedName name="h_T_CO2">Constants!$R$5</definedName>
    <definedName name="h_T_H2O">Constants!$R$6</definedName>
    <definedName name="h_T_N2">Constants!$R$7</definedName>
    <definedName name="H2_Kiln_Out">Calculators!$L$62</definedName>
    <definedName name="H2_out_COtreatment">Calculators!$Z$87</definedName>
    <definedName name="H2_to_BF">Calculators!$Z$98</definedName>
    <definedName name="H2_to_coke_oven">Calculators!$AH$98</definedName>
    <definedName name="H2O__Diesel_molcoeff">Calculators!$M$223</definedName>
    <definedName name="H2O_from_coke_oven_comb">Calculators!$I$111</definedName>
    <definedName name="H2O_Gasoline_molcoeff">Calculators!$M$248</definedName>
    <definedName name="H2O_Kiln_Out">Calculators!$L$60</definedName>
    <definedName name="H2O_molcoeff">Calculators!$M$223</definedName>
    <definedName name="H2O_Naturalgas_molcoeff">Calculators!$M$281</definedName>
    <definedName name="H2O_Oil_molcoeff">Calculators!$M$265</definedName>
    <definedName name="H2O_out_BF">Calculators!$M$152</definedName>
    <definedName name="H2O_out_Coal_Ext">Calculators!$I$223</definedName>
    <definedName name="H2O_out_coke_oven">Calculators!$M$186</definedName>
    <definedName name="kg_to_ton">Constants!$Y$4</definedName>
    <definedName name="Kiln_CO2Waste">'Ore-&gt;PI'!$CL$142</definedName>
    <definedName name="Kiln_SolidWaste">'Ore-&gt;PI'!$CV$114</definedName>
    <definedName name="kWh_to_kJ">Constants!$X$4</definedName>
    <definedName name="LHV_CH4">Constants!$AB$4</definedName>
    <definedName name="LHV_Diesel">Constants!$AB$7</definedName>
    <definedName name="LHV_Gasoline">Constants!$AB$5</definedName>
    <definedName name="LHV_Oil">Constants!$AB$6</definedName>
    <definedName name="Lime_to_Energy_Conversion">Constants!$AH$3</definedName>
    <definedName name="Limestone_for_BF">Calculators!$L$27</definedName>
    <definedName name="mass_bal_BF">'Ore-&gt;PI'!$EQ$131</definedName>
    <definedName name="mass_bal_CoalExt">'Ore-&gt;PI'!$Z$210</definedName>
    <definedName name="mass_bal_CoalHaul">'Ore-&gt;PI'!$AS$210</definedName>
    <definedName name="mass_bal_CokeOven">'Ore-&gt;PI'!$CF$210</definedName>
    <definedName name="mass_bal_IronBenef">'Ore-&gt;PI'!$BK$46</definedName>
    <definedName name="mass_bal_IronExt">'Ore-&gt;PI'!$Y$46</definedName>
    <definedName name="mass_bal_IronHaul">'Ore-&gt;PI'!$AR$46</definedName>
    <definedName name="mass_bal_kiln">'Ore-&gt;PI'!$CE$130</definedName>
    <definedName name="mass_bal_LimeBenef">'Ore-&gt;PI'!$BL$130</definedName>
    <definedName name="mass_bal_LimeExt">'Ore-&gt;PI'!$Y$130</definedName>
    <definedName name="mass_bal_LimeHaul">'Ore-&gt;PI'!$AS$130</definedName>
    <definedName name="mass_bal_Mixer">'Ore-&gt;PI'!$DV$131</definedName>
    <definedName name="mcc_energy_reqts">'Energy X'!$E$23:$G$28</definedName>
    <definedName name="MgCO3_in">'Ore-&gt;PI'!$AE$131</definedName>
    <definedName name="MgO_out">Calculators!$I$39</definedName>
    <definedName name="mol_C_Coal">Calculators!$I$80</definedName>
    <definedName name="mol_C_Coal_in">Calculators!$I$83</definedName>
    <definedName name="mol_C_to_BF">'Ore-&gt;PI'!$CO$210</definedName>
    <definedName name="mol_Coal">Calculators!$L$83</definedName>
    <definedName name="mol_H_Coal">Calculators!$H$83</definedName>
    <definedName name="mol_N_Coal">Calculators!$K$83</definedName>
    <definedName name="mol_O_Coal">Calculators!$J$83</definedName>
    <definedName name="MW_Al2O3">Constants!$D$24</definedName>
    <definedName name="MW_C">Constants!$D$5</definedName>
    <definedName name="MW_C12H23">Constants!$D$40</definedName>
    <definedName name="MW_C2H4">Constants!$D$36</definedName>
    <definedName name="MW_C2H6">Constants!$D$31</definedName>
    <definedName name="MW_C6H5CH3">Constants!#REF!</definedName>
    <definedName name="MW_C6H6">Constants!$D$34</definedName>
    <definedName name="MW_C8H18">Constants!$D$39</definedName>
    <definedName name="MW_CaCO3">Constants!$D$6</definedName>
    <definedName name="MW_CaO">Constants!$D$17</definedName>
    <definedName name="MW_CaSiO3">Constants!$D$7</definedName>
    <definedName name="MW_CH4">Constants!$D$18</definedName>
    <definedName name="MW_Cl">Constants!$D$23</definedName>
    <definedName name="MW_CO">Constants!$D$16</definedName>
    <definedName name="MW_CO2">Constants!$D$8</definedName>
    <definedName name="MW_CS2">Constants!$D$38</definedName>
    <definedName name="MW_Fe">Constants!$D$9</definedName>
    <definedName name="MW_Fe2O3">Constants!$D$10</definedName>
    <definedName name="MW_FeC">Constants!$D$15</definedName>
    <definedName name="MW_H">Constants!$D$21</definedName>
    <definedName name="MW_H2O">Constants!$D$20</definedName>
    <definedName name="MW_H2S">Constants!$D$33</definedName>
    <definedName name="MW_HCN">Constants!$D$37</definedName>
    <definedName name="MW_K2O">Constants!$D$27</definedName>
    <definedName name="MW_MgCO3">Constants!$D$29</definedName>
    <definedName name="MW_MgO">Constants!$D$25</definedName>
    <definedName name="MW_N2">Constants!$D$19</definedName>
    <definedName name="MW_Na2O">Constants!$D$26</definedName>
    <definedName name="MW_NH3">Constants!$D$35</definedName>
    <definedName name="MW_O">Constants!$D$11</definedName>
    <definedName name="MW_O2">Constants!$D$12</definedName>
    <definedName name="MW_Oil">Constants!$D$41</definedName>
    <definedName name="MW_P">Constants!$D$28</definedName>
    <definedName name="MW_S">Constants!$D$22</definedName>
    <definedName name="MW_Si">Constants!$D$13</definedName>
    <definedName name="MW_SIO2">Constants!$D$14</definedName>
    <definedName name="N2_added_BF">Calculators!$C$160</definedName>
    <definedName name="N2_BF_out">Calculators!$I$23</definedName>
    <definedName name="N2_for_coke_oven_comb">Calculators!$C$112</definedName>
    <definedName name="N2_from_coke_oven_comb">Calculators!$I$112</definedName>
    <definedName name="N2_in_Coal_Ext">Calculators!$C$224</definedName>
    <definedName name="N2_in_coke_oven">Calculators!$C$193</definedName>
    <definedName name="N2_Kiln_in">Calculators!$C$61</definedName>
    <definedName name="N2_molcoeff">Calculators!$G$224</definedName>
    <definedName name="N2_out_coke_oven">Calculators!$M$188</definedName>
    <definedName name="N2_out_COtreatment">Calculators!$Z$90</definedName>
    <definedName name="N2_to_BF_from_coke">Calculators!$Z$101</definedName>
    <definedName name="N2_to_coke_oven">Calculators!$AH$101</definedName>
    <definedName name="NCV_dry_anthrocite">Constants!$R$15</definedName>
    <definedName name="O2_added_BF">Calculators!$C$159</definedName>
    <definedName name="O2_BF_in">Calculators!$I$21</definedName>
    <definedName name="O2_Diesel_molcoeff">Calculators!$G$223</definedName>
    <definedName name="O2_for_coke_oven_comb">Calculators!$C$111</definedName>
    <definedName name="O2_Gasoline_molcoeff">Calculators!$G$248</definedName>
    <definedName name="O2_in_Coal_Ext">Calculators!$C$223</definedName>
    <definedName name="O2_in_coke_oven">Calculators!$C$192</definedName>
    <definedName name="O2_Kiln_in">Calculators!$C$60</definedName>
    <definedName name="O2_molcoeff">Calculators!$G$223</definedName>
    <definedName name="O2_Naturalgas_molcoeff">Calculators!$G$281</definedName>
    <definedName name="O2_Oil_molcoeff">Calculators!$G$265</definedName>
    <definedName name="O2_out_COtreatment">Calculators!$Z$89</definedName>
    <definedName name="O2_to_BF_from_coke">Calculators!$Z$100</definedName>
    <definedName name="O2_to_coke_oven">Calculators!$AH$100</definedName>
    <definedName name="Ore_to_Kiln">Constants!$AE$3</definedName>
    <definedName name="phi_anthrocite">Constants!$Q$15</definedName>
    <definedName name="phi_dry_constant_a_">Constants!$S$15</definedName>
    <definedName name="phi_dry_constant_b">Constants!$T$15</definedName>
    <definedName name="phi_dry_constant_c">Constants!$U$15</definedName>
    <definedName name="Product_BF">'Ore-&gt;PI'!$ES$133</definedName>
    <definedName name="Product_CoalExtraction">'Ore-&gt;PI'!$AB$212</definedName>
    <definedName name="Product_CoalHauling">'Ore-&gt;PI'!$AU$212</definedName>
    <definedName name="Product_CokeBeneficiation">'Ore-&gt;PI'!$CH$212</definedName>
    <definedName name="Product_IronBeneficiation">'Ore-&gt;PI'!$BM$48</definedName>
    <definedName name="Product_IronExtraction">'Ore-&gt;PI'!$AA$48</definedName>
    <definedName name="Product_IronHauling">'Ore-&gt;PI'!$AT$48</definedName>
    <definedName name="Product_Kiln">'Ore-&gt;PI'!$CG$132</definedName>
    <definedName name="Product_LimeBeneficiation">'Ore-&gt;PI'!$BN$132</definedName>
    <definedName name="Product_LimeExtraction">'Ore-&gt;PI'!$AA$132</definedName>
    <definedName name="Product_LimeHauling">'Ore-&gt;PI'!$AU$132</definedName>
    <definedName name="Product_MEROI_Coal">'Ore-&gt;PI'!$Q$195</definedName>
    <definedName name="Product_MEROI_Iron">'Ore-&gt;PI'!$Q$29</definedName>
    <definedName name="Product_MEROI_Limestone">'Ore-&gt;PI'!$Q$117</definedName>
    <definedName name="Product_Mixer">'Ore-&gt;PI'!$DX$133</definedName>
    <definedName name="Quicklime_for_BF">Calculators!$I$37</definedName>
    <definedName name="R__MCC_B_RUVY_matrices_mat_level">MCC_B_RUVY_matrices_mat_level!$E$152:$AN$161</definedName>
    <definedName name="R__MCC_h_RUVY_matrices_mat_level">MCC_h_RUVY_matrices_mat_level!$B$148:$AK$157</definedName>
    <definedName name="R__MCC_M_RUVY_matrices_mat_level">MCC_M_RUVY_matrices_mat_level!$B$149:$AK$158</definedName>
    <definedName name="r_EIOU__MCC_B_RUVY_matrices_mat_level">MCC_B_RUVY_matrices_mat_level!$BM$1:$CB$36</definedName>
    <definedName name="r_EIOU__MCC_h_RUVY_matrices_mat_level">MCC_h_RUVY_matrices_mat_level!$BJ$1:$BY$36</definedName>
    <definedName name="r_EIOU__MCC_M_RUVY_matrices_mat_level">MCC_M_RUVY_matrices_mat_level!$BJ$1:$BX$36</definedName>
    <definedName name="RT0">Constants!$O$5</definedName>
    <definedName name="s_0_CO2">Constants!$U$5</definedName>
    <definedName name="s_0_H2O">Constants!$U$6</definedName>
    <definedName name="s_0_N2">Constants!$U$7</definedName>
    <definedName name="s_CO2">Constants!$S$5</definedName>
    <definedName name="s_H2O">Constants!$S$6</definedName>
    <definedName name="s_N2">Constants!$S$7</definedName>
    <definedName name="S_units__MCC_B_RUVY_matrices_mat_level">MCC_B_RUVY_matrices_mat_level!$B$1:$C$36</definedName>
    <definedName name="S_units_M" localSheetId="7">MCC_h_RUVY_matrices_mat_level!$B$1:$C$36</definedName>
    <definedName name="S_units_M">MCC_M_RUVY_matrices_mat_level!$B$1:$C$35</definedName>
    <definedName name="SiO2_BF_in">Calculators!$I$42</definedName>
    <definedName name="Slag_BF_out">Calculators!$I$43</definedName>
    <definedName name="Student__LimeHauling">'Ore-&gt;PI'!$AU$131</definedName>
    <definedName name="Student_BF">'Ore-&gt;PI'!$ES$132</definedName>
    <definedName name="Student_CoalExtraction">'Ore-&gt;PI'!$AB$211</definedName>
    <definedName name="Student_CoalHauling">'Ore-&gt;PI'!$AU$211</definedName>
    <definedName name="Student_CokeBeneficiation">'Ore-&gt;PI'!$CH$211</definedName>
    <definedName name="Student_IronBeneficiation">'Ore-&gt;PI'!$BM$47</definedName>
    <definedName name="Student_IronExtraction">'Ore-&gt;PI'!$AA$47</definedName>
    <definedName name="Student_IronHauling">'Ore-&gt;PI'!$AT$47</definedName>
    <definedName name="Student_Kiln">'Ore-&gt;PI'!$CG$131</definedName>
    <definedName name="Student_LimeBeneficiation">'Ore-&gt;PI'!$BN$131</definedName>
    <definedName name="Student_LimeExtraction">'Ore-&gt;PI'!$AA$131</definedName>
    <definedName name="Student_MEROI_Coal">'Ore-&gt;PI'!$Q$194</definedName>
    <definedName name="Student_MEROI_Iron">'Ore-&gt;PI'!$Q$28</definedName>
    <definedName name="Student_MEROI_Limestone">'Ore-&gt;PI'!$Q$116</definedName>
    <definedName name="Student_mixer">'Ore-&gt;PI'!$DX$132</definedName>
    <definedName name="U__MCC_B_RUVY_matrices_mat_level">MCC_B_RUVY_matrices_mat_level!$AS$84:$BH$119</definedName>
    <definedName name="U__MCC_h_RUVY_matrices_mat_level">MCC_h_RUVY_matrices_mat_level!$AP$80:$BE$115</definedName>
    <definedName name="U__MCC_M_RUVY_matrices_mat_level">MCC_M_RUVY_matrices_mat_level!$AP$80:$BE$115</definedName>
    <definedName name="U_EIOU__MCC_B_RUVY_matrices_mat_level">MCC_B_RUVY_matrices_mat_level!$AS$1:$BH$36</definedName>
    <definedName name="U_EIOU__MCC_h_RUVY_matrices_mat_level">MCC_h_RUVY_matrices_mat_level!$AP$1:$BE$36</definedName>
    <definedName name="U_EIOU__MCC_M_RUVY_matrices_mat_level">MCC_M_RUVY_matrices_mat_level!$AP$1:$BE$36</definedName>
    <definedName name="U_feed__MCC_B_RUVY_matrices_mat_level">MCC_B_RUVY_matrices_mat_level!$AS$40:$BH$75</definedName>
    <definedName name="U_feed__MCC_h_RUVY_matrices_mat_level">MCC_h_RUVY_matrices_mat_level!$AP$40:$BE$75</definedName>
    <definedName name="U_feed__MCC_M_RUVY_matrices_mat_level">MCC_M_RUVY_matrices_mat_level!$AP$40:$BE$75</definedName>
    <definedName name="V__MCC_B_RUVY_matrices_mat_level">MCC_B_RUVY_matrices_mat_level!$E$123:$AN$138</definedName>
    <definedName name="V__MCC_h_RUVY_matrices_mat_level">MCC_h_RUVY_matrices_mat_level!$B$119:$AK$134</definedName>
    <definedName name="V__MCC_M_RUVY_matrices_mat_level">MCC_M_RUVY_matrices_mat_level!$B$120:$AK$135</definedName>
    <definedName name="Y__MCC_B_RUVY_matrices_mat_level">MCC_B_RUVY_matrices_mat_level!$BM$84:$BO$119</definedName>
    <definedName name="Y__MCC_h_RUVY_matrices_mat_level">MCC_h_RUVY_matrices_mat_level!$BJ$80:$BL$115</definedName>
    <definedName name="Y__MCC_M_RUVY_matrices_mat_level">MCC_M_RUVY_matrices_mat_level!$BJ$81:$BL$116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54" i="22" l="1"/>
  <c r="G153" i="22"/>
  <c r="C223" i="22" l="1"/>
  <c r="C220" i="22"/>
  <c r="C217" i="22"/>
  <c r="C216" i="22"/>
  <c r="C215" i="22"/>
  <c r="C214" i="22"/>
  <c r="C213" i="22"/>
  <c r="C212" i="22"/>
  <c r="C211" i="22"/>
  <c r="BE111" i="22"/>
  <c r="EF160" i="9" a="1"/>
  <c r="EF160" i="9" s="1"/>
  <c r="BC110" i="22"/>
  <c r="EE241" i="9" a="1"/>
  <c r="EE241" i="9"/>
  <c r="G168" i="22"/>
  <c r="G169" i="22"/>
  <c r="G170" i="22"/>
  <c r="G171" i="22"/>
  <c r="G172" i="22"/>
  <c r="G173" i="22"/>
  <c r="G174" i="22"/>
  <c r="G175" i="22"/>
  <c r="G176" i="22"/>
  <c r="G177" i="22"/>
  <c r="G178" i="22"/>
  <c r="G179" i="22"/>
  <c r="G180" i="22"/>
  <c r="G181" i="22"/>
  <c r="G182" i="22"/>
  <c r="G183" i="22"/>
  <c r="G184" i="22"/>
  <c r="G185" i="22"/>
  <c r="G186" i="22"/>
  <c r="G187" i="22"/>
  <c r="G188" i="22"/>
  <c r="G189" i="22"/>
  <c r="G190" i="22"/>
  <c r="G191" i="22"/>
  <c r="G192" i="22"/>
  <c r="G193" i="22"/>
  <c r="G194" i="22"/>
  <c r="G195" i="22"/>
  <c r="G198" i="22"/>
  <c r="G199" i="22"/>
  <c r="G200" i="22"/>
  <c r="G201" i="22"/>
  <c r="AR41" i="22"/>
  <c r="AS41" i="22"/>
  <c r="AT41" i="22"/>
  <c r="AU41" i="22"/>
  <c r="AV41" i="22"/>
  <c r="AW41" i="22"/>
  <c r="AX41" i="22"/>
  <c r="AY41" i="22"/>
  <c r="AZ41" i="22"/>
  <c r="BA41" i="22"/>
  <c r="BB41" i="22"/>
  <c r="BC41" i="22"/>
  <c r="BD41" i="22"/>
  <c r="BE41" i="22"/>
  <c r="AR42" i="22"/>
  <c r="AS42" i="22"/>
  <c r="AT42" i="22"/>
  <c r="AU42" i="22"/>
  <c r="AV42" i="22"/>
  <c r="AW42" i="22"/>
  <c r="AX42" i="22"/>
  <c r="AY42" i="22"/>
  <c r="AZ42" i="22"/>
  <c r="BA42" i="22"/>
  <c r="BB42" i="22"/>
  <c r="BC42" i="22"/>
  <c r="BD42" i="22"/>
  <c r="BE42" i="22"/>
  <c r="AR43" i="22"/>
  <c r="AS43" i="22"/>
  <c r="AT43" i="22"/>
  <c r="AU43" i="22"/>
  <c r="AV43" i="22"/>
  <c r="AW43" i="22"/>
  <c r="AX43" i="22"/>
  <c r="AY43" i="22"/>
  <c r="AZ43" i="22"/>
  <c r="BA43" i="22"/>
  <c r="BB43" i="22"/>
  <c r="BC43" i="22"/>
  <c r="BD43" i="22"/>
  <c r="BE43" i="22"/>
  <c r="AR44" i="22"/>
  <c r="AS44" i="22"/>
  <c r="AT44" i="22"/>
  <c r="AU44" i="22"/>
  <c r="AV44" i="22"/>
  <c r="AW44" i="22"/>
  <c r="AX44" i="22"/>
  <c r="AY44" i="22"/>
  <c r="AZ44" i="22"/>
  <c r="BA44" i="22"/>
  <c r="BB44" i="22"/>
  <c r="BC44" i="22"/>
  <c r="BD44" i="22"/>
  <c r="BE44" i="22"/>
  <c r="AR45" i="22"/>
  <c r="AS45" i="22"/>
  <c r="AT45" i="22"/>
  <c r="AU45" i="22"/>
  <c r="AV45" i="22"/>
  <c r="AW45" i="22"/>
  <c r="AX45" i="22"/>
  <c r="AY45" i="22"/>
  <c r="AZ45" i="22"/>
  <c r="BA45" i="22"/>
  <c r="BB45" i="22"/>
  <c r="BC45" i="22"/>
  <c r="BD45" i="22"/>
  <c r="BE45" i="22"/>
  <c r="AR46" i="22"/>
  <c r="AS46" i="22"/>
  <c r="AT46" i="22"/>
  <c r="AU46" i="22"/>
  <c r="AV46" i="22"/>
  <c r="AW46" i="22"/>
  <c r="AX46" i="22"/>
  <c r="AY46" i="22"/>
  <c r="AZ46" i="22"/>
  <c r="BA46" i="22"/>
  <c r="BB46" i="22"/>
  <c r="BC46" i="22"/>
  <c r="BD46" i="22"/>
  <c r="BE46" i="22"/>
  <c r="AR47" i="22"/>
  <c r="AS47" i="22"/>
  <c r="AT47" i="22"/>
  <c r="AU47" i="22"/>
  <c r="AV47" i="22"/>
  <c r="AW47" i="22"/>
  <c r="AX47" i="22"/>
  <c r="AY47" i="22"/>
  <c r="AZ47" i="22"/>
  <c r="BA47" i="22"/>
  <c r="BB47" i="22"/>
  <c r="BC47" i="22"/>
  <c r="BD47" i="22"/>
  <c r="BE47" i="22"/>
  <c r="AR48" i="22"/>
  <c r="AS48" i="22"/>
  <c r="AT48" i="22"/>
  <c r="AU48" i="22"/>
  <c r="AV48" i="22"/>
  <c r="AW48" i="22"/>
  <c r="AX48" i="22"/>
  <c r="AY48" i="22"/>
  <c r="AZ48" i="22"/>
  <c r="BA48" i="22"/>
  <c r="BB48" i="22"/>
  <c r="BC48" i="22"/>
  <c r="BD48" i="22"/>
  <c r="BE48" i="22"/>
  <c r="AR49" i="22"/>
  <c r="AS49" i="22"/>
  <c r="AT49" i="22"/>
  <c r="AU49" i="22"/>
  <c r="AV49" i="22"/>
  <c r="AW49" i="22"/>
  <c r="AX49" i="22"/>
  <c r="AY49" i="22"/>
  <c r="AZ49" i="22"/>
  <c r="BA49" i="22"/>
  <c r="BB49" i="22"/>
  <c r="BC49" i="22"/>
  <c r="BD49" i="22"/>
  <c r="BE49" i="22"/>
  <c r="AR50" i="22"/>
  <c r="AS50" i="22"/>
  <c r="AT50" i="22"/>
  <c r="AU50" i="22"/>
  <c r="AV50" i="22"/>
  <c r="AW50" i="22"/>
  <c r="AX50" i="22"/>
  <c r="AY50" i="22"/>
  <c r="AZ50" i="22"/>
  <c r="BA50" i="22"/>
  <c r="BB50" i="22"/>
  <c r="BC50" i="22"/>
  <c r="BD50" i="22"/>
  <c r="BE50" i="22"/>
  <c r="AR51" i="22"/>
  <c r="AS51" i="22"/>
  <c r="AT51" i="22"/>
  <c r="AU51" i="22"/>
  <c r="AV51" i="22"/>
  <c r="AW51" i="22"/>
  <c r="AX51" i="22"/>
  <c r="AY51" i="22"/>
  <c r="AZ51" i="22"/>
  <c r="BA51" i="22"/>
  <c r="BB51" i="22"/>
  <c r="BC51" i="22"/>
  <c r="BD51" i="22"/>
  <c r="BE51" i="22"/>
  <c r="AR52" i="22"/>
  <c r="AS52" i="22"/>
  <c r="AT52" i="22"/>
  <c r="AU52" i="22"/>
  <c r="AV52" i="22"/>
  <c r="AW52" i="22"/>
  <c r="AX52" i="22"/>
  <c r="AY52" i="22"/>
  <c r="AZ52" i="22"/>
  <c r="BA52" i="22"/>
  <c r="BB52" i="22"/>
  <c r="BC52" i="22"/>
  <c r="BD52" i="22"/>
  <c r="BE52" i="22"/>
  <c r="AR53" i="22"/>
  <c r="AS53" i="22"/>
  <c r="AT53" i="22"/>
  <c r="AU53" i="22"/>
  <c r="AV53" i="22"/>
  <c r="AW53" i="22"/>
  <c r="AX53" i="22"/>
  <c r="AY53" i="22"/>
  <c r="AZ53" i="22"/>
  <c r="BA53" i="22"/>
  <c r="BB53" i="22"/>
  <c r="BC53" i="22"/>
  <c r="BD53" i="22"/>
  <c r="BE53" i="22"/>
  <c r="AR54" i="22"/>
  <c r="AS54" i="22"/>
  <c r="AT54" i="22"/>
  <c r="AU54" i="22"/>
  <c r="AV54" i="22"/>
  <c r="AW54" i="22"/>
  <c r="AX54" i="22"/>
  <c r="AY54" i="22"/>
  <c r="AZ54" i="22"/>
  <c r="BA54" i="22"/>
  <c r="BB54" i="22"/>
  <c r="BC54" i="22"/>
  <c r="BD54" i="22"/>
  <c r="BE54" i="22"/>
  <c r="AR55" i="22"/>
  <c r="AS55" i="22"/>
  <c r="AT55" i="22"/>
  <c r="AU55" i="22"/>
  <c r="AV55" i="22"/>
  <c r="AW55" i="22"/>
  <c r="AX55" i="22"/>
  <c r="AY55" i="22"/>
  <c r="AZ55" i="22"/>
  <c r="BA55" i="22"/>
  <c r="BB55" i="22"/>
  <c r="BC55" i="22"/>
  <c r="BD55" i="22"/>
  <c r="BE55" i="22"/>
  <c r="AR56" i="22"/>
  <c r="AS56" i="22"/>
  <c r="AT56" i="22"/>
  <c r="AU56" i="22"/>
  <c r="AV56" i="22"/>
  <c r="AW56" i="22"/>
  <c r="AX56" i="22"/>
  <c r="AY56" i="22"/>
  <c r="AZ56" i="22"/>
  <c r="BA56" i="22"/>
  <c r="BB56" i="22"/>
  <c r="BC56" i="22"/>
  <c r="BD56" i="22"/>
  <c r="BE56" i="22"/>
  <c r="AR57" i="22"/>
  <c r="AS57" i="22"/>
  <c r="AT57" i="22"/>
  <c r="AU57" i="22"/>
  <c r="AV57" i="22"/>
  <c r="AW57" i="22"/>
  <c r="AX57" i="22"/>
  <c r="AY57" i="22"/>
  <c r="AZ57" i="22"/>
  <c r="BA57" i="22"/>
  <c r="BB57" i="22"/>
  <c r="BC57" i="22"/>
  <c r="BD57" i="22"/>
  <c r="BE57" i="22"/>
  <c r="AR58" i="22"/>
  <c r="AS58" i="22"/>
  <c r="AT58" i="22"/>
  <c r="AU58" i="22"/>
  <c r="AV58" i="22"/>
  <c r="AW58" i="22"/>
  <c r="AX58" i="22"/>
  <c r="AY58" i="22"/>
  <c r="AZ58" i="22"/>
  <c r="BA58" i="22"/>
  <c r="BB58" i="22"/>
  <c r="BC58" i="22"/>
  <c r="BD58" i="22"/>
  <c r="BE58" i="22"/>
  <c r="AR59" i="22"/>
  <c r="AS59" i="22"/>
  <c r="AT59" i="22"/>
  <c r="AU59" i="22"/>
  <c r="AV59" i="22"/>
  <c r="AW59" i="22"/>
  <c r="AX59" i="22"/>
  <c r="AY59" i="22"/>
  <c r="AZ59" i="22"/>
  <c r="BA59" i="22"/>
  <c r="BB59" i="22"/>
  <c r="BC59" i="22"/>
  <c r="BD59" i="22"/>
  <c r="BE59" i="22"/>
  <c r="AR60" i="22"/>
  <c r="AS60" i="22"/>
  <c r="AT60" i="22"/>
  <c r="AU60" i="22"/>
  <c r="AV60" i="22"/>
  <c r="AW60" i="22"/>
  <c r="AX60" i="22"/>
  <c r="AY60" i="22"/>
  <c r="AZ60" i="22"/>
  <c r="BA60" i="22"/>
  <c r="BB60" i="22"/>
  <c r="BC60" i="22"/>
  <c r="BD60" i="22"/>
  <c r="BE60" i="22"/>
  <c r="AR61" i="22"/>
  <c r="AS61" i="22"/>
  <c r="AT61" i="22"/>
  <c r="AU61" i="22"/>
  <c r="AV61" i="22"/>
  <c r="AW61" i="22"/>
  <c r="AX61" i="22"/>
  <c r="AY61" i="22"/>
  <c r="AZ61" i="22"/>
  <c r="BA61" i="22"/>
  <c r="BB61" i="22"/>
  <c r="BC61" i="22"/>
  <c r="BD61" i="22"/>
  <c r="BE61" i="22"/>
  <c r="AR62" i="22"/>
  <c r="AS62" i="22"/>
  <c r="AT62" i="22"/>
  <c r="AU62" i="22"/>
  <c r="AV62" i="22"/>
  <c r="AW62" i="22"/>
  <c r="AX62" i="22"/>
  <c r="AY62" i="22"/>
  <c r="AZ62" i="22"/>
  <c r="BA62" i="22"/>
  <c r="BB62" i="22"/>
  <c r="BC62" i="22"/>
  <c r="BD62" i="22"/>
  <c r="BE62" i="22"/>
  <c r="AR63" i="22"/>
  <c r="AS63" i="22"/>
  <c r="AT63" i="22"/>
  <c r="AU63" i="22"/>
  <c r="AV63" i="22"/>
  <c r="AW63" i="22"/>
  <c r="AX63" i="22"/>
  <c r="AY63" i="22"/>
  <c r="AZ63" i="22"/>
  <c r="BA63" i="22"/>
  <c r="BB63" i="22"/>
  <c r="BC63" i="22"/>
  <c r="BD63" i="22"/>
  <c r="BE63" i="22"/>
  <c r="AR64" i="22"/>
  <c r="AS64" i="22"/>
  <c r="AT64" i="22"/>
  <c r="AU64" i="22"/>
  <c r="AV64" i="22"/>
  <c r="AW64" i="22"/>
  <c r="AX64" i="22"/>
  <c r="AY64" i="22"/>
  <c r="AZ64" i="22"/>
  <c r="BA64" i="22"/>
  <c r="BB64" i="22"/>
  <c r="BC64" i="22"/>
  <c r="BD64" i="22"/>
  <c r="BE64" i="22"/>
  <c r="AR65" i="22"/>
  <c r="AS65" i="22"/>
  <c r="AT65" i="22"/>
  <c r="AU65" i="22"/>
  <c r="AV65" i="22"/>
  <c r="AW65" i="22"/>
  <c r="AX65" i="22"/>
  <c r="AY65" i="22"/>
  <c r="AZ65" i="22"/>
  <c r="BA65" i="22"/>
  <c r="BB65" i="22"/>
  <c r="BC65" i="22"/>
  <c r="BD65" i="22"/>
  <c r="BE65" i="22"/>
  <c r="AR66" i="22"/>
  <c r="AS66" i="22"/>
  <c r="AT66" i="22"/>
  <c r="AU66" i="22"/>
  <c r="AV66" i="22"/>
  <c r="AW66" i="22"/>
  <c r="AX66" i="22"/>
  <c r="AY66" i="22"/>
  <c r="AZ66" i="22"/>
  <c r="BA66" i="22"/>
  <c r="BB66" i="22"/>
  <c r="BC66" i="22"/>
  <c r="BD66" i="22"/>
  <c r="BE66" i="22"/>
  <c r="AR67" i="22"/>
  <c r="AS67" i="22"/>
  <c r="AT67" i="22"/>
  <c r="AU67" i="22"/>
  <c r="AV67" i="22"/>
  <c r="AW67" i="22"/>
  <c r="AX67" i="22"/>
  <c r="AY67" i="22"/>
  <c r="AZ67" i="22"/>
  <c r="BA67" i="22"/>
  <c r="BB67" i="22"/>
  <c r="BC67" i="22"/>
  <c r="BD67" i="22"/>
  <c r="BE67" i="22"/>
  <c r="AR68" i="22"/>
  <c r="AS68" i="22"/>
  <c r="AT68" i="22"/>
  <c r="AU68" i="22"/>
  <c r="AV68" i="22"/>
  <c r="AW68" i="22"/>
  <c r="AX68" i="22"/>
  <c r="AY68" i="22"/>
  <c r="AZ68" i="22"/>
  <c r="BA68" i="22"/>
  <c r="BB68" i="22"/>
  <c r="BC68" i="22"/>
  <c r="BD68" i="22"/>
  <c r="BE68" i="22"/>
  <c r="AR69" i="22"/>
  <c r="AS69" i="22"/>
  <c r="AT69" i="22"/>
  <c r="AU69" i="22"/>
  <c r="AV69" i="22"/>
  <c r="AW69" i="22"/>
  <c r="AX69" i="22"/>
  <c r="AY69" i="22"/>
  <c r="AZ69" i="22"/>
  <c r="BA69" i="22"/>
  <c r="BB69" i="22"/>
  <c r="BC69" i="22"/>
  <c r="BD69" i="22"/>
  <c r="BE69" i="22"/>
  <c r="AR70" i="22"/>
  <c r="AS70" i="22"/>
  <c r="AT70" i="22"/>
  <c r="AU70" i="22"/>
  <c r="AV70" i="22"/>
  <c r="AW70" i="22"/>
  <c r="AX70" i="22"/>
  <c r="AY70" i="22"/>
  <c r="AZ70" i="22"/>
  <c r="BA70" i="22"/>
  <c r="BB70" i="22"/>
  <c r="BC70" i="22"/>
  <c r="BD70" i="22"/>
  <c r="BE70" i="22"/>
  <c r="AR71" i="22"/>
  <c r="AS71" i="22"/>
  <c r="AT71" i="22"/>
  <c r="AU71" i="22"/>
  <c r="AV71" i="22"/>
  <c r="AW71" i="22"/>
  <c r="AX71" i="22"/>
  <c r="AY71" i="22"/>
  <c r="AZ71" i="22"/>
  <c r="BA71" i="22"/>
  <c r="BB71" i="22"/>
  <c r="BC71" i="22"/>
  <c r="BD71" i="22"/>
  <c r="AR72" i="22"/>
  <c r="AS72" i="22"/>
  <c r="AT72" i="22"/>
  <c r="AU72" i="22"/>
  <c r="AV72" i="22"/>
  <c r="AW72" i="22"/>
  <c r="AX72" i="22"/>
  <c r="AY72" i="22"/>
  <c r="AZ72" i="22"/>
  <c r="BA72" i="22"/>
  <c r="BB72" i="22"/>
  <c r="BC72" i="22"/>
  <c r="BD72" i="22"/>
  <c r="BE72" i="22"/>
  <c r="AR73" i="22"/>
  <c r="AS73" i="22"/>
  <c r="AT73" i="22"/>
  <c r="AU73" i="22"/>
  <c r="AV73" i="22"/>
  <c r="AW73" i="22"/>
  <c r="AX73" i="22"/>
  <c r="AY73" i="22"/>
  <c r="AZ73" i="22"/>
  <c r="BA73" i="22"/>
  <c r="BB73" i="22"/>
  <c r="BC73" i="22"/>
  <c r="BD73" i="22"/>
  <c r="BE73" i="22"/>
  <c r="AR74" i="22"/>
  <c r="AS74" i="22"/>
  <c r="AT74" i="22"/>
  <c r="AU74" i="22"/>
  <c r="AV74" i="22"/>
  <c r="AW74" i="22"/>
  <c r="AX74" i="22"/>
  <c r="AY74" i="22"/>
  <c r="AZ74" i="22"/>
  <c r="BA74" i="22"/>
  <c r="BB74" i="22"/>
  <c r="BC74" i="22"/>
  <c r="BD74" i="22"/>
  <c r="BE74" i="22"/>
  <c r="AR75" i="22"/>
  <c r="AS75" i="22"/>
  <c r="AT75" i="22"/>
  <c r="AU75" i="22"/>
  <c r="AV75" i="22"/>
  <c r="AW75" i="22"/>
  <c r="AX75" i="22"/>
  <c r="AY75" i="22"/>
  <c r="AZ75" i="22"/>
  <c r="BA75" i="22"/>
  <c r="BB75" i="22"/>
  <c r="BC75" i="22"/>
  <c r="BD75" i="22"/>
  <c r="BE75" i="22"/>
  <c r="AQ42" i="22"/>
  <c r="AQ43" i="22"/>
  <c r="AQ44" i="22"/>
  <c r="AQ45" i="22"/>
  <c r="AQ46" i="22"/>
  <c r="AQ47" i="22"/>
  <c r="AQ48" i="22"/>
  <c r="AQ49" i="22"/>
  <c r="AQ50" i="22"/>
  <c r="AQ51" i="22"/>
  <c r="AQ52" i="22"/>
  <c r="AQ53" i="22"/>
  <c r="AQ54" i="22"/>
  <c r="AQ55" i="22"/>
  <c r="AQ56" i="22"/>
  <c r="AQ57" i="22"/>
  <c r="AQ58" i="22"/>
  <c r="AQ59" i="22"/>
  <c r="AQ60" i="22"/>
  <c r="AQ61" i="22"/>
  <c r="AQ62" i="22"/>
  <c r="AQ63" i="22"/>
  <c r="AQ64" i="22"/>
  <c r="AQ65" i="22"/>
  <c r="AQ66" i="22"/>
  <c r="AQ67" i="22"/>
  <c r="AQ68" i="22"/>
  <c r="AQ69" i="22"/>
  <c r="AQ70" i="22"/>
  <c r="AQ71" i="22"/>
  <c r="AQ72" i="22"/>
  <c r="AQ73" i="22"/>
  <c r="AQ74" i="22"/>
  <c r="AQ75" i="22"/>
  <c r="BM111" i="22"/>
  <c r="BK111" i="22"/>
  <c r="BC117" i="22"/>
  <c r="BA111" i="22"/>
  <c r="FF148" i="9" a="1"/>
  <c r="FF148" i="9"/>
  <c r="EF134" i="9" a="1"/>
  <c r="EF134" i="9" s="1"/>
  <c r="AH70" i="9" a="1"/>
  <c r="AH70" i="9" s="1"/>
  <c r="O52" i="9" a="1"/>
  <c r="O52" i="9" s="1"/>
  <c r="AH52" i="9" a="1"/>
  <c r="AH52" i="9" s="1"/>
  <c r="BA52" i="9" a="1"/>
  <c r="BA52" i="9" s="1"/>
  <c r="BT48" i="9" a="1"/>
  <c r="BT48" i="9" s="1"/>
  <c r="BT63" i="9" a="1"/>
  <c r="BT63" i="9" s="1"/>
  <c r="CP147" i="9" a="1"/>
  <c r="CP147" i="9"/>
  <c r="BU132" i="9" a="1"/>
  <c r="BU132" i="9" s="1"/>
  <c r="BB132" i="9" a="1"/>
  <c r="BB132" i="9" s="1"/>
  <c r="O169" i="9" a="1"/>
  <c r="O169" i="9" s="1"/>
  <c r="O132" i="9" a="1"/>
  <c r="O132" i="9" s="1"/>
  <c r="AI132" i="9" a="1"/>
  <c r="AI132" i="9"/>
  <c r="AI149" i="9" a="1"/>
  <c r="AI149" i="9"/>
  <c r="AI234" i="9" a="1"/>
  <c r="AI234" i="9" s="1"/>
  <c r="O217" i="9" a="1"/>
  <c r="O217" i="9" s="1"/>
  <c r="AI217" i="9" a="1"/>
  <c r="AI217" i="9" s="1"/>
  <c r="BB217" i="9" a="1"/>
  <c r="BB217" i="9" s="1"/>
  <c r="CP257" i="9" a="1"/>
  <c r="CP257" i="9"/>
  <c r="CP227" i="9" a="1"/>
  <c r="CP227" i="9" s="1"/>
  <c r="BU217" i="9" a="1"/>
  <c r="BU217" i="9"/>
  <c r="BU233" i="9" a="1"/>
  <c r="BU233" i="9" s="1"/>
  <c r="EZ241" i="9" a="1"/>
  <c r="EZ241" i="9" s="1"/>
  <c r="AG132" i="22"/>
  <c r="DJ241" i="9" a="1"/>
  <c r="DJ241" i="9" s="1"/>
  <c r="CP246" i="9"/>
  <c r="CP243" i="9" a="1"/>
  <c r="CP243" i="9" s="1"/>
  <c r="AG159" i="22"/>
  <c r="J213" i="20"/>
  <c r="J214" i="20"/>
  <c r="J215" i="20"/>
  <c r="J216" i="20"/>
  <c r="J217" i="20"/>
  <c r="J218" i="20"/>
  <c r="J219" i="20"/>
  <c r="J220" i="20"/>
  <c r="J221" i="20"/>
  <c r="J222" i="20"/>
  <c r="J223" i="20"/>
  <c r="J224" i="20"/>
  <c r="J225" i="20"/>
  <c r="J226" i="20"/>
  <c r="J212" i="20"/>
  <c r="H213" i="20"/>
  <c r="H214" i="20"/>
  <c r="H215" i="20"/>
  <c r="H216" i="20"/>
  <c r="H217" i="20"/>
  <c r="H218" i="20"/>
  <c r="H219" i="20"/>
  <c r="H220" i="20"/>
  <c r="H221" i="20"/>
  <c r="H222" i="20"/>
  <c r="H223" i="20"/>
  <c r="H224" i="20"/>
  <c r="H225" i="20"/>
  <c r="H226" i="20"/>
  <c r="F212" i="20" a="1"/>
  <c r="F212" i="20" s="1"/>
  <c r="J201" i="20"/>
  <c r="J202" i="20"/>
  <c r="J203" i="20"/>
  <c r="J204" i="20"/>
  <c r="J205" i="20"/>
  <c r="N201" i="20"/>
  <c r="H171" i="20" a="1"/>
  <c r="H171" i="20" s="1"/>
  <c r="F171" i="20" a="1"/>
  <c r="F171" i="20" s="1"/>
  <c r="AJ163" i="20"/>
  <c r="AO136" i="20"/>
  <c r="AJ140" i="20"/>
  <c r="AJ136" i="20"/>
  <c r="BH42" i="20"/>
  <c r="BH43" i="20"/>
  <c r="BH44" i="20"/>
  <c r="BH45" i="20"/>
  <c r="BH46" i="20"/>
  <c r="BH47" i="20"/>
  <c r="BH48" i="20"/>
  <c r="BH49" i="20"/>
  <c r="BH50" i="20"/>
  <c r="BH51" i="20"/>
  <c r="BH52" i="20"/>
  <c r="BH53" i="20"/>
  <c r="BH54" i="20"/>
  <c r="BH55" i="20"/>
  <c r="BH56" i="20"/>
  <c r="BH57" i="20"/>
  <c r="BH58" i="20"/>
  <c r="BH59" i="20"/>
  <c r="BH60" i="20"/>
  <c r="BH61" i="20"/>
  <c r="BH62" i="20"/>
  <c r="BH63" i="20"/>
  <c r="BH64" i="20"/>
  <c r="BH65" i="20"/>
  <c r="BH66" i="20"/>
  <c r="BH67" i="20"/>
  <c r="BH68" i="20"/>
  <c r="BH69" i="20"/>
  <c r="BH70" i="20"/>
  <c r="BH71" i="20"/>
  <c r="BH72" i="20"/>
  <c r="BH73" i="20"/>
  <c r="BH74" i="20"/>
  <c r="BH75" i="20"/>
  <c r="BG42" i="20"/>
  <c r="BG43" i="20"/>
  <c r="BG44" i="20"/>
  <c r="BG45" i="20"/>
  <c r="BG46" i="20"/>
  <c r="BG47" i="20"/>
  <c r="BG48" i="20"/>
  <c r="BG49" i="20"/>
  <c r="BG50" i="20"/>
  <c r="BG51" i="20"/>
  <c r="BG52" i="20"/>
  <c r="BG53" i="20"/>
  <c r="BG54" i="20"/>
  <c r="BG55" i="20"/>
  <c r="BG56" i="20"/>
  <c r="BG57" i="20"/>
  <c r="BG58" i="20"/>
  <c r="BG59" i="20"/>
  <c r="BG60" i="20"/>
  <c r="BG61" i="20"/>
  <c r="BG62" i="20"/>
  <c r="BG63" i="20"/>
  <c r="BG64" i="20"/>
  <c r="BG65" i="20"/>
  <c r="BG66" i="20"/>
  <c r="BG67" i="20"/>
  <c r="BG68" i="20"/>
  <c r="BG69" i="20"/>
  <c r="BG70" i="20"/>
  <c r="BG71" i="20"/>
  <c r="BG72" i="20"/>
  <c r="BG73" i="20"/>
  <c r="BG74" i="20"/>
  <c r="BG75" i="20"/>
  <c r="BF42" i="20"/>
  <c r="BF43" i="20"/>
  <c r="BF44" i="20"/>
  <c r="BF45" i="20"/>
  <c r="BF46" i="20"/>
  <c r="BF47" i="20"/>
  <c r="BF48" i="20"/>
  <c r="BF49" i="20"/>
  <c r="BF50" i="20"/>
  <c r="BF51" i="20"/>
  <c r="BF52" i="20"/>
  <c r="BF53" i="20"/>
  <c r="BF54" i="20"/>
  <c r="BF55" i="20"/>
  <c r="BF56" i="20"/>
  <c r="BF57" i="20"/>
  <c r="BF58" i="20"/>
  <c r="BF59" i="20"/>
  <c r="BF60" i="20"/>
  <c r="BF61" i="20"/>
  <c r="BF62" i="20"/>
  <c r="BF63" i="20"/>
  <c r="BF64" i="20"/>
  <c r="BF65" i="20"/>
  <c r="BF66" i="20"/>
  <c r="BF67" i="20"/>
  <c r="BF68" i="20"/>
  <c r="BF69" i="20"/>
  <c r="BF70" i="20"/>
  <c r="BF71" i="20"/>
  <c r="BF72" i="20"/>
  <c r="BF73" i="20"/>
  <c r="BF74" i="20"/>
  <c r="BF75" i="20"/>
  <c r="BF41" i="20"/>
  <c r="AT42" i="20"/>
  <c r="AT43" i="20"/>
  <c r="AT44" i="20"/>
  <c r="AT45" i="20"/>
  <c r="AT46" i="20"/>
  <c r="AT47" i="20"/>
  <c r="AT48" i="20"/>
  <c r="AT49" i="20"/>
  <c r="AT50" i="20"/>
  <c r="AT51" i="20"/>
  <c r="AT52" i="20"/>
  <c r="AT53" i="20"/>
  <c r="AT54" i="20"/>
  <c r="AT55" i="20"/>
  <c r="AT56" i="20"/>
  <c r="AT57" i="20"/>
  <c r="AT58" i="20"/>
  <c r="AT59" i="20"/>
  <c r="AT60" i="20"/>
  <c r="AT61" i="20"/>
  <c r="AT62" i="20"/>
  <c r="AT63" i="20"/>
  <c r="AT64" i="20"/>
  <c r="AT65" i="20"/>
  <c r="AT66" i="20"/>
  <c r="AT67" i="20"/>
  <c r="AT68" i="20"/>
  <c r="AT69" i="20"/>
  <c r="AT70" i="20"/>
  <c r="AT71" i="20"/>
  <c r="AT72" i="20"/>
  <c r="AT73" i="20"/>
  <c r="AT74" i="20"/>
  <c r="AT75" i="20"/>
  <c r="AU42" i="20"/>
  <c r="AU43" i="20"/>
  <c r="AU44" i="20"/>
  <c r="AU45" i="20"/>
  <c r="AU46" i="20"/>
  <c r="AU47" i="20"/>
  <c r="AU48" i="20"/>
  <c r="AU49" i="20"/>
  <c r="AU50" i="20"/>
  <c r="AU51" i="20"/>
  <c r="AU52" i="20"/>
  <c r="AU53" i="20"/>
  <c r="AU54" i="20"/>
  <c r="AU55" i="20"/>
  <c r="AU56" i="20"/>
  <c r="AU57" i="20"/>
  <c r="AU58" i="20"/>
  <c r="AU59" i="20"/>
  <c r="AU60" i="20"/>
  <c r="AU61" i="20"/>
  <c r="AU62" i="20"/>
  <c r="AU63" i="20"/>
  <c r="AU64" i="20"/>
  <c r="AU65" i="20"/>
  <c r="AU66" i="20"/>
  <c r="AU67" i="20"/>
  <c r="AU68" i="20"/>
  <c r="AU69" i="20"/>
  <c r="AU70" i="20"/>
  <c r="AU71" i="20"/>
  <c r="AU72" i="20"/>
  <c r="AU73" i="20"/>
  <c r="AU74" i="20"/>
  <c r="AU75" i="20"/>
  <c r="AV42" i="20"/>
  <c r="AV43" i="20"/>
  <c r="AV44" i="20"/>
  <c r="AV45" i="20"/>
  <c r="AV46" i="20"/>
  <c r="AV47" i="20"/>
  <c r="AV48" i="20"/>
  <c r="AV49" i="20"/>
  <c r="AV50" i="20"/>
  <c r="AV51" i="20"/>
  <c r="AV52" i="20"/>
  <c r="AV53" i="20"/>
  <c r="AV54" i="20"/>
  <c r="AV55" i="20"/>
  <c r="AV56" i="20"/>
  <c r="AV57" i="20"/>
  <c r="AV58" i="20"/>
  <c r="AV59" i="20"/>
  <c r="AV60" i="20"/>
  <c r="AV61" i="20"/>
  <c r="AV62" i="20"/>
  <c r="AV63" i="20"/>
  <c r="AV64" i="20"/>
  <c r="AV65" i="20"/>
  <c r="AV66" i="20"/>
  <c r="AV67" i="20"/>
  <c r="AV68" i="20"/>
  <c r="AV69" i="20"/>
  <c r="AV70" i="20"/>
  <c r="AV71" i="20"/>
  <c r="AV72" i="20"/>
  <c r="AV73" i="20"/>
  <c r="AV74" i="20"/>
  <c r="AV75" i="20"/>
  <c r="AW42" i="20"/>
  <c r="AW43" i="20"/>
  <c r="AW44" i="20"/>
  <c r="AW45" i="20"/>
  <c r="AW46" i="20"/>
  <c r="AW47" i="20"/>
  <c r="AW48" i="20"/>
  <c r="AW49" i="20"/>
  <c r="AW50" i="20"/>
  <c r="AW51" i="20"/>
  <c r="AW52" i="20"/>
  <c r="AW53" i="20"/>
  <c r="AW54" i="20"/>
  <c r="AW55" i="20"/>
  <c r="AW56" i="20"/>
  <c r="AW57" i="20"/>
  <c r="AW58" i="20"/>
  <c r="AW59" i="20"/>
  <c r="AW60" i="20"/>
  <c r="AW61" i="20"/>
  <c r="AW62" i="20"/>
  <c r="AW63" i="20"/>
  <c r="AW64" i="20"/>
  <c r="AW65" i="20"/>
  <c r="AW66" i="20"/>
  <c r="AW67" i="20"/>
  <c r="AW68" i="20"/>
  <c r="AW69" i="20"/>
  <c r="AW70" i="20"/>
  <c r="AW71" i="20"/>
  <c r="AW72" i="20"/>
  <c r="AW73" i="20"/>
  <c r="AW74" i="20"/>
  <c r="AW75" i="20"/>
  <c r="AX42" i="20"/>
  <c r="AX43" i="20"/>
  <c r="AX44" i="20"/>
  <c r="AX45" i="20"/>
  <c r="AX46" i="20"/>
  <c r="AX47" i="20"/>
  <c r="AX48" i="20"/>
  <c r="AX49" i="20"/>
  <c r="AX50" i="20"/>
  <c r="AX51" i="20"/>
  <c r="AX52" i="20"/>
  <c r="AX53" i="20"/>
  <c r="AX54" i="20"/>
  <c r="AX55" i="20"/>
  <c r="AX56" i="20"/>
  <c r="AX57" i="20"/>
  <c r="AX58" i="20"/>
  <c r="AX59" i="20"/>
  <c r="AX60" i="20"/>
  <c r="AX61" i="20"/>
  <c r="AX62" i="20"/>
  <c r="AX63" i="20"/>
  <c r="AX64" i="20"/>
  <c r="AX65" i="20"/>
  <c r="AX66" i="20"/>
  <c r="AX67" i="20"/>
  <c r="AX68" i="20"/>
  <c r="AX69" i="20"/>
  <c r="AX70" i="20"/>
  <c r="AX71" i="20"/>
  <c r="AX72" i="20"/>
  <c r="AX73" i="20"/>
  <c r="AX74" i="20"/>
  <c r="AX75" i="20"/>
  <c r="AY42" i="20"/>
  <c r="AY43" i="20"/>
  <c r="AY44" i="20"/>
  <c r="AY45" i="20"/>
  <c r="AY46" i="20"/>
  <c r="AY47" i="20"/>
  <c r="AY48" i="20"/>
  <c r="AY49" i="20"/>
  <c r="AY50" i="20"/>
  <c r="AY51" i="20"/>
  <c r="AY52" i="20"/>
  <c r="AY53" i="20"/>
  <c r="AY54" i="20"/>
  <c r="AY55" i="20"/>
  <c r="AY56" i="20"/>
  <c r="AY57" i="20"/>
  <c r="AY58" i="20"/>
  <c r="AY59" i="20"/>
  <c r="AY60" i="20"/>
  <c r="AY61" i="20"/>
  <c r="AY62" i="20"/>
  <c r="AY63" i="20"/>
  <c r="AY64" i="20"/>
  <c r="AY65" i="20"/>
  <c r="AY66" i="20"/>
  <c r="AY67" i="20"/>
  <c r="AY68" i="20"/>
  <c r="AY69" i="20"/>
  <c r="AY70" i="20"/>
  <c r="AY71" i="20"/>
  <c r="AY72" i="20"/>
  <c r="AY73" i="20"/>
  <c r="AY74" i="20"/>
  <c r="AZ42" i="20"/>
  <c r="AZ43" i="20"/>
  <c r="AZ44" i="20"/>
  <c r="AZ45" i="20"/>
  <c r="AZ46" i="20"/>
  <c r="AZ47" i="20"/>
  <c r="AZ48" i="20"/>
  <c r="AZ49" i="20"/>
  <c r="AZ50" i="20"/>
  <c r="AZ51" i="20"/>
  <c r="AZ52" i="20"/>
  <c r="AZ53" i="20"/>
  <c r="AZ54" i="20"/>
  <c r="AZ55" i="20"/>
  <c r="AZ56" i="20"/>
  <c r="AZ57" i="20"/>
  <c r="AZ58" i="20"/>
  <c r="AZ59" i="20"/>
  <c r="AZ60" i="20"/>
  <c r="AZ61" i="20"/>
  <c r="AZ62" i="20"/>
  <c r="AZ63" i="20"/>
  <c r="AZ64" i="20"/>
  <c r="AZ65" i="20"/>
  <c r="AZ66" i="20"/>
  <c r="AZ67" i="20"/>
  <c r="AZ68" i="20"/>
  <c r="AZ69" i="20"/>
  <c r="AZ70" i="20"/>
  <c r="AZ71" i="20"/>
  <c r="AZ72" i="20"/>
  <c r="AZ73" i="20"/>
  <c r="AZ74" i="20"/>
  <c r="AZ75" i="20"/>
  <c r="BA42" i="20"/>
  <c r="BA43" i="20"/>
  <c r="BA44" i="20"/>
  <c r="BA45" i="20"/>
  <c r="BA46" i="20"/>
  <c r="BA47" i="20"/>
  <c r="BA48" i="20"/>
  <c r="BA49" i="20"/>
  <c r="BA50" i="20"/>
  <c r="BA51" i="20"/>
  <c r="BA52" i="20"/>
  <c r="BA53" i="20"/>
  <c r="BA54" i="20"/>
  <c r="BA55" i="20"/>
  <c r="BA56" i="20"/>
  <c r="BA57" i="20"/>
  <c r="BA58" i="20"/>
  <c r="BA59" i="20"/>
  <c r="BA60" i="20"/>
  <c r="BA61" i="20"/>
  <c r="BA62" i="20"/>
  <c r="BA63" i="20"/>
  <c r="BA64" i="20"/>
  <c r="BA65" i="20"/>
  <c r="BA66" i="20"/>
  <c r="BA67" i="20"/>
  <c r="BA68" i="20"/>
  <c r="BA69" i="20"/>
  <c r="BA70" i="20"/>
  <c r="BA71" i="20"/>
  <c r="BA72" i="20"/>
  <c r="BA73" i="20"/>
  <c r="BA74" i="20"/>
  <c r="BA75" i="20"/>
  <c r="BB42" i="20"/>
  <c r="BB43" i="20"/>
  <c r="BB44" i="20"/>
  <c r="BB45" i="20"/>
  <c r="BB46" i="20"/>
  <c r="BB47" i="20"/>
  <c r="BB48" i="20"/>
  <c r="BB49" i="20"/>
  <c r="BB50" i="20"/>
  <c r="BB51" i="20"/>
  <c r="BB52" i="20"/>
  <c r="BB53" i="20"/>
  <c r="BB54" i="20"/>
  <c r="BB55" i="20"/>
  <c r="BB56" i="20"/>
  <c r="BB57" i="20"/>
  <c r="BB58" i="20"/>
  <c r="BB59" i="20"/>
  <c r="BB60" i="20"/>
  <c r="BB61" i="20"/>
  <c r="BB62" i="20"/>
  <c r="BB63" i="20"/>
  <c r="BB64" i="20"/>
  <c r="BB65" i="20"/>
  <c r="BB66" i="20"/>
  <c r="BB67" i="20"/>
  <c r="BB68" i="20"/>
  <c r="BB69" i="20"/>
  <c r="BB70" i="20"/>
  <c r="BB71" i="20"/>
  <c r="BB72" i="20"/>
  <c r="BB73" i="20"/>
  <c r="BB74" i="20"/>
  <c r="BB75" i="20"/>
  <c r="BC42" i="20"/>
  <c r="BC43" i="20"/>
  <c r="BC44" i="20"/>
  <c r="BC45" i="20"/>
  <c r="BC46" i="20"/>
  <c r="BC47" i="20"/>
  <c r="BC48" i="20"/>
  <c r="BC49" i="20"/>
  <c r="BC50" i="20"/>
  <c r="BC51" i="20"/>
  <c r="BC52" i="20"/>
  <c r="BC53" i="20"/>
  <c r="BC54" i="20"/>
  <c r="BC55" i="20"/>
  <c r="BC56" i="20"/>
  <c r="BC57" i="20"/>
  <c r="BC58" i="20"/>
  <c r="BC59" i="20"/>
  <c r="BC60" i="20"/>
  <c r="BC61" i="20"/>
  <c r="BC62" i="20"/>
  <c r="BC63" i="20"/>
  <c r="BC64" i="20"/>
  <c r="BC65" i="20"/>
  <c r="BC66" i="20"/>
  <c r="BC67" i="20"/>
  <c r="BC68" i="20"/>
  <c r="BC69" i="20"/>
  <c r="BC70" i="20"/>
  <c r="BC71" i="20"/>
  <c r="BC72" i="20"/>
  <c r="BC73" i="20"/>
  <c r="BC74" i="20"/>
  <c r="BC75" i="20"/>
  <c r="BD71" i="20"/>
  <c r="BD72" i="20"/>
  <c r="BD73" i="20"/>
  <c r="BD74" i="20"/>
  <c r="BD75" i="20"/>
  <c r="BD42" i="20"/>
  <c r="BD43" i="20"/>
  <c r="BD44" i="20"/>
  <c r="BD45" i="20"/>
  <c r="BD46" i="20"/>
  <c r="BD47" i="20"/>
  <c r="BD48" i="20"/>
  <c r="BD49" i="20"/>
  <c r="BD50" i="20"/>
  <c r="BD51" i="20"/>
  <c r="BD52" i="20"/>
  <c r="BD53" i="20"/>
  <c r="BD54" i="20"/>
  <c r="BD55" i="20"/>
  <c r="BD56" i="20"/>
  <c r="BD57" i="20"/>
  <c r="BD58" i="20"/>
  <c r="BD59" i="20"/>
  <c r="BD60" i="20"/>
  <c r="BD61" i="20"/>
  <c r="BD62" i="20"/>
  <c r="BD63" i="20"/>
  <c r="BD64" i="20"/>
  <c r="BD65" i="20"/>
  <c r="BD66" i="20"/>
  <c r="BD67" i="20"/>
  <c r="BD68" i="20"/>
  <c r="BD69" i="20"/>
  <c r="BD70" i="20"/>
  <c r="BE71" i="20"/>
  <c r="BE72" i="20"/>
  <c r="BI115" i="20"/>
  <c r="BF121" i="20"/>
  <c r="BF114" i="20"/>
  <c r="BP115" i="20"/>
  <c r="BN115" i="20"/>
  <c r="BH115" i="20"/>
  <c r="BD115" i="20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C209" i="15" a="1"/>
  <c r="C209" i="15" s="1"/>
  <c r="I168" i="15" a="1"/>
  <c r="I168" i="15" s="1"/>
  <c r="G169" i="15"/>
  <c r="G170" i="15"/>
  <c r="G171" i="15"/>
  <c r="G172" i="15"/>
  <c r="G173" i="15"/>
  <c r="G174" i="15"/>
  <c r="G175" i="15"/>
  <c r="G176" i="15"/>
  <c r="G177" i="15"/>
  <c r="G178" i="15"/>
  <c r="G179" i="15"/>
  <c r="G180" i="15"/>
  <c r="G181" i="15"/>
  <c r="G182" i="15"/>
  <c r="G183" i="15"/>
  <c r="G184" i="15"/>
  <c r="G185" i="15"/>
  <c r="G186" i="15"/>
  <c r="G187" i="15"/>
  <c r="G188" i="15"/>
  <c r="G189" i="15"/>
  <c r="G190" i="15"/>
  <c r="G191" i="15"/>
  <c r="G192" i="15"/>
  <c r="G193" i="15"/>
  <c r="G194" i="15"/>
  <c r="G195" i="15"/>
  <c r="G196" i="15"/>
  <c r="G197" i="15"/>
  <c r="G198" i="15"/>
  <c r="G199" i="15"/>
  <c r="G200" i="15"/>
  <c r="G201" i="15"/>
  <c r="G202" i="15"/>
  <c r="G168" i="15"/>
  <c r="E168" i="15" a="1"/>
  <c r="E168" i="15" s="1"/>
  <c r="C168" i="15" a="1"/>
  <c r="C168" i="15" s="1"/>
  <c r="C160" i="15"/>
  <c r="BF100" i="15"/>
  <c r="BE42" i="15"/>
  <c r="BE43" i="15"/>
  <c r="BE46" i="15"/>
  <c r="BE47" i="15"/>
  <c r="BE49" i="15"/>
  <c r="BE50" i="15"/>
  <c r="BE51" i="15"/>
  <c r="BE52" i="15"/>
  <c r="BE53" i="15"/>
  <c r="BE54" i="15"/>
  <c r="BE55" i="15"/>
  <c r="BE56" i="15"/>
  <c r="BE57" i="15"/>
  <c r="BE58" i="15"/>
  <c r="BE59" i="15"/>
  <c r="BE60" i="15"/>
  <c r="BE61" i="15"/>
  <c r="BE62" i="15"/>
  <c r="BE63" i="15"/>
  <c r="BE64" i="15"/>
  <c r="BE65" i="15"/>
  <c r="BE66" i="15"/>
  <c r="BE67" i="15"/>
  <c r="BE68" i="15"/>
  <c r="BE69" i="15"/>
  <c r="BE70" i="15"/>
  <c r="BE73" i="15"/>
  <c r="BE74" i="15"/>
  <c r="BE75" i="15"/>
  <c r="BD42" i="15"/>
  <c r="BD43" i="15"/>
  <c r="BD44" i="15"/>
  <c r="BD45" i="15"/>
  <c r="BD46" i="15"/>
  <c r="BD47" i="15"/>
  <c r="BD48" i="15"/>
  <c r="BD49" i="15"/>
  <c r="BD50" i="15"/>
  <c r="BD51" i="15"/>
  <c r="BD52" i="15"/>
  <c r="BD53" i="15"/>
  <c r="BD54" i="15"/>
  <c r="BD55" i="15"/>
  <c r="BD56" i="15"/>
  <c r="BD57" i="15"/>
  <c r="BD58" i="15"/>
  <c r="BD60" i="15"/>
  <c r="BD61" i="15"/>
  <c r="BD62" i="15"/>
  <c r="BD64" i="15"/>
  <c r="BD65" i="15"/>
  <c r="BD67" i="15"/>
  <c r="BD68" i="15"/>
  <c r="BD69" i="15"/>
  <c r="BD70" i="15"/>
  <c r="BD71" i="15"/>
  <c r="BD72" i="15"/>
  <c r="BD73" i="15"/>
  <c r="BD74" i="15"/>
  <c r="BD75" i="15"/>
  <c r="BB42" i="15"/>
  <c r="BB43" i="15"/>
  <c r="BB44" i="15"/>
  <c r="BB45" i="15"/>
  <c r="BB46" i="15"/>
  <c r="BB47" i="15"/>
  <c r="BB48" i="15"/>
  <c r="BB49" i="15"/>
  <c r="BB50" i="15"/>
  <c r="BB51" i="15"/>
  <c r="BB52" i="15"/>
  <c r="BB53" i="15"/>
  <c r="BB54" i="15"/>
  <c r="BB55" i="15"/>
  <c r="BB56" i="15"/>
  <c r="BB57" i="15"/>
  <c r="BB58" i="15"/>
  <c r="BB59" i="15"/>
  <c r="BB60" i="15"/>
  <c r="BB61" i="15"/>
  <c r="BB62" i="15"/>
  <c r="BB63" i="15"/>
  <c r="BB64" i="15"/>
  <c r="BB65" i="15"/>
  <c r="BB66" i="15"/>
  <c r="BB68" i="15"/>
  <c r="BB69" i="15"/>
  <c r="BB70" i="15"/>
  <c r="BB71" i="15"/>
  <c r="BB72" i="15"/>
  <c r="BB73" i="15"/>
  <c r="BB74" i="15"/>
  <c r="BB75" i="15"/>
  <c r="BA42" i="15"/>
  <c r="BA43" i="15"/>
  <c r="BA46" i="15"/>
  <c r="BA47" i="15"/>
  <c r="BA48" i="15"/>
  <c r="BA49" i="15"/>
  <c r="BA50" i="15"/>
  <c r="BA51" i="15"/>
  <c r="BA52" i="15"/>
  <c r="BA53" i="15"/>
  <c r="BA54" i="15"/>
  <c r="BA55" i="15"/>
  <c r="BA56" i="15"/>
  <c r="BA57" i="15"/>
  <c r="BA58" i="15"/>
  <c r="BA59" i="15"/>
  <c r="BA60" i="15"/>
  <c r="BA61" i="15"/>
  <c r="BA63" i="15"/>
  <c r="BA64" i="15"/>
  <c r="BA65" i="15"/>
  <c r="BA66" i="15"/>
  <c r="BA67" i="15"/>
  <c r="BA68" i="15"/>
  <c r="BA69" i="15"/>
  <c r="BA70" i="15"/>
  <c r="BA72" i="15"/>
  <c r="BA73" i="15"/>
  <c r="BA74" i="15"/>
  <c r="BA75" i="15"/>
  <c r="AZ42" i="15"/>
  <c r="AZ43" i="15"/>
  <c r="AZ46" i="15"/>
  <c r="AZ47" i="15"/>
  <c r="AZ48" i="15"/>
  <c r="AZ49" i="15"/>
  <c r="AZ50" i="15"/>
  <c r="AZ51" i="15"/>
  <c r="AZ52" i="15"/>
  <c r="AZ53" i="15"/>
  <c r="AZ54" i="15"/>
  <c r="AZ55" i="15"/>
  <c r="AZ56" i="15"/>
  <c r="AZ57" i="15"/>
  <c r="AZ58" i="15"/>
  <c r="AZ59" i="15"/>
  <c r="AZ60" i="15"/>
  <c r="AZ62" i="15"/>
  <c r="AZ63" i="15"/>
  <c r="AZ64" i="15"/>
  <c r="AZ65" i="15"/>
  <c r="AZ66" i="15"/>
  <c r="AZ67" i="15"/>
  <c r="AZ68" i="15"/>
  <c r="AZ69" i="15"/>
  <c r="AZ70" i="15"/>
  <c r="AZ71" i="15"/>
  <c r="AZ72" i="15"/>
  <c r="AZ73" i="15"/>
  <c r="AZ74" i="15"/>
  <c r="AZ75" i="15"/>
  <c r="AY42" i="15"/>
  <c r="AY43" i="15"/>
  <c r="AY44" i="15"/>
  <c r="AY45" i="15"/>
  <c r="AY46" i="15"/>
  <c r="AY47" i="15"/>
  <c r="AY48" i="15"/>
  <c r="AY49" i="15"/>
  <c r="AY50" i="15"/>
  <c r="AY51" i="15"/>
  <c r="AY52" i="15"/>
  <c r="AY53" i="15"/>
  <c r="AY54" i="15"/>
  <c r="AY55" i="15"/>
  <c r="AY56" i="15"/>
  <c r="AY57" i="15"/>
  <c r="AY59" i="15"/>
  <c r="AY60" i="15"/>
  <c r="AY61" i="15"/>
  <c r="AY62" i="15"/>
  <c r="AY63" i="15"/>
  <c r="AY64" i="15"/>
  <c r="AY65" i="15"/>
  <c r="AY66" i="15"/>
  <c r="AY67" i="15"/>
  <c r="AY68" i="15"/>
  <c r="AY69" i="15"/>
  <c r="AY70" i="15"/>
  <c r="AY71" i="15"/>
  <c r="AY72" i="15"/>
  <c r="AY73" i="15"/>
  <c r="AY74" i="15"/>
  <c r="AY75" i="15"/>
  <c r="AX42" i="15"/>
  <c r="AX43" i="15"/>
  <c r="AX44" i="15"/>
  <c r="AX45" i="15"/>
  <c r="AX46" i="15"/>
  <c r="AX47" i="15"/>
  <c r="AX48" i="15"/>
  <c r="AX49" i="15"/>
  <c r="AX50" i="15"/>
  <c r="AX51" i="15"/>
  <c r="AX52" i="15"/>
  <c r="AX53" i="15"/>
  <c r="AX54" i="15"/>
  <c r="AX55" i="15"/>
  <c r="AX56" i="15"/>
  <c r="AX58" i="15"/>
  <c r="AX59" i="15"/>
  <c r="AX60" i="15"/>
  <c r="AX61" i="15"/>
  <c r="AX62" i="15"/>
  <c r="AX63" i="15"/>
  <c r="AX64" i="15"/>
  <c r="AX65" i="15"/>
  <c r="AX66" i="15"/>
  <c r="AX67" i="15"/>
  <c r="AX68" i="15"/>
  <c r="AX69" i="15"/>
  <c r="AX70" i="15"/>
  <c r="AX71" i="15"/>
  <c r="AX72" i="15"/>
  <c r="AX73" i="15"/>
  <c r="AX74" i="15"/>
  <c r="AX75" i="15"/>
  <c r="AW42" i="15"/>
  <c r="AW43" i="15"/>
  <c r="AW44" i="15"/>
  <c r="AW45" i="15"/>
  <c r="AW46" i="15"/>
  <c r="AW47" i="15"/>
  <c r="AW48" i="15"/>
  <c r="AW49" i="15"/>
  <c r="AW50" i="15"/>
  <c r="AW51" i="15"/>
  <c r="AW52" i="15"/>
  <c r="AW53" i="15"/>
  <c r="AW54" i="15"/>
  <c r="AW55" i="15"/>
  <c r="AW57" i="15"/>
  <c r="AW58" i="15"/>
  <c r="AW59" i="15"/>
  <c r="AW60" i="15"/>
  <c r="AW61" i="15"/>
  <c r="AW62" i="15"/>
  <c r="AW63" i="15"/>
  <c r="AW64" i="15"/>
  <c r="AW65" i="15"/>
  <c r="AW66" i="15"/>
  <c r="AW67" i="15"/>
  <c r="AW68" i="15"/>
  <c r="AW69" i="15"/>
  <c r="AW70" i="15"/>
  <c r="AW71" i="15"/>
  <c r="AW72" i="15"/>
  <c r="AW73" i="15"/>
  <c r="AW74" i="15"/>
  <c r="AW75" i="15"/>
  <c r="AV75" i="15"/>
  <c r="AV42" i="15"/>
  <c r="AV43" i="15"/>
  <c r="AV44" i="15"/>
  <c r="AV45" i="15"/>
  <c r="AV46" i="15"/>
  <c r="AV47" i="15"/>
  <c r="AV48" i="15"/>
  <c r="AV49" i="15"/>
  <c r="AV50" i="15"/>
  <c r="AV51" i="15"/>
  <c r="AV52" i="15"/>
  <c r="AV53" i="15"/>
  <c r="AV55" i="15"/>
  <c r="AV56" i="15"/>
  <c r="AV57" i="15"/>
  <c r="AV58" i="15"/>
  <c r="AV59" i="15"/>
  <c r="AV60" i="15"/>
  <c r="AV61" i="15"/>
  <c r="AV62" i="15"/>
  <c r="AV63" i="15"/>
  <c r="AV64" i="15"/>
  <c r="AV65" i="15"/>
  <c r="AV66" i="15"/>
  <c r="AV67" i="15"/>
  <c r="AV68" i="15"/>
  <c r="AV69" i="15"/>
  <c r="AV70" i="15"/>
  <c r="AV71" i="15"/>
  <c r="AV72" i="15"/>
  <c r="AV73" i="15"/>
  <c r="AV74" i="15"/>
  <c r="AU42" i="15"/>
  <c r="AU43" i="15"/>
  <c r="AU44" i="15"/>
  <c r="AU45" i="15"/>
  <c r="AU46" i="15"/>
  <c r="AU47" i="15"/>
  <c r="AU48" i="15"/>
  <c r="AU49" i="15"/>
  <c r="AU50" i="15"/>
  <c r="AU51" i="15"/>
  <c r="AU53" i="15"/>
  <c r="AU54" i="15"/>
  <c r="AU55" i="15"/>
  <c r="AU56" i="15"/>
  <c r="AU57" i="15"/>
  <c r="AU58" i="15"/>
  <c r="AU59" i="15"/>
  <c r="AU60" i="15"/>
  <c r="AU61" i="15"/>
  <c r="AU62" i="15"/>
  <c r="AU63" i="15"/>
  <c r="AU64" i="15"/>
  <c r="AU65" i="15"/>
  <c r="AU66" i="15"/>
  <c r="AU67" i="15"/>
  <c r="AU68" i="15"/>
  <c r="AU69" i="15"/>
  <c r="AU70" i="15"/>
  <c r="AU71" i="15"/>
  <c r="AU72" i="15"/>
  <c r="AU73" i="15"/>
  <c r="AU74" i="15"/>
  <c r="AU75" i="15"/>
  <c r="AT75" i="15"/>
  <c r="AT42" i="15"/>
  <c r="AT43" i="15"/>
  <c r="AT44" i="15"/>
  <c r="AT45" i="15"/>
  <c r="AT46" i="15"/>
  <c r="AT47" i="15"/>
  <c r="AT48" i="15"/>
  <c r="AT49" i="15"/>
  <c r="AT51" i="15"/>
  <c r="AT52" i="15"/>
  <c r="AT53" i="15"/>
  <c r="AT54" i="15"/>
  <c r="AT55" i="15"/>
  <c r="AT56" i="15"/>
  <c r="AT57" i="15"/>
  <c r="AT58" i="15"/>
  <c r="AT59" i="15"/>
  <c r="AT60" i="15"/>
  <c r="AT61" i="15"/>
  <c r="AT62" i="15"/>
  <c r="AT63" i="15"/>
  <c r="AT64" i="15"/>
  <c r="AT65" i="15"/>
  <c r="AT66" i="15"/>
  <c r="AT67" i="15"/>
  <c r="AT68" i="15"/>
  <c r="AT69" i="15"/>
  <c r="AT70" i="15"/>
  <c r="AT71" i="15"/>
  <c r="AT72" i="15"/>
  <c r="AT73" i="15"/>
  <c r="AT74" i="15"/>
  <c r="AS75" i="15"/>
  <c r="AS42" i="15"/>
  <c r="AS45" i="15"/>
  <c r="AS47" i="15"/>
  <c r="AS48" i="15"/>
  <c r="AS49" i="15"/>
  <c r="AS50" i="15"/>
  <c r="AS51" i="15"/>
  <c r="AS52" i="15"/>
  <c r="AS53" i="15"/>
  <c r="AS54" i="15"/>
  <c r="AS55" i="15"/>
  <c r="AS56" i="15"/>
  <c r="AS57" i="15"/>
  <c r="AS58" i="15"/>
  <c r="AS59" i="15"/>
  <c r="AS60" i="15"/>
  <c r="AS61" i="15"/>
  <c r="AS62" i="15"/>
  <c r="AS63" i="15"/>
  <c r="AS64" i="15"/>
  <c r="AS65" i="15"/>
  <c r="AS66" i="15"/>
  <c r="AS67" i="15"/>
  <c r="AS68" i="15"/>
  <c r="AS69" i="15"/>
  <c r="AS70" i="15"/>
  <c r="AS71" i="15"/>
  <c r="AS72" i="15"/>
  <c r="AS73" i="15"/>
  <c r="AS74" i="15"/>
  <c r="AS41" i="15"/>
  <c r="AR43" i="15"/>
  <c r="AR45" i="15"/>
  <c r="AR48" i="15"/>
  <c r="AR49" i="15"/>
  <c r="AR50" i="15"/>
  <c r="AR51" i="15"/>
  <c r="AR52" i="15"/>
  <c r="AR53" i="15"/>
  <c r="AR54" i="15"/>
  <c r="AR55" i="15"/>
  <c r="AR56" i="15"/>
  <c r="AR57" i="15"/>
  <c r="AR58" i="15"/>
  <c r="AR59" i="15"/>
  <c r="AR60" i="15"/>
  <c r="AR61" i="15"/>
  <c r="AR62" i="15"/>
  <c r="AR63" i="15"/>
  <c r="AR64" i="15"/>
  <c r="AR65" i="15"/>
  <c r="AR66" i="15"/>
  <c r="AR67" i="15"/>
  <c r="AR68" i="15"/>
  <c r="AR69" i="15"/>
  <c r="AR70" i="15"/>
  <c r="AR71" i="15"/>
  <c r="AR72" i="15"/>
  <c r="AR73" i="15"/>
  <c r="AR74" i="15"/>
  <c r="AR75" i="15"/>
  <c r="AQ70" i="15"/>
  <c r="AQ71" i="15"/>
  <c r="AQ72" i="15"/>
  <c r="AQ73" i="15"/>
  <c r="AQ74" i="15"/>
  <c r="AQ75" i="15"/>
  <c r="AQ42" i="15"/>
  <c r="AQ43" i="15"/>
  <c r="AQ45" i="15"/>
  <c r="AQ47" i="15"/>
  <c r="AQ48" i="15"/>
  <c r="AQ49" i="15"/>
  <c r="AQ50" i="15"/>
  <c r="AQ51" i="15"/>
  <c r="AQ52" i="15"/>
  <c r="AQ53" i="15"/>
  <c r="AQ54" i="15"/>
  <c r="AQ55" i="15"/>
  <c r="AQ56" i="15"/>
  <c r="AQ57" i="15"/>
  <c r="AQ58" i="15"/>
  <c r="AQ59" i="15"/>
  <c r="AQ60" i="15"/>
  <c r="AQ61" i="15"/>
  <c r="AQ62" i="15"/>
  <c r="AQ63" i="15"/>
  <c r="AQ64" i="15"/>
  <c r="AQ65" i="15"/>
  <c r="AQ66" i="15"/>
  <c r="AQ67" i="15"/>
  <c r="AQ68" i="15"/>
  <c r="AQ69" i="15"/>
  <c r="BC42" i="15"/>
  <c r="BC43" i="15"/>
  <c r="BC44" i="15"/>
  <c r="BC45" i="15"/>
  <c r="BC46" i="15"/>
  <c r="BC47" i="15"/>
  <c r="BC48" i="15"/>
  <c r="BC49" i="15"/>
  <c r="BC50" i="15"/>
  <c r="BC51" i="15"/>
  <c r="BC52" i="15"/>
  <c r="BC53" i="15"/>
  <c r="BC54" i="15"/>
  <c r="BC55" i="15"/>
  <c r="BC56" i="15"/>
  <c r="BC57" i="15"/>
  <c r="BC58" i="15"/>
  <c r="BC59" i="15"/>
  <c r="BC60" i="15"/>
  <c r="BC61" i="15"/>
  <c r="BC62" i="15"/>
  <c r="BC63" i="15"/>
  <c r="BC64" i="15"/>
  <c r="BC65" i="15"/>
  <c r="BC66" i="15"/>
  <c r="BC67" i="15"/>
  <c r="BC68" i="15"/>
  <c r="BC69" i="15"/>
  <c r="BC72" i="15"/>
  <c r="BC73" i="15"/>
  <c r="BC74" i="15"/>
  <c r="BC75" i="15"/>
  <c r="BC41" i="15"/>
  <c r="BC110" i="15"/>
  <c r="BC117" i="15" s="1"/>
  <c r="BK111" i="15"/>
  <c r="BM111" i="15" s="1"/>
  <c r="BA111" i="15"/>
  <c r="BA71" i="15" s="1"/>
  <c r="BE111" i="15"/>
  <c r="BE71" i="15" s="1"/>
  <c r="AG133" i="15"/>
  <c r="AL133" i="15" s="1"/>
  <c r="EF240" i="9"/>
  <c r="EE240" i="9"/>
  <c r="EC240" i="9"/>
  <c r="EA240" i="9"/>
  <c r="EF239" i="9"/>
  <c r="EE239" i="9"/>
  <c r="EC239" i="9"/>
  <c r="EA239" i="9"/>
  <c r="EF238" i="9"/>
  <c r="EE238" i="9"/>
  <c r="EC238" i="9"/>
  <c r="EA238" i="9"/>
  <c r="EF237" i="9"/>
  <c r="EE237" i="9"/>
  <c r="ED237" i="9"/>
  <c r="EC237" i="9"/>
  <c r="EA237" i="9"/>
  <c r="DS237" i="9"/>
  <c r="AG160" i="15"/>
  <c r="M92" i="11"/>
  <c r="F7" i="3"/>
  <c r="G41" i="3"/>
  <c r="G40" i="3"/>
  <c r="EF105" i="9"/>
  <c r="EF106" i="9" s="1"/>
  <c r="O226" i="9"/>
  <c r="O63" i="9"/>
  <c r="O64" i="9" s="1"/>
  <c r="AQ86" i="22" s="1"/>
  <c r="O144" i="9"/>
  <c r="O145" i="9" s="1"/>
  <c r="AR86" i="22" s="1"/>
  <c r="AK159" i="22"/>
  <c r="AJ159" i="22"/>
  <c r="AI159" i="22"/>
  <c r="AH159" i="22"/>
  <c r="AF159" i="22"/>
  <c r="AE159" i="22"/>
  <c r="AD159" i="22"/>
  <c r="AC159" i="22"/>
  <c r="AB159" i="22"/>
  <c r="AA159" i="22"/>
  <c r="Z159" i="22"/>
  <c r="Y159" i="22"/>
  <c r="X159" i="22"/>
  <c r="W159" i="22"/>
  <c r="V159" i="22"/>
  <c r="U159" i="22"/>
  <c r="T159" i="22"/>
  <c r="S159" i="22"/>
  <c r="R159" i="22"/>
  <c r="Q159" i="22"/>
  <c r="P159" i="22"/>
  <c r="O159" i="22"/>
  <c r="N159" i="22"/>
  <c r="M159" i="22"/>
  <c r="L159" i="22"/>
  <c r="K159" i="22"/>
  <c r="K136" i="22"/>
  <c r="J136" i="22"/>
  <c r="I136" i="22"/>
  <c r="H136" i="22"/>
  <c r="G136" i="22"/>
  <c r="F136" i="22"/>
  <c r="E136" i="22"/>
  <c r="D136" i="22"/>
  <c r="C136" i="22"/>
  <c r="BF115" i="22"/>
  <c r="BF114" i="22"/>
  <c r="BF113" i="22"/>
  <c r="BM112" i="22"/>
  <c r="BF109" i="22"/>
  <c r="BF108" i="22"/>
  <c r="BM107" i="22"/>
  <c r="BM106" i="22"/>
  <c r="BF105" i="22"/>
  <c r="BF104" i="22"/>
  <c r="BM103" i="22"/>
  <c r="BM102" i="22"/>
  <c r="BM101" i="22"/>
  <c r="BF100" i="22"/>
  <c r="BM99" i="22"/>
  <c r="BM98" i="22"/>
  <c r="BM97" i="22"/>
  <c r="BM96" i="22"/>
  <c r="BF95" i="22"/>
  <c r="BM94" i="22"/>
  <c r="BF93" i="22"/>
  <c r="BM92" i="22"/>
  <c r="BF91" i="22"/>
  <c r="BM90" i="22"/>
  <c r="BM89" i="22"/>
  <c r="BF89" i="22"/>
  <c r="BM88" i="22"/>
  <c r="BM87" i="22"/>
  <c r="BM86" i="22"/>
  <c r="BM85" i="22"/>
  <c r="BM84" i="22"/>
  <c r="BM83" i="22"/>
  <c r="BM82" i="22"/>
  <c r="BM81" i="22"/>
  <c r="BU210" i="9"/>
  <c r="BU232" i="9"/>
  <c r="AI210" i="9"/>
  <c r="BB210" i="9"/>
  <c r="O210" i="9"/>
  <c r="O227" i="9"/>
  <c r="AS86" i="22" s="1"/>
  <c r="O168" i="9"/>
  <c r="AH69" i="9"/>
  <c r="G21" i="3"/>
  <c r="G38" i="3"/>
  <c r="G27" i="3"/>
  <c r="AH48" i="9" s="1"/>
  <c r="G20" i="3"/>
  <c r="CP142" i="9" s="1"/>
  <c r="G19" i="3"/>
  <c r="EF145" i="9" s="1"/>
  <c r="G15" i="3"/>
  <c r="G14" i="3"/>
  <c r="O47" i="9" s="1"/>
  <c r="G13" i="3"/>
  <c r="G11" i="3"/>
  <c r="D271" i="11"/>
  <c r="D254" i="11"/>
  <c r="L230" i="11"/>
  <c r="V13" i="21"/>
  <c r="J5" i="21"/>
  <c r="C2" i="21"/>
  <c r="K21" i="21"/>
  <c r="F21" i="21"/>
  <c r="G21" i="21"/>
  <c r="E18" i="21"/>
  <c r="I5" i="21"/>
  <c r="H5" i="21"/>
  <c r="F5" i="21"/>
  <c r="E5" i="21"/>
  <c r="F8" i="21"/>
  <c r="F18" i="21" s="1"/>
  <c r="E8" i="21"/>
  <c r="D8" i="21"/>
  <c r="D18" i="21" s="1"/>
  <c r="E18" i="3"/>
  <c r="BV258" i="9" s="1"/>
  <c r="BI95" i="20"/>
  <c r="J181" i="20" s="1"/>
  <c r="BI97" i="20"/>
  <c r="J183" i="20" s="1"/>
  <c r="BI99" i="20"/>
  <c r="J185" i="20" s="1"/>
  <c r="BI104" i="20"/>
  <c r="J190" i="20" s="1"/>
  <c r="BI108" i="20"/>
  <c r="J194" i="20" s="1"/>
  <c r="BI109" i="20"/>
  <c r="J195" i="20" s="1"/>
  <c r="BI112" i="20"/>
  <c r="J198" i="20" s="1"/>
  <c r="BI113" i="20"/>
  <c r="BI117" i="20"/>
  <c r="BI118" i="20"/>
  <c r="BI119" i="20"/>
  <c r="CQ145" i="9"/>
  <c r="F112" i="11"/>
  <c r="L112" i="11" s="1"/>
  <c r="M222" i="11"/>
  <c r="AR41" i="15"/>
  <c r="AT41" i="15"/>
  <c r="AU41" i="15"/>
  <c r="AV41" i="15"/>
  <c r="AW41" i="15"/>
  <c r="AX41" i="15"/>
  <c r="AY41" i="15"/>
  <c r="AZ41" i="15"/>
  <c r="BA41" i="15"/>
  <c r="BB41" i="15"/>
  <c r="BD41" i="15"/>
  <c r="BE41" i="15"/>
  <c r="CY237" i="9"/>
  <c r="BE42" i="20"/>
  <c r="BE43" i="20"/>
  <c r="BE44" i="20"/>
  <c r="BE45" i="20"/>
  <c r="BE46" i="20"/>
  <c r="BE47" i="20"/>
  <c r="BE48" i="20"/>
  <c r="BE50" i="20"/>
  <c r="BE51" i="20"/>
  <c r="BE52" i="20"/>
  <c r="BE53" i="20"/>
  <c r="BE54" i="20"/>
  <c r="BE55" i="20"/>
  <c r="BE56" i="20"/>
  <c r="BE57" i="20"/>
  <c r="BE58" i="20"/>
  <c r="BE59" i="20"/>
  <c r="BE60" i="20"/>
  <c r="BE61" i="20"/>
  <c r="BE62" i="20"/>
  <c r="BE63" i="20"/>
  <c r="BE64" i="20"/>
  <c r="BE65" i="20"/>
  <c r="BE66" i="20"/>
  <c r="BE68" i="20"/>
  <c r="BE69" i="20"/>
  <c r="BE70" i="20"/>
  <c r="BE73" i="20"/>
  <c r="BE74" i="20"/>
  <c r="AY75" i="20"/>
  <c r="BE75" i="20"/>
  <c r="AU41" i="20"/>
  <c r="AV41" i="20"/>
  <c r="AW41" i="20"/>
  <c r="AX41" i="20"/>
  <c r="AY41" i="20"/>
  <c r="AZ41" i="20"/>
  <c r="BA41" i="20"/>
  <c r="BB41" i="20"/>
  <c r="BC41" i="20"/>
  <c r="BD41" i="20"/>
  <c r="BE41" i="20"/>
  <c r="BG41" i="20"/>
  <c r="BH41" i="20"/>
  <c r="AQ130" i="9"/>
  <c r="M12" i="13" s="1"/>
  <c r="AN163" i="20"/>
  <c r="AM163" i="20"/>
  <c r="AL163" i="20"/>
  <c r="AK163" i="20"/>
  <c r="AI163" i="20"/>
  <c r="AH163" i="20"/>
  <c r="AG163" i="20"/>
  <c r="AF163" i="20"/>
  <c r="AE163" i="20"/>
  <c r="AD163" i="20"/>
  <c r="AC163" i="20"/>
  <c r="AB163" i="20"/>
  <c r="AA163" i="20"/>
  <c r="Z163" i="20"/>
  <c r="Y163" i="20"/>
  <c r="X163" i="20"/>
  <c r="W163" i="20"/>
  <c r="V163" i="20"/>
  <c r="U163" i="20"/>
  <c r="T163" i="20"/>
  <c r="S163" i="20"/>
  <c r="R163" i="20"/>
  <c r="Q163" i="20"/>
  <c r="P163" i="20"/>
  <c r="O163" i="20"/>
  <c r="N140" i="20"/>
  <c r="M140" i="20"/>
  <c r="L140" i="20"/>
  <c r="K140" i="20"/>
  <c r="J140" i="20"/>
  <c r="I140" i="20"/>
  <c r="H140" i="20"/>
  <c r="G140" i="20"/>
  <c r="F140" i="20"/>
  <c r="BP116" i="20"/>
  <c r="J199" i="20"/>
  <c r="BP111" i="20"/>
  <c r="BP110" i="20"/>
  <c r="BP107" i="20"/>
  <c r="BP106" i="20"/>
  <c r="BP105" i="20"/>
  <c r="BP103" i="20"/>
  <c r="BP102" i="20"/>
  <c r="BP101" i="20"/>
  <c r="BP100" i="20"/>
  <c r="BP98" i="20"/>
  <c r="BP96" i="20"/>
  <c r="BP94" i="20"/>
  <c r="BP93" i="20"/>
  <c r="BP92" i="20"/>
  <c r="BP91" i="20"/>
  <c r="BP90" i="20"/>
  <c r="BP89" i="20"/>
  <c r="BP88" i="20"/>
  <c r="BP87" i="20"/>
  <c r="BP86" i="20"/>
  <c r="BP85" i="20"/>
  <c r="BF89" i="15"/>
  <c r="BF91" i="15"/>
  <c r="BF93" i="15"/>
  <c r="BF95" i="15"/>
  <c r="BF104" i="15"/>
  <c r="BF105" i="15"/>
  <c r="BF108" i="15"/>
  <c r="BF109" i="15"/>
  <c r="BF113" i="15"/>
  <c r="BF114" i="15"/>
  <c r="BF115" i="15"/>
  <c r="AF160" i="15"/>
  <c r="AH160" i="15"/>
  <c r="AI160" i="15"/>
  <c r="AJ160" i="15"/>
  <c r="AK160" i="15"/>
  <c r="BM112" i="15"/>
  <c r="K137" i="15"/>
  <c r="K160" i="15"/>
  <c r="D137" i="15"/>
  <c r="E137" i="15"/>
  <c r="F137" i="15"/>
  <c r="G137" i="15"/>
  <c r="H137" i="15"/>
  <c r="I137" i="15"/>
  <c r="J137" i="15"/>
  <c r="C137" i="15"/>
  <c r="AA160" i="15"/>
  <c r="AB160" i="15"/>
  <c r="AC160" i="15"/>
  <c r="AD160" i="15"/>
  <c r="AE160" i="15"/>
  <c r="L160" i="15"/>
  <c r="M160" i="15"/>
  <c r="N160" i="15"/>
  <c r="O160" i="15"/>
  <c r="P160" i="15"/>
  <c r="Q160" i="15"/>
  <c r="R160" i="15"/>
  <c r="S160" i="15"/>
  <c r="T160" i="15"/>
  <c r="U160" i="15"/>
  <c r="V160" i="15"/>
  <c r="W160" i="15"/>
  <c r="X160" i="15"/>
  <c r="Y160" i="15"/>
  <c r="Z160" i="15"/>
  <c r="J282" i="11"/>
  <c r="G265" i="11"/>
  <c r="J266" i="11"/>
  <c r="M248" i="11"/>
  <c r="M247" i="11"/>
  <c r="W6" i="3"/>
  <c r="O21" i="21" s="1"/>
  <c r="M223" i="11"/>
  <c r="E39" i="3"/>
  <c r="BK260" i="9"/>
  <c r="BL260" i="9" s="1"/>
  <c r="BM97" i="15"/>
  <c r="BM96" i="15"/>
  <c r="BM101" i="15"/>
  <c r="BM81" i="15"/>
  <c r="BM84" i="15"/>
  <c r="BM85" i="15"/>
  <c r="BM86" i="15"/>
  <c r="BM87" i="15"/>
  <c r="BM88" i="15"/>
  <c r="BM82" i="15"/>
  <c r="BM83" i="15"/>
  <c r="BM90" i="15"/>
  <c r="BM92" i="15"/>
  <c r="BM94" i="15"/>
  <c r="FA237" i="9"/>
  <c r="BJ210" i="9"/>
  <c r="BV229" i="9"/>
  <c r="CZ229" i="9"/>
  <c r="EG156" i="9"/>
  <c r="DK237" i="9"/>
  <c r="AA81" i="11"/>
  <c r="DT131" i="9"/>
  <c r="L22" i="13" s="1"/>
  <c r="AQ210" i="9"/>
  <c r="M17" i="13" s="1"/>
  <c r="N12" i="13"/>
  <c r="AP46" i="9"/>
  <c r="M6" i="13" s="1"/>
  <c r="Q59" i="11"/>
  <c r="Q60" i="11" s="1"/>
  <c r="E33" i="14"/>
  <c r="D13" i="11"/>
  <c r="E13" i="11" s="1"/>
  <c r="D12" i="11"/>
  <c r="E12" i="11" s="1"/>
  <c r="AA218" i="9"/>
  <c r="AA219" i="9"/>
  <c r="AA220" i="9"/>
  <c r="AA221" i="9"/>
  <c r="AA217" i="9"/>
  <c r="H91" i="11"/>
  <c r="G91" i="11"/>
  <c r="D86" i="11"/>
  <c r="CQ237" i="9"/>
  <c r="CM243" i="9"/>
  <c r="E32" i="3"/>
  <c r="D35" i="3"/>
  <c r="G35" i="3" s="1"/>
  <c r="D37" i="3"/>
  <c r="G37" i="3" s="1"/>
  <c r="D38" i="3"/>
  <c r="D34" i="3"/>
  <c r="G34" i="3" s="1"/>
  <c r="D33" i="3"/>
  <c r="G33" i="3" s="1"/>
  <c r="D31" i="3"/>
  <c r="G31" i="3" s="1"/>
  <c r="L132" i="9"/>
  <c r="K48" i="9"/>
  <c r="K49" i="9"/>
  <c r="K50" i="9"/>
  <c r="K51" i="9"/>
  <c r="E21" i="3"/>
  <c r="P33" i="8"/>
  <c r="D6" i="3"/>
  <c r="M130" i="9" s="1"/>
  <c r="D29" i="3"/>
  <c r="BS131" i="9" s="1"/>
  <c r="D28" i="3"/>
  <c r="BR61" i="9" s="1"/>
  <c r="D27" i="3"/>
  <c r="AF48" i="9" s="1"/>
  <c r="AG48" i="9" s="1"/>
  <c r="Z57" i="9" s="1"/>
  <c r="D26" i="3"/>
  <c r="M214" i="9" s="1"/>
  <c r="D25" i="3"/>
  <c r="AZ213" i="9" s="1"/>
  <c r="D24" i="3"/>
  <c r="CN221" i="9" s="1"/>
  <c r="D23" i="3"/>
  <c r="G23" i="3" s="1"/>
  <c r="D22" i="3"/>
  <c r="AF51" i="9" s="1"/>
  <c r="AG51" i="9" s="1"/>
  <c r="AR60" i="9" s="1"/>
  <c r="D20" i="3"/>
  <c r="J265" i="11" s="1"/>
  <c r="D19" i="3"/>
  <c r="CN241" i="9" s="1"/>
  <c r="D14" i="3"/>
  <c r="M47" i="9" s="1"/>
  <c r="D13" i="3"/>
  <c r="D11" i="3"/>
  <c r="D7" i="3"/>
  <c r="G7" i="3" s="1"/>
  <c r="FF108" i="9" s="1"/>
  <c r="FF109" i="9" s="1"/>
  <c r="D5" i="3"/>
  <c r="Y54" i="8" s="1"/>
  <c r="D10" i="3"/>
  <c r="AG215" i="9" s="1"/>
  <c r="D17" i="3"/>
  <c r="BS212" i="9" s="1"/>
  <c r="D21" i="3"/>
  <c r="E92" i="11" s="1"/>
  <c r="H61" i="11"/>
  <c r="Q61" i="11" s="1"/>
  <c r="AW49" i="9"/>
  <c r="BP60" i="9" s="1"/>
  <c r="AW50" i="9"/>
  <c r="BP61" i="9" s="1"/>
  <c r="AW51" i="9"/>
  <c r="BP62" i="9" s="1"/>
  <c r="AW48" i="9"/>
  <c r="BP59" i="9" s="1"/>
  <c r="E7" i="13"/>
  <c r="F8" i="13"/>
  <c r="EQ117" i="9"/>
  <c r="ER117" i="9" s="1"/>
  <c r="DU107" i="9"/>
  <c r="DV107" i="9" s="1"/>
  <c r="DU120" i="9"/>
  <c r="DV120" i="9" s="1"/>
  <c r="AB4" i="3"/>
  <c r="F287" i="11" s="1"/>
  <c r="BR132" i="9"/>
  <c r="AY132" i="9"/>
  <c r="AF132" i="9"/>
  <c r="E29" i="3"/>
  <c r="BC131" i="9" s="1"/>
  <c r="E27" i="3"/>
  <c r="AI48" i="9" s="1"/>
  <c r="C28" i="3"/>
  <c r="E28" i="3" s="1"/>
  <c r="P50" i="9" s="1"/>
  <c r="Z222" i="9"/>
  <c r="E26" i="3"/>
  <c r="AJ214" i="9" s="1"/>
  <c r="E25" i="3"/>
  <c r="P213" i="9" s="1"/>
  <c r="E24" i="3"/>
  <c r="CQ221" i="9" s="1"/>
  <c r="E23" i="3"/>
  <c r="E22" i="3"/>
  <c r="E33" i="3" s="1"/>
  <c r="BJ194" i="9"/>
  <c r="BJ193" i="9"/>
  <c r="BJ192" i="9"/>
  <c r="BJ191" i="9"/>
  <c r="BJ190" i="9"/>
  <c r="BI195" i="9" s="1"/>
  <c r="Z185" i="9"/>
  <c r="Z186" i="9"/>
  <c r="E226" i="9"/>
  <c r="Z187" i="9"/>
  <c r="Z188" i="9"/>
  <c r="Z189" i="9"/>
  <c r="Z190" i="9"/>
  <c r="E227" i="9"/>
  <c r="Z191" i="9"/>
  <c r="Z192" i="9"/>
  <c r="E228" i="9"/>
  <c r="Z193" i="9"/>
  <c r="Z194" i="9"/>
  <c r="E142" i="9"/>
  <c r="E145" i="9"/>
  <c r="E146" i="9"/>
  <c r="E147" i="9"/>
  <c r="E157" i="9"/>
  <c r="E148" i="9"/>
  <c r="E141" i="9"/>
  <c r="BJ114" i="9"/>
  <c r="BJ115" i="9"/>
  <c r="BK30" i="9"/>
  <c r="BK31" i="9"/>
  <c r="BK32" i="9"/>
  <c r="BK33" i="9"/>
  <c r="BK34" i="9"/>
  <c r="BK28" i="9"/>
  <c r="E66" i="9"/>
  <c r="E67" i="9"/>
  <c r="E68" i="9"/>
  <c r="E69" i="9"/>
  <c r="E70" i="9"/>
  <c r="E71" i="9"/>
  <c r="BJ29" i="9"/>
  <c r="D65" i="9"/>
  <c r="E65" i="9" s="1"/>
  <c r="BI113" i="9"/>
  <c r="D143" i="9"/>
  <c r="D144" i="9"/>
  <c r="E144" i="9" s="1"/>
  <c r="E43" i="11"/>
  <c r="E41" i="11" s="1"/>
  <c r="E37" i="11" s="1"/>
  <c r="E36" i="11" s="1"/>
  <c r="E30" i="11"/>
  <c r="E27" i="11" s="1"/>
  <c r="E16" i="3"/>
  <c r="CQ239" i="9" s="1"/>
  <c r="E20" i="3"/>
  <c r="AX44" i="8" s="1"/>
  <c r="E19" i="3"/>
  <c r="AX45" i="8" s="1"/>
  <c r="CD43" i="8"/>
  <c r="CD42" i="8"/>
  <c r="CC43" i="8"/>
  <c r="CC42" i="8"/>
  <c r="CF43" i="8"/>
  <c r="CE43" i="8"/>
  <c r="CF42" i="8"/>
  <c r="CE42" i="8"/>
  <c r="BF111" i="22" l="1"/>
  <c r="G197" i="22" s="1"/>
  <c r="BE71" i="22"/>
  <c r="AL132" i="22"/>
  <c r="AG136" i="22"/>
  <c r="BC71" i="15"/>
  <c r="BF111" i="15"/>
  <c r="AG137" i="15"/>
  <c r="EF241" i="9"/>
  <c r="ED238" i="9"/>
  <c r="EA241" i="9"/>
  <c r="EK233" i="9" s="1"/>
  <c r="ED240" i="9"/>
  <c r="ED239" i="9"/>
  <c r="AK134" i="22"/>
  <c r="BL115" i="22"/>
  <c r="BE88" i="22"/>
  <c r="J156" i="22"/>
  <c r="AI147" i="9"/>
  <c r="EF131" i="9"/>
  <c r="G10" i="3"/>
  <c r="AI148" i="9"/>
  <c r="AH47" i="9"/>
  <c r="AI216" i="9"/>
  <c r="AI232" i="9"/>
  <c r="AI233" i="9"/>
  <c r="G22" i="3"/>
  <c r="BT62" i="9" s="1"/>
  <c r="G24" i="3"/>
  <c r="O48" i="9"/>
  <c r="BU216" i="9"/>
  <c r="G25" i="3"/>
  <c r="BU213" i="9" s="1"/>
  <c r="G26" i="3"/>
  <c r="O77" i="9"/>
  <c r="G28" i="3"/>
  <c r="O241" i="9"/>
  <c r="CP241" i="9"/>
  <c r="G29" i="3"/>
  <c r="AI131" i="9" s="1"/>
  <c r="CP254" i="9"/>
  <c r="CP256" i="9"/>
  <c r="G5" i="3"/>
  <c r="EZ240" i="9"/>
  <c r="G6" i="3"/>
  <c r="EF159" i="9"/>
  <c r="BB131" i="9"/>
  <c r="CP118" i="9"/>
  <c r="CP119" i="9" s="1"/>
  <c r="O51" i="9"/>
  <c r="AH68" i="9"/>
  <c r="BB211" i="9"/>
  <c r="BU131" i="9"/>
  <c r="BA46" i="9"/>
  <c r="O131" i="9"/>
  <c r="BU145" i="9"/>
  <c r="BA47" i="9"/>
  <c r="CP146" i="9"/>
  <c r="FF146" i="9"/>
  <c r="BA48" i="9"/>
  <c r="BB215" i="9"/>
  <c r="DJ240" i="9"/>
  <c r="FF147" i="9"/>
  <c r="BB216" i="9"/>
  <c r="BU247" i="9"/>
  <c r="CP221" i="9"/>
  <c r="O211" i="9"/>
  <c r="BT47" i="9"/>
  <c r="G17" i="3"/>
  <c r="BT59" i="9"/>
  <c r="CP226" i="9"/>
  <c r="O215" i="9"/>
  <c r="O216" i="9"/>
  <c r="AR57" i="9"/>
  <c r="EG118" i="9"/>
  <c r="M60" i="11"/>
  <c r="CN144" i="9"/>
  <c r="D282" i="11"/>
  <c r="M59" i="11"/>
  <c r="M62" i="11"/>
  <c r="G18" i="21"/>
  <c r="H18" i="21" s="1"/>
  <c r="V6" i="21" s="1"/>
  <c r="CN142" i="9"/>
  <c r="BV230" i="9"/>
  <c r="CQ142" i="9"/>
  <c r="D266" i="11"/>
  <c r="CQ146" i="9"/>
  <c r="N21" i="21"/>
  <c r="E87" i="11"/>
  <c r="J15" i="21"/>
  <c r="J281" i="11"/>
  <c r="D64" i="11"/>
  <c r="D65" i="11"/>
  <c r="BV156" i="9"/>
  <c r="Z60" i="9"/>
  <c r="D288" i="11"/>
  <c r="D287" i="11"/>
  <c r="AJ148" i="9"/>
  <c r="D41" i="3"/>
  <c r="E271" i="11" s="1"/>
  <c r="F271" i="11" s="1"/>
  <c r="G271" i="11" s="1"/>
  <c r="H271" i="11" s="1"/>
  <c r="CN145" i="9"/>
  <c r="G8" i="21"/>
  <c r="H8" i="21" s="1"/>
  <c r="U6" i="21" s="1"/>
  <c r="D11" i="21"/>
  <c r="G223" i="11"/>
  <c r="N91" i="11"/>
  <c r="G248" i="11"/>
  <c r="J217" i="11"/>
  <c r="M224" i="11"/>
  <c r="J242" i="11"/>
  <c r="M249" i="11"/>
  <c r="E229" i="9"/>
  <c r="AG148" i="9"/>
  <c r="D249" i="11"/>
  <c r="J249" i="11"/>
  <c r="J248" i="11"/>
  <c r="M168" i="9"/>
  <c r="P168" i="9"/>
  <c r="AG147" i="9"/>
  <c r="AJ147" i="9"/>
  <c r="AF68" i="9"/>
  <c r="AI69" i="9"/>
  <c r="AI68" i="9"/>
  <c r="P241" i="9"/>
  <c r="AF69" i="9"/>
  <c r="J223" i="11"/>
  <c r="AG232" i="9"/>
  <c r="AJ232" i="9"/>
  <c r="AG233" i="9"/>
  <c r="AJ233" i="9"/>
  <c r="M241" i="9"/>
  <c r="M77" i="9"/>
  <c r="P77" i="9"/>
  <c r="J224" i="11"/>
  <c r="D224" i="11"/>
  <c r="E193" i="11"/>
  <c r="CN254" i="9"/>
  <c r="E84" i="11"/>
  <c r="D112" i="11"/>
  <c r="AG211" i="9"/>
  <c r="AG214" i="9"/>
  <c r="E152" i="11"/>
  <c r="O152" i="11"/>
  <c r="D32" i="3"/>
  <c r="G32" i="3" s="1"/>
  <c r="J112" i="11"/>
  <c r="EG157" i="9"/>
  <c r="FA238" i="9"/>
  <c r="ED156" i="9"/>
  <c r="J111" i="11"/>
  <c r="E155" i="11"/>
  <c r="O154" i="11"/>
  <c r="H37" i="8"/>
  <c r="FD146" i="9"/>
  <c r="D39" i="3"/>
  <c r="BV232" i="9"/>
  <c r="D40" i="3"/>
  <c r="E35" i="3"/>
  <c r="DH237" i="9"/>
  <c r="DK238" i="9"/>
  <c r="BV247" i="9"/>
  <c r="CN237" i="9"/>
  <c r="AG212" i="9"/>
  <c r="AJ213" i="9"/>
  <c r="AB75" i="11"/>
  <c r="AB87" i="11"/>
  <c r="BS214" i="9"/>
  <c r="M212" i="9"/>
  <c r="D18" i="3"/>
  <c r="AJ98" i="11"/>
  <c r="BV214" i="9"/>
  <c r="AB98" i="11"/>
  <c r="EX237" i="9"/>
  <c r="D16" i="3"/>
  <c r="G16" i="3" s="1"/>
  <c r="CP239" i="9" s="1"/>
  <c r="EG159" i="9"/>
  <c r="BV213" i="9"/>
  <c r="O188" i="11"/>
  <c r="AB101" i="11"/>
  <c r="BS215" i="9"/>
  <c r="AJ101" i="11"/>
  <c r="E160" i="11"/>
  <c r="BS216" i="9"/>
  <c r="CN256" i="9"/>
  <c r="CQ256" i="9"/>
  <c r="CQ254" i="9"/>
  <c r="AJ211" i="9"/>
  <c r="FG146" i="9"/>
  <c r="AG213" i="9"/>
  <c r="DH240" i="9"/>
  <c r="BS229" i="9"/>
  <c r="M211" i="9"/>
  <c r="EX240" i="9"/>
  <c r="AB79" i="11"/>
  <c r="DK240" i="9"/>
  <c r="BS232" i="9"/>
  <c r="FA240" i="9"/>
  <c r="AB90" i="11"/>
  <c r="BS247" i="9"/>
  <c r="BS211" i="9"/>
  <c r="D36" i="3"/>
  <c r="G36" i="3" s="1"/>
  <c r="CP238" i="9" s="1"/>
  <c r="BV211" i="9"/>
  <c r="E186" i="11"/>
  <c r="D8" i="3"/>
  <c r="E189" i="11"/>
  <c r="E80" i="11"/>
  <c r="D12" i="3"/>
  <c r="G12" i="3" s="1"/>
  <c r="ED159" i="9"/>
  <c r="BS213" i="9"/>
  <c r="O186" i="11"/>
  <c r="H59" i="11"/>
  <c r="P214" i="9"/>
  <c r="M215" i="9"/>
  <c r="M216" i="9"/>
  <c r="P211" i="9"/>
  <c r="E94" i="11"/>
  <c r="E93" i="11"/>
  <c r="M213" i="9"/>
  <c r="CQ241" i="9"/>
  <c r="E91" i="11"/>
  <c r="AG216" i="9"/>
  <c r="CQ242" i="9"/>
  <c r="AA222" i="9"/>
  <c r="M46" i="9"/>
  <c r="C74" i="11"/>
  <c r="M36" i="11"/>
  <c r="M51" i="9"/>
  <c r="N51" i="9" s="1"/>
  <c r="Y60" i="9" s="1"/>
  <c r="D30" i="3"/>
  <c r="G30" i="3" s="1"/>
  <c r="E30" i="3"/>
  <c r="M131" i="9"/>
  <c r="M132" i="9" s="1"/>
  <c r="P131" i="9"/>
  <c r="P51" i="9"/>
  <c r="M50" i="9"/>
  <c r="N50" i="9" s="1"/>
  <c r="Y59" i="9" s="1"/>
  <c r="M49" i="9"/>
  <c r="N49" i="9" s="1"/>
  <c r="Y58" i="9" s="1"/>
  <c r="P49" i="9"/>
  <c r="P48" i="9"/>
  <c r="M48" i="9"/>
  <c r="M37" i="11"/>
  <c r="Y53" i="8"/>
  <c r="Y55" i="8" s="1"/>
  <c r="X54" i="8" s="1"/>
  <c r="N14" i="8"/>
  <c r="AI51" i="9"/>
  <c r="N13" i="8"/>
  <c r="AY51" i="9"/>
  <c r="AZ51" i="9" s="1"/>
  <c r="BU60" i="9"/>
  <c r="D61" i="11"/>
  <c r="BC211" i="9"/>
  <c r="M61" i="11"/>
  <c r="CN146" i="9"/>
  <c r="Y52" i="8"/>
  <c r="AF50" i="9"/>
  <c r="AG50" i="9" s="1"/>
  <c r="M35" i="11"/>
  <c r="M38" i="11"/>
  <c r="BP63" i="9"/>
  <c r="BQ60" i="9" s="1"/>
  <c r="BS61" i="9"/>
  <c r="BK59" i="9" s="1"/>
  <c r="E15" i="13"/>
  <c r="BJ35" i="9"/>
  <c r="BR59" i="9"/>
  <c r="BS59" i="9" s="1"/>
  <c r="BK57" i="9" s="1"/>
  <c r="BR60" i="9"/>
  <c r="BS60" i="9" s="1"/>
  <c r="BK58" i="9" s="1"/>
  <c r="H35" i="11"/>
  <c r="AG131" i="9"/>
  <c r="H39" i="11"/>
  <c r="AY50" i="9"/>
  <c r="AZ50" i="9" s="1"/>
  <c r="BS145" i="9"/>
  <c r="BB48" i="9"/>
  <c r="BB51" i="9"/>
  <c r="AI49" i="9"/>
  <c r="BU59" i="9"/>
  <c r="AI50" i="9"/>
  <c r="BU61" i="9"/>
  <c r="BB50" i="9"/>
  <c r="BV131" i="9"/>
  <c r="BV145" i="9"/>
  <c r="CN118" i="9"/>
  <c r="CN119" i="9" s="1"/>
  <c r="AY48" i="9"/>
  <c r="AZ48" i="9" s="1"/>
  <c r="BR62" i="9"/>
  <c r="BS62" i="9" s="1"/>
  <c r="BK60" i="9" s="1"/>
  <c r="AZ131" i="9"/>
  <c r="CQ118" i="9"/>
  <c r="AJ131" i="9"/>
  <c r="BU62" i="9"/>
  <c r="AF49" i="9"/>
  <c r="AG49" i="9" s="1"/>
  <c r="CN224" i="9"/>
  <c r="BB49" i="9"/>
  <c r="CN223" i="9"/>
  <c r="AY49" i="9"/>
  <c r="AZ49" i="9" s="1"/>
  <c r="AZ211" i="9"/>
  <c r="CQ223" i="9"/>
  <c r="AZ214" i="9"/>
  <c r="BC213" i="9"/>
  <c r="BC214" i="9"/>
  <c r="CQ224" i="9"/>
  <c r="FD147" i="9"/>
  <c r="EG145" i="9"/>
  <c r="FG147" i="9"/>
  <c r="H20" i="11"/>
  <c r="H23" i="11"/>
  <c r="ED145" i="9"/>
  <c r="V15" i="11"/>
  <c r="BJ195" i="9"/>
  <c r="D72" i="9"/>
  <c r="E143" i="9"/>
  <c r="BJ113" i="9"/>
  <c r="BJ116" i="9" s="1"/>
  <c r="BK29" i="9"/>
  <c r="E72" i="9"/>
  <c r="E25" i="11"/>
  <c r="E32" i="11"/>
  <c r="V13" i="11" s="1"/>
  <c r="H51" i="8"/>
  <c r="F51" i="8"/>
  <c r="AV44" i="8"/>
  <c r="AV45" i="8"/>
  <c r="E14" i="8"/>
  <c r="CG43" i="8"/>
  <c r="CG42" i="8"/>
  <c r="ED241" i="9" l="1"/>
  <c r="BT61" i="9"/>
  <c r="O50" i="9"/>
  <c r="AH50" i="9"/>
  <c r="CP223" i="9"/>
  <c r="BU214" i="9"/>
  <c r="CP224" i="9"/>
  <c r="AI214" i="9"/>
  <c r="BA51" i="9"/>
  <c r="Z129" i="22"/>
  <c r="BL104" i="22"/>
  <c r="BU211" i="9"/>
  <c r="AH49" i="9"/>
  <c r="BA50" i="9"/>
  <c r="AH51" i="9"/>
  <c r="BA49" i="9"/>
  <c r="O49" i="9"/>
  <c r="AI213" i="9"/>
  <c r="O130" i="9"/>
  <c r="AI130" i="9"/>
  <c r="BU130" i="9"/>
  <c r="BB130" i="9"/>
  <c r="AX97" i="22" s="1"/>
  <c r="AI215" i="9"/>
  <c r="EF130" i="9"/>
  <c r="CP225" i="9"/>
  <c r="BU215" i="9"/>
  <c r="O46" i="9"/>
  <c r="BT46" i="9"/>
  <c r="AH46" i="9"/>
  <c r="AI211" i="9"/>
  <c r="O214" i="9"/>
  <c r="BB214" i="9"/>
  <c r="CP144" i="9"/>
  <c r="CP210" i="9"/>
  <c r="CP211" i="9" s="1"/>
  <c r="EF133" i="9"/>
  <c r="BT60" i="9"/>
  <c r="O213" i="9"/>
  <c r="BB213" i="9"/>
  <c r="K5" i="21"/>
  <c r="U5" i="21" s="1"/>
  <c r="G18" i="3"/>
  <c r="BU212" i="9"/>
  <c r="AI212" i="9"/>
  <c r="O212" i="9"/>
  <c r="CP222" i="9"/>
  <c r="BB212" i="9"/>
  <c r="CP130" i="9"/>
  <c r="CP131" i="9" s="1"/>
  <c r="EF132" i="9"/>
  <c r="CP237" i="9"/>
  <c r="EF156" i="9"/>
  <c r="BU229" i="9"/>
  <c r="EZ237" i="9"/>
  <c r="CP145" i="9"/>
  <c r="DJ237" i="9"/>
  <c r="CN143" i="9"/>
  <c r="CN147" i="9" s="1"/>
  <c r="G8" i="3"/>
  <c r="E254" i="11"/>
  <c r="F254" i="11" s="1"/>
  <c r="G39" i="3"/>
  <c r="O155" i="9" s="1"/>
  <c r="O156" i="9" s="1"/>
  <c r="EF144" i="9"/>
  <c r="EF146" i="9" s="1"/>
  <c r="BE84" i="22" s="1"/>
  <c r="EF158" i="9"/>
  <c r="BU231" i="9"/>
  <c r="EZ239" i="9"/>
  <c r="O240" i="9"/>
  <c r="O242" i="9" s="1"/>
  <c r="BU246" i="9"/>
  <c r="BU248" i="9" s="1"/>
  <c r="BA84" i="22" s="1"/>
  <c r="O167" i="9"/>
  <c r="AR84" i="22" s="1"/>
  <c r="DJ239" i="9"/>
  <c r="BU144" i="9"/>
  <c r="BU146" i="9" s="1"/>
  <c r="AZ84" i="22" s="1"/>
  <c r="O76" i="9"/>
  <c r="O78" i="9" s="1"/>
  <c r="AQ84" i="22" s="1"/>
  <c r="AA60" i="9"/>
  <c r="AS57" i="9"/>
  <c r="AT57" i="9" s="1"/>
  <c r="BJ57" i="9"/>
  <c r="BL57" i="9" s="1"/>
  <c r="AR59" i="9"/>
  <c r="Z59" i="9"/>
  <c r="AA59" i="9" s="1"/>
  <c r="AS60" i="9"/>
  <c r="AT60" i="9" s="1"/>
  <c r="BJ60" i="9"/>
  <c r="BL60" i="9" s="1"/>
  <c r="AS59" i="9"/>
  <c r="BJ59" i="9"/>
  <c r="BL59" i="9" s="1"/>
  <c r="AS58" i="9"/>
  <c r="BJ58" i="9"/>
  <c r="BL58" i="9" s="1"/>
  <c r="AR58" i="9"/>
  <c r="Z58" i="9"/>
  <c r="AA58" i="9" s="1"/>
  <c r="I21" i="21"/>
  <c r="J21" i="21" s="1"/>
  <c r="D21" i="21"/>
  <c r="E11" i="21"/>
  <c r="AB77" i="11"/>
  <c r="EG105" i="9"/>
  <c r="D264" i="11"/>
  <c r="ED105" i="9"/>
  <c r="ED106" i="9" s="1"/>
  <c r="D265" i="11"/>
  <c r="ED144" i="9"/>
  <c r="D281" i="11"/>
  <c r="E85" i="11"/>
  <c r="D280" i="11"/>
  <c r="ED118" i="9"/>
  <c r="ED119" i="9" s="1"/>
  <c r="J264" i="11"/>
  <c r="J280" i="11"/>
  <c r="M266" i="11"/>
  <c r="J259" i="11" s="1"/>
  <c r="M144" i="9"/>
  <c r="M145" i="9" s="1"/>
  <c r="AF67" i="9"/>
  <c r="AF70" i="9" s="1"/>
  <c r="AG146" i="9"/>
  <c r="AG149" i="9" s="1"/>
  <c r="J247" i="11"/>
  <c r="M155" i="9"/>
  <c r="M156" i="9" s="1"/>
  <c r="D247" i="11"/>
  <c r="M167" i="9"/>
  <c r="M169" i="9" s="1"/>
  <c r="D248" i="11"/>
  <c r="D222" i="11"/>
  <c r="M63" i="9"/>
  <c r="M64" i="9" s="1"/>
  <c r="M226" i="9"/>
  <c r="M227" i="9" s="1"/>
  <c r="E12" i="8"/>
  <c r="D111" i="11"/>
  <c r="D223" i="11"/>
  <c r="M76" i="9"/>
  <c r="M78" i="9" s="1"/>
  <c r="M240" i="9"/>
  <c r="M242" i="9" s="1"/>
  <c r="J222" i="11"/>
  <c r="AG231" i="9"/>
  <c r="AG234" i="9" s="1"/>
  <c r="AB99" i="11"/>
  <c r="BS156" i="9" a="1"/>
  <c r="BS156" i="9" s="1"/>
  <c r="BS157" i="9" s="1"/>
  <c r="BS230" i="9"/>
  <c r="F37" i="8" a="1"/>
  <c r="F37" i="8" s="1"/>
  <c r="D59" i="11"/>
  <c r="E187" i="11"/>
  <c r="EX238" i="9"/>
  <c r="D110" i="11"/>
  <c r="BS258" i="9" a="1"/>
  <c r="BS258" i="9" s="1"/>
  <c r="BS259" i="9" s="1"/>
  <c r="J110" i="11"/>
  <c r="Y50" i="8"/>
  <c r="BS217" i="9"/>
  <c r="AB88" i="11"/>
  <c r="DH238" i="9"/>
  <c r="AB80" i="11"/>
  <c r="CN239" i="9"/>
  <c r="CN242" i="9"/>
  <c r="AJ99" i="11"/>
  <c r="E153" i="11"/>
  <c r="ED157" i="9"/>
  <c r="O153" i="11"/>
  <c r="E83" i="11"/>
  <c r="E188" i="11"/>
  <c r="ED158" i="9"/>
  <c r="EX239" i="9"/>
  <c r="DH239" i="9"/>
  <c r="E192" i="11"/>
  <c r="BS246" i="9"/>
  <c r="BS248" i="9" s="1"/>
  <c r="AG217" i="9"/>
  <c r="E154" i="11"/>
  <c r="O187" i="11"/>
  <c r="CN255" i="9"/>
  <c r="CN257" i="9" s="1"/>
  <c r="AJ100" i="11"/>
  <c r="AB76" i="11"/>
  <c r="CN238" i="9"/>
  <c r="E81" i="11"/>
  <c r="AB78" i="11"/>
  <c r="Y51" i="8"/>
  <c r="BS231" i="9"/>
  <c r="AB100" i="11"/>
  <c r="E159" i="11"/>
  <c r="E161" i="11" s="1"/>
  <c r="CN240" i="9"/>
  <c r="AB89" i="11"/>
  <c r="D60" i="11"/>
  <c r="E82" i="11"/>
  <c r="M217" i="9"/>
  <c r="X53" i="8"/>
  <c r="M52" i="9"/>
  <c r="N48" i="9"/>
  <c r="Y57" i="9" s="1"/>
  <c r="AA57" i="9" s="1"/>
  <c r="BZ55" i="9"/>
  <c r="BQ59" i="9"/>
  <c r="BQ61" i="9"/>
  <c r="BQ62" i="9"/>
  <c r="BI116" i="9"/>
  <c r="BR63" i="9"/>
  <c r="BS63" i="9"/>
  <c r="BK35" i="9"/>
  <c r="E22" i="11"/>
  <c r="E26" i="11"/>
  <c r="V12" i="11" s="1"/>
  <c r="E17" i="3"/>
  <c r="BV212" i="9" s="1"/>
  <c r="BO21" i="8"/>
  <c r="BO20" i="8"/>
  <c r="BF44" i="8"/>
  <c r="BE44" i="8"/>
  <c r="BF43" i="8"/>
  <c r="BE43" i="8"/>
  <c r="S6" i="3"/>
  <c r="BD44" i="8" s="1"/>
  <c r="R7" i="3"/>
  <c r="BN22" i="8" s="1"/>
  <c r="R6" i="3"/>
  <c r="BC44" i="8" s="1"/>
  <c r="S5" i="3"/>
  <c r="BD43" i="8" s="1"/>
  <c r="R5" i="3"/>
  <c r="S7" i="3"/>
  <c r="BD45" i="8" s="1"/>
  <c r="U7" i="3"/>
  <c r="T7" i="3"/>
  <c r="N5" i="3"/>
  <c r="M5" i="3"/>
  <c r="BL100" i="22" l="1"/>
  <c r="BM100" i="22" s="1"/>
  <c r="AS83" i="22"/>
  <c r="AV94" i="22"/>
  <c r="X128" i="22"/>
  <c r="S124" i="22"/>
  <c r="D150" i="22"/>
  <c r="AR82" i="22"/>
  <c r="V126" i="22"/>
  <c r="V136" i="22" s="1"/>
  <c r="R123" i="22"/>
  <c r="AW96" i="22"/>
  <c r="AZ101" i="22"/>
  <c r="W127" i="22"/>
  <c r="AU92" i="22"/>
  <c r="N121" i="22"/>
  <c r="C149" i="22"/>
  <c r="AQ81" i="22"/>
  <c r="BE112" i="22"/>
  <c r="AH133" i="22"/>
  <c r="Y129" i="22"/>
  <c r="BD103" i="22"/>
  <c r="BD106" i="22"/>
  <c r="AB130" i="22"/>
  <c r="T125" i="22"/>
  <c r="AY98" i="22"/>
  <c r="AD130" i="22"/>
  <c r="BL108" i="22"/>
  <c r="E151" i="22"/>
  <c r="F152" i="22"/>
  <c r="AS84" i="22"/>
  <c r="U126" i="22"/>
  <c r="BD99" i="22"/>
  <c r="AR87" i="22"/>
  <c r="I155" i="22"/>
  <c r="CP240" i="9"/>
  <c r="AI146" i="9"/>
  <c r="FF145" i="9"/>
  <c r="CP143" i="9"/>
  <c r="CP255" i="9"/>
  <c r="AH67" i="9"/>
  <c r="AI231" i="9"/>
  <c r="G254" i="11"/>
  <c r="H254" i="11" s="1"/>
  <c r="P155" i="9" s="1"/>
  <c r="BN20" i="8"/>
  <c r="EF157" i="9"/>
  <c r="BU230" i="9"/>
  <c r="EZ238" i="9"/>
  <c r="BU258" i="9"/>
  <c r="BU259" i="9" s="1"/>
  <c r="BU156" i="9"/>
  <c r="BU157" i="9" s="1"/>
  <c r="AZ85" i="22" s="1"/>
  <c r="DJ238" i="9"/>
  <c r="AF131" i="22" s="1"/>
  <c r="EF118" i="9"/>
  <c r="EF119" i="9" s="1"/>
  <c r="BE85" i="22" s="1"/>
  <c r="CP242" i="9"/>
  <c r="AT58" i="9"/>
  <c r="F11" i="21"/>
  <c r="N11" i="21"/>
  <c r="I11" i="21"/>
  <c r="E21" i="21"/>
  <c r="H21" i="21" s="1"/>
  <c r="M21" i="21"/>
  <c r="K11" i="21"/>
  <c r="L11" i="21" s="1"/>
  <c r="O5" i="3"/>
  <c r="AT59" i="9"/>
  <c r="V127" i="15"/>
  <c r="V137" i="15" s="1"/>
  <c r="BL100" i="15"/>
  <c r="D62" i="11"/>
  <c r="E6" i="13"/>
  <c r="E8" i="13" s="1"/>
  <c r="BM89" i="15"/>
  <c r="BQ63" i="9"/>
  <c r="P212" i="9"/>
  <c r="AJ212" i="9"/>
  <c r="ED132" i="9"/>
  <c r="CN130" i="9"/>
  <c r="CN131" i="9" s="1"/>
  <c r="CQ130" i="9"/>
  <c r="EG132" i="9"/>
  <c r="BV60" i="9"/>
  <c r="BW60" i="9" s="1"/>
  <c r="BV59" i="9"/>
  <c r="BW59" i="9" s="1"/>
  <c r="BV61" i="9"/>
  <c r="BW61" i="9" s="1"/>
  <c r="BV62" i="9"/>
  <c r="BW62" i="9" s="1"/>
  <c r="AZ212" i="9"/>
  <c r="CN222" i="9"/>
  <c r="CQ222" i="9"/>
  <c r="BC212" i="9"/>
  <c r="H30" i="11"/>
  <c r="H27" i="11"/>
  <c r="H41" i="11"/>
  <c r="H37" i="11"/>
  <c r="E19" i="11"/>
  <c r="E21" i="11"/>
  <c r="BG44" i="8"/>
  <c r="CF44" i="8"/>
  <c r="CD44" i="8"/>
  <c r="BC45" i="8"/>
  <c r="CC44" i="8"/>
  <c r="CE44" i="8"/>
  <c r="BE45" i="8"/>
  <c r="BF45" i="8"/>
  <c r="BC43" i="8"/>
  <c r="BG43" i="8" s="1"/>
  <c r="BN21" i="8"/>
  <c r="BO22" i="8"/>
  <c r="E37" i="8"/>
  <c r="E38" i="8" s="1"/>
  <c r="E15" i="3"/>
  <c r="E14" i="3"/>
  <c r="BV216" i="9" s="1"/>
  <c r="E13" i="3"/>
  <c r="E12" i="3"/>
  <c r="P167" i="9" s="1"/>
  <c r="E11" i="3"/>
  <c r="E10" i="3"/>
  <c r="BV215" i="9" s="1"/>
  <c r="E9" i="3"/>
  <c r="FG130" i="9" s="1"/>
  <c r="E8" i="3"/>
  <c r="E7" i="3"/>
  <c r="E6" i="3"/>
  <c r="P130" i="9" s="1"/>
  <c r="E5" i="3"/>
  <c r="CQ144" i="9" s="1"/>
  <c r="BX43" i="8"/>
  <c r="BX44" i="8"/>
  <c r="BV43" i="8"/>
  <c r="BV44" i="8"/>
  <c r="D9" i="3"/>
  <c r="G9" i="3" s="1"/>
  <c r="FF130" i="9" s="1"/>
  <c r="FF131" i="9" s="1"/>
  <c r="AF47" i="9"/>
  <c r="AF46" i="9"/>
  <c r="P122" i="22" l="1"/>
  <c r="BA102" i="22"/>
  <c r="BL105" i="22"/>
  <c r="AA129" i="22"/>
  <c r="BL114" i="22"/>
  <c r="AJ134" i="22"/>
  <c r="BL93" i="22"/>
  <c r="O121" i="22"/>
  <c r="BK113" i="22"/>
  <c r="AI134" i="22"/>
  <c r="BA85" i="22"/>
  <c r="AT90" i="22"/>
  <c r="L120" i="22"/>
  <c r="AE130" i="22"/>
  <c r="BL109" i="22"/>
  <c r="Q122" i="22"/>
  <c r="BL95" i="22"/>
  <c r="BL91" i="22"/>
  <c r="M120" i="22"/>
  <c r="J11" i="21"/>
  <c r="O11" i="21"/>
  <c r="AJ146" i="9"/>
  <c r="CQ143" i="9"/>
  <c r="L21" i="21"/>
  <c r="P21" i="21" s="1"/>
  <c r="V7" i="21" s="1"/>
  <c r="M11" i="21"/>
  <c r="P11" i="21" s="1"/>
  <c r="Q11" i="21" s="1"/>
  <c r="U7" i="21" s="1"/>
  <c r="AJ231" i="9"/>
  <c r="AI67" i="9"/>
  <c r="P240" i="9"/>
  <c r="P76" i="9"/>
  <c r="E36" i="3"/>
  <c r="CQ238" i="9" s="1" a="1"/>
  <c r="CQ238" i="9" s="1"/>
  <c r="CQ210" i="9"/>
  <c r="CQ240" i="9"/>
  <c r="CQ255" i="9"/>
  <c r="CQ257" i="9" s="1"/>
  <c r="EG158" i="9"/>
  <c r="EG160" i="9" s="1"/>
  <c r="BV246" i="9"/>
  <c r="BV231" i="9"/>
  <c r="BV233" i="9" s="1"/>
  <c r="DK239" i="9"/>
  <c r="DK241" i="9" s="1"/>
  <c r="FA239" i="9"/>
  <c r="FA241" i="9" s="1"/>
  <c r="E31" i="3"/>
  <c r="E34" i="3"/>
  <c r="E37" i="3"/>
  <c r="E38" i="3"/>
  <c r="AJ215" i="9"/>
  <c r="P215" i="9"/>
  <c r="AJ216" i="9"/>
  <c r="P216" i="9"/>
  <c r="P46" i="9"/>
  <c r="P47" i="9"/>
  <c r="BX60" i="9"/>
  <c r="BY60" i="9" s="1"/>
  <c r="BZ60" i="9" s="1"/>
  <c r="CA60" i="9" s="1"/>
  <c r="BX59" i="9"/>
  <c r="BY59" i="9" s="1"/>
  <c r="BZ59" i="9" s="1"/>
  <c r="CA59" i="9" s="1"/>
  <c r="BX61" i="9"/>
  <c r="BY61" i="9" s="1"/>
  <c r="BZ61" i="9" s="1"/>
  <c r="CA61" i="9" s="1"/>
  <c r="BX62" i="9"/>
  <c r="BY62" i="9" s="1"/>
  <c r="BZ62" i="9" s="1"/>
  <c r="CA62" i="9" s="1"/>
  <c r="H38" i="11"/>
  <c r="BB46" i="9"/>
  <c r="AI46" i="9"/>
  <c r="BV144" i="9"/>
  <c r="AG130" i="9"/>
  <c r="BS130" i="9"/>
  <c r="BS132" i="9" s="1"/>
  <c r="AZ130" i="9"/>
  <c r="AZ132" i="9" s="1"/>
  <c r="BV130" i="9"/>
  <c r="AJ130" i="9"/>
  <c r="BC130" i="9"/>
  <c r="BS144" i="9"/>
  <c r="FG145" i="9"/>
  <c r="BB47" i="9"/>
  <c r="AI47" i="9"/>
  <c r="AF52" i="9"/>
  <c r="AZ216" i="9"/>
  <c r="AY47" i="9"/>
  <c r="CN226" i="9"/>
  <c r="CQ226" i="9"/>
  <c r="BC216" i="9"/>
  <c r="AZ215" i="9"/>
  <c r="CN225" i="9"/>
  <c r="AY46" i="9"/>
  <c r="BC215" i="9"/>
  <c r="CQ225" i="9"/>
  <c r="BR46" i="9"/>
  <c r="ED130" i="9"/>
  <c r="F12" i="11"/>
  <c r="H29" i="11"/>
  <c r="BU46" i="9"/>
  <c r="EG130" i="9"/>
  <c r="H50" i="8"/>
  <c r="EG144" i="9"/>
  <c r="EG131" i="9"/>
  <c r="BU47" i="9"/>
  <c r="ED131" i="9"/>
  <c r="H42" i="11"/>
  <c r="BR47" i="9"/>
  <c r="H36" i="11"/>
  <c r="EG133" i="9"/>
  <c r="ED146" i="9"/>
  <c r="H21" i="11"/>
  <c r="FG108" i="9"/>
  <c r="FG109" i="9" s="1"/>
  <c r="FD130" i="9"/>
  <c r="FD131" i="9" s="1"/>
  <c r="H31" i="11"/>
  <c r="H43" i="11"/>
  <c r="FD108" i="9"/>
  <c r="FD109" i="9" s="1"/>
  <c r="FD145" i="9"/>
  <c r="FD148" i="9" s="1"/>
  <c r="H25" i="11"/>
  <c r="H22" i="11"/>
  <c r="H32" i="11"/>
  <c r="ED133" i="9"/>
  <c r="H26" i="11"/>
  <c r="H19" i="11"/>
  <c r="CN210" i="9"/>
  <c r="FG131" i="9"/>
  <c r="V11" i="11"/>
  <c r="E23" i="11"/>
  <c r="F13" i="11"/>
  <c r="G13" i="11" s="1"/>
  <c r="E13" i="8"/>
  <c r="F50" i="8"/>
  <c r="BV42" i="8"/>
  <c r="N12" i="8"/>
  <c r="AV43" i="8"/>
  <c r="BX42" i="8"/>
  <c r="AX43" i="8"/>
  <c r="CG44" i="8"/>
  <c r="CG45" i="8" s="1"/>
  <c r="BG45" i="8"/>
  <c r="BG46" i="8" s="1"/>
  <c r="AA43" i="8"/>
  <c r="AA45" i="8"/>
  <c r="Y43" i="8"/>
  <c r="F12" i="8"/>
  <c r="D5" i="8" s="1"/>
  <c r="I12" i="8" s="1"/>
  <c r="F38" i="8"/>
  <c r="Y45" i="8"/>
  <c r="BL22" i="8"/>
  <c r="BL20" i="8"/>
  <c r="Y44" i="8"/>
  <c r="BL21" i="8"/>
  <c r="AA44" i="8"/>
  <c r="M33" i="8"/>
  <c r="Q33" i="8" s="1"/>
  <c r="X43" i="8"/>
  <c r="CQ243" i="9" l="1"/>
  <c r="CN227" i="9"/>
  <c r="I13" i="8"/>
  <c r="I14" i="8" s="1"/>
  <c r="ED134" i="9"/>
  <c r="AG132" i="9"/>
  <c r="BS146" i="9"/>
  <c r="BZ63" i="9"/>
  <c r="AY52" i="9"/>
  <c r="AZ217" i="9"/>
  <c r="BR48" i="9"/>
  <c r="G12" i="11"/>
  <c r="BL23" i="8"/>
  <c r="G37" i="8"/>
  <c r="I37" i="8" s="1"/>
  <c r="J37" i="8" s="1"/>
  <c r="K37" i="8" s="1"/>
  <c r="L37" i="8" s="1"/>
  <c r="M37" i="8" s="1"/>
  <c r="Z43" i="8"/>
  <c r="Z55" i="8" s="1"/>
  <c r="R13" i="8"/>
  <c r="O13" i="8" s="1"/>
  <c r="M13" i="8" s="1"/>
  <c r="R12" i="8"/>
  <c r="O12" i="8" s="1"/>
  <c r="Z53" i="8" l="1"/>
  <c r="Z54" i="8"/>
  <c r="F14" i="8"/>
  <c r="D14" i="8" s="1"/>
  <c r="R14" i="8"/>
  <c r="G38" i="8"/>
  <c r="G14" i="11"/>
  <c r="F14" i="11"/>
  <c r="H13" i="11" s="1"/>
  <c r="F42" i="11" s="1"/>
  <c r="M38" i="8"/>
  <c r="N37" i="8"/>
  <c r="M12" i="8"/>
  <c r="F13" i="8"/>
  <c r="D13" i="8" s="1"/>
  <c r="AU44" i="8"/>
  <c r="BU43" i="8" s="1"/>
  <c r="BW43" i="8" s="1"/>
  <c r="N33" i="8" l="1"/>
  <c r="O14" i="8"/>
  <c r="H5" i="8"/>
  <c r="F43" i="11"/>
  <c r="N38" i="8"/>
  <c r="H12" i="11"/>
  <c r="BK21" i="8"/>
  <c r="BM21" i="8" s="1"/>
  <c r="BP21" i="8" s="1"/>
  <c r="BQ21" i="8" s="1"/>
  <c r="AW44" i="8"/>
  <c r="AU43" i="8"/>
  <c r="BU42" i="8" s="1"/>
  <c r="I12" i="11" l="1"/>
  <c r="J12" i="11" s="1"/>
  <c r="G42" i="11" s="1"/>
  <c r="I42" i="11" s="1"/>
  <c r="F29" i="11"/>
  <c r="F41" i="11"/>
  <c r="BW42" i="8"/>
  <c r="BK20" i="8"/>
  <c r="AW43" i="8"/>
  <c r="E50" i="8"/>
  <c r="E51" i="8"/>
  <c r="F15" i="8"/>
  <c r="G14" i="8" s="1"/>
  <c r="J42" i="11" l="1"/>
  <c r="EB131" i="9"/>
  <c r="G43" i="11"/>
  <c r="I43" i="11" s="1"/>
  <c r="F37" i="11"/>
  <c r="G41" i="11"/>
  <c r="I41" i="11" s="1"/>
  <c r="J41" i="11" s="1"/>
  <c r="F30" i="11"/>
  <c r="G29" i="11"/>
  <c r="I29" i="11" s="1"/>
  <c r="F31" i="11"/>
  <c r="G31" i="11" s="1"/>
  <c r="I31" i="11" s="1"/>
  <c r="BM20" i="8"/>
  <c r="BP20" i="8" s="1"/>
  <c r="BQ20" i="8" s="1"/>
  <c r="G12" i="8"/>
  <c r="G13" i="8"/>
  <c r="X45" i="8"/>
  <c r="G51" i="8"/>
  <c r="D15" i="8"/>
  <c r="X44" i="8"/>
  <c r="G50" i="8"/>
  <c r="E52" i="8"/>
  <c r="M46" i="8" s="1"/>
  <c r="M14" i="8"/>
  <c r="O15" i="8"/>
  <c r="P12" i="8" s="1"/>
  <c r="FB130" i="9" l="1"/>
  <c r="J29" i="11"/>
  <c r="EB130" i="9"/>
  <c r="J43" i="11"/>
  <c r="FB108" i="9"/>
  <c r="BP47" i="9"/>
  <c r="AW47" i="9" s="1"/>
  <c r="EE131" i="9"/>
  <c r="EQ141" i="9" s="1"/>
  <c r="J31" i="11"/>
  <c r="G30" i="11"/>
  <c r="I30" i="11" s="1"/>
  <c r="J30" i="11" s="1"/>
  <c r="F27" i="11"/>
  <c r="F32" i="11"/>
  <c r="G32" i="11" s="1"/>
  <c r="I32" i="11" s="1"/>
  <c r="M23" i="11" s="1"/>
  <c r="F36" i="11"/>
  <c r="G37" i="11"/>
  <c r="P13" i="8"/>
  <c r="P14" i="8"/>
  <c r="AU45" i="8"/>
  <c r="BU44" i="8" s="1"/>
  <c r="M15" i="8"/>
  <c r="G52" i="8"/>
  <c r="I50" i="8" s="1"/>
  <c r="Z44" i="8"/>
  <c r="X46" i="8"/>
  <c r="G15" i="8"/>
  <c r="AF38" i="8" l="1"/>
  <c r="S44" i="8" s="1"/>
  <c r="X50" i="8"/>
  <c r="X52" i="8"/>
  <c r="X51" i="8"/>
  <c r="I37" i="11"/>
  <c r="J37" i="11" s="1"/>
  <c r="O37" i="11"/>
  <c r="FB131" i="9"/>
  <c r="FL126" i="9" s="1"/>
  <c r="FE130" i="9"/>
  <c r="ER140" i="9" s="1"/>
  <c r="AD47" i="9"/>
  <c r="AZ47" i="9"/>
  <c r="BS47" i="9"/>
  <c r="BK56" i="9" s="1"/>
  <c r="BP46" i="9"/>
  <c r="AW46" i="9" s="1"/>
  <c r="AD46" i="9" s="1"/>
  <c r="EE130" i="9"/>
  <c r="FB109" i="9"/>
  <c r="FL104" i="9" s="1"/>
  <c r="FE108" i="9"/>
  <c r="J32" i="11"/>
  <c r="G36" i="11"/>
  <c r="F25" i="11"/>
  <c r="F26" i="11" s="1"/>
  <c r="G26" i="11" s="1"/>
  <c r="I26" i="11" s="1"/>
  <c r="J26" i="11" s="1"/>
  <c r="G27" i="11"/>
  <c r="I27" i="11" s="1"/>
  <c r="J27" i="11" s="1"/>
  <c r="BW44" i="8"/>
  <c r="BW45" i="8" s="1"/>
  <c r="BU45" i="8"/>
  <c r="CH38" i="8" s="1"/>
  <c r="BK22" i="8"/>
  <c r="AU46" i="8"/>
  <c r="BH38" i="8" s="1"/>
  <c r="I51" i="8"/>
  <c r="J51" i="8" s="1"/>
  <c r="K51" i="8" s="1"/>
  <c r="L51" i="8" s="1"/>
  <c r="M51" i="8" s="1"/>
  <c r="N51" i="8" s="1"/>
  <c r="J50" i="8"/>
  <c r="K50" i="8" s="1"/>
  <c r="L50" i="8" s="1"/>
  <c r="M50" i="8" s="1"/>
  <c r="Z45" i="8"/>
  <c r="Z46" i="8" s="1"/>
  <c r="AB43" i="8" s="1"/>
  <c r="AW45" i="8"/>
  <c r="P15" i="8"/>
  <c r="AK136" i="22" l="1"/>
  <c r="BM115" i="22"/>
  <c r="BM113" i="22"/>
  <c r="ER142" i="9"/>
  <c r="ER141" i="9"/>
  <c r="ES141" i="9" s="1"/>
  <c r="EQ140" i="9"/>
  <c r="ES140" i="9" s="1"/>
  <c r="AS56" i="9"/>
  <c r="BJ56" i="9"/>
  <c r="BL56" i="9" s="1"/>
  <c r="AK135" i="15"/>
  <c r="AK137" i="15" s="1"/>
  <c r="BL115" i="15"/>
  <c r="BM115" i="15" s="1"/>
  <c r="AI135" i="15"/>
  <c r="AI137" i="15" s="1"/>
  <c r="BK113" i="15"/>
  <c r="BM113" i="15" s="1"/>
  <c r="FC108" i="9"/>
  <c r="FC130" i="9"/>
  <c r="BM107" i="15"/>
  <c r="G6" i="13"/>
  <c r="K46" i="9"/>
  <c r="N46" i="9" s="1"/>
  <c r="K47" i="9"/>
  <c r="N47" i="9" s="1"/>
  <c r="Y56" i="9" s="1"/>
  <c r="FE131" i="9"/>
  <c r="FH130" i="9" s="1"/>
  <c r="FH131" i="9" s="1"/>
  <c r="Z50" i="8"/>
  <c r="AA50" i="8" s="1"/>
  <c r="CL130" i="9"/>
  <c r="CO130" i="9" s="1"/>
  <c r="CF139" i="9" s="1"/>
  <c r="BM44" i="8"/>
  <c r="AL46" i="8"/>
  <c r="I36" i="11"/>
  <c r="N37" i="11"/>
  <c r="AZ46" i="9"/>
  <c r="AG47" i="9"/>
  <c r="AW52" i="9"/>
  <c r="FH108" i="9"/>
  <c r="FE109" i="9"/>
  <c r="BP48" i="9"/>
  <c r="BS46" i="9"/>
  <c r="G25" i="11"/>
  <c r="I25" i="11" s="1"/>
  <c r="J25" i="11" s="1"/>
  <c r="F22" i="11"/>
  <c r="I52" i="8"/>
  <c r="BM22" i="8"/>
  <c r="BK23" i="8"/>
  <c r="BP16" i="8" s="1"/>
  <c r="F52" i="8"/>
  <c r="AW46" i="8"/>
  <c r="M52" i="8"/>
  <c r="N54" i="8" s="1"/>
  <c r="N50" i="8"/>
  <c r="N52" i="8" s="1"/>
  <c r="N46" i="8" s="1"/>
  <c r="AC43" i="8"/>
  <c r="AD43" i="8" s="1"/>
  <c r="AE43" i="8" s="1"/>
  <c r="AF43" i="8" s="1"/>
  <c r="AG43" i="8" s="1"/>
  <c r="AB45" i="8"/>
  <c r="AC45" i="8" s="1"/>
  <c r="AD45" i="8" s="1"/>
  <c r="AE45" i="8" s="1"/>
  <c r="AF45" i="8" s="1"/>
  <c r="AG45" i="8" s="1"/>
  <c r="AB44" i="8"/>
  <c r="AC44" i="8" s="1"/>
  <c r="AD44" i="8" s="1"/>
  <c r="AE44" i="8" s="1"/>
  <c r="AF44" i="8" s="1"/>
  <c r="AG44" i="8" s="1"/>
  <c r="AI136" i="22" l="1"/>
  <c r="L27" i="11"/>
  <c r="B51" i="11" s="1"/>
  <c r="C65" i="11"/>
  <c r="E65" i="11" s="1"/>
  <c r="Y55" i="9"/>
  <c r="BK61" i="9"/>
  <c r="BK55" i="9"/>
  <c r="AR56" i="9"/>
  <c r="AT56" i="9" s="1"/>
  <c r="Z56" i="9"/>
  <c r="AA56" i="9" s="1"/>
  <c r="BJ55" i="9"/>
  <c r="AS55" i="9"/>
  <c r="AS61" i="9"/>
  <c r="BJ61" i="9"/>
  <c r="C51" i="11"/>
  <c r="BR156" i="9" s="1"/>
  <c r="D15" i="21" s="1"/>
  <c r="E15" i="21" s="1"/>
  <c r="F15" i="21" s="1"/>
  <c r="I15" i="21" s="1"/>
  <c r="K15" i="21" s="1"/>
  <c r="V5" i="21" s="1"/>
  <c r="C54" i="11"/>
  <c r="C60" i="11" s="1"/>
  <c r="BQ144" i="9" s="1"/>
  <c r="K130" i="9"/>
  <c r="N130" i="9" s="1"/>
  <c r="K52" i="9"/>
  <c r="L46" i="9" s="1"/>
  <c r="CL131" i="9"/>
  <c r="CV126" i="9" s="1"/>
  <c r="N52" i="9"/>
  <c r="U46" i="8"/>
  <c r="R45" i="8"/>
  <c r="FI130" i="9"/>
  <c r="FJ130" i="9" s="1"/>
  <c r="CO131" i="9"/>
  <c r="CR130" i="9" s="1"/>
  <c r="CS130" i="9" s="1"/>
  <c r="CT130" i="9" s="1"/>
  <c r="CU130" i="9" s="1"/>
  <c r="CV130" i="9" s="1"/>
  <c r="BL34" i="9"/>
  <c r="BN34" i="9" s="1"/>
  <c r="BL28" i="9"/>
  <c r="BN28" i="9" s="1"/>
  <c r="BL33" i="9"/>
  <c r="BN33" i="9" s="1"/>
  <c r="BL31" i="9"/>
  <c r="BN31" i="9" s="1"/>
  <c r="BL30" i="9"/>
  <c r="BN30" i="9" s="1"/>
  <c r="BL32" i="9"/>
  <c r="BN32" i="9" s="1"/>
  <c r="BL29" i="9"/>
  <c r="BN29" i="9" s="1"/>
  <c r="AE50" i="9"/>
  <c r="AE49" i="9"/>
  <c r="BG42" i="9"/>
  <c r="AE48" i="9"/>
  <c r="AE51" i="9"/>
  <c r="AX46" i="9"/>
  <c r="AE47" i="9"/>
  <c r="AZ52" i="9"/>
  <c r="AD52" i="9"/>
  <c r="AE46" i="9"/>
  <c r="AG46" i="9"/>
  <c r="AX50" i="9"/>
  <c r="AX51" i="9"/>
  <c r="AX48" i="9"/>
  <c r="AX49" i="9"/>
  <c r="AX47" i="9"/>
  <c r="BS48" i="9"/>
  <c r="BV47" i="9" s="1"/>
  <c r="BW47" i="9" s="1"/>
  <c r="BX47" i="9" s="1"/>
  <c r="BY47" i="9" s="1"/>
  <c r="BZ47" i="9" s="1"/>
  <c r="CA47" i="9" s="1"/>
  <c r="BZ42" i="9"/>
  <c r="BQ47" i="9"/>
  <c r="BQ46" i="9"/>
  <c r="FI108" i="9"/>
  <c r="FJ108" i="9" s="1"/>
  <c r="FK108" i="9" s="1"/>
  <c r="FH109" i="9"/>
  <c r="F21" i="11"/>
  <c r="F23" i="11" s="1"/>
  <c r="G23" i="11" s="1"/>
  <c r="I23" i="11" s="1"/>
  <c r="G22" i="11"/>
  <c r="I22" i="11" s="1"/>
  <c r="J22" i="11" s="1"/>
  <c r="F19" i="11"/>
  <c r="G19" i="11" s="1"/>
  <c r="BY44" i="8"/>
  <c r="BZ44" i="8" s="1"/>
  <c r="CA44" i="8" s="1"/>
  <c r="CB44" i="8" s="1"/>
  <c r="CH44" i="8" s="1"/>
  <c r="CI44" i="8" s="1"/>
  <c r="BY42" i="8"/>
  <c r="BY43" i="8"/>
  <c r="BZ43" i="8" s="1"/>
  <c r="CA43" i="8" s="1"/>
  <c r="CB43" i="8" s="1"/>
  <c r="CH43" i="8" s="1"/>
  <c r="CI43" i="8" s="1"/>
  <c r="BP22" i="8"/>
  <c r="BM23" i="8"/>
  <c r="AY44" i="8"/>
  <c r="AY43" i="8"/>
  <c r="AY45" i="8"/>
  <c r="Y46" i="8"/>
  <c r="AF46" i="8"/>
  <c r="AB46" i="8"/>
  <c r="BL61" i="9" l="1"/>
  <c r="AR61" i="9"/>
  <c r="AT61" i="9" s="1"/>
  <c r="Z55" i="9"/>
  <c r="AR55" i="9"/>
  <c r="AT55" i="9" s="1"/>
  <c r="Y138" i="9"/>
  <c r="BL55" i="9"/>
  <c r="BQ156" i="9"/>
  <c r="F12" i="17" s="1"/>
  <c r="AA55" i="9"/>
  <c r="U127" i="15"/>
  <c r="U137" i="15" s="1"/>
  <c r="BD99" i="15"/>
  <c r="BD59" i="15" s="1"/>
  <c r="L47" i="9"/>
  <c r="BD103" i="15"/>
  <c r="BD63" i="15" s="1"/>
  <c r="R124" i="15"/>
  <c r="AL124" i="15" s="1"/>
  <c r="AW96" i="15"/>
  <c r="AW56" i="15" s="1"/>
  <c r="EB132" i="9"/>
  <c r="Y130" i="15"/>
  <c r="L50" i="9"/>
  <c r="L49" i="9"/>
  <c r="L51" i="9"/>
  <c r="L48" i="9"/>
  <c r="U42" i="9"/>
  <c r="K131" i="9"/>
  <c r="N131" i="9" s="1"/>
  <c r="M19" i="11"/>
  <c r="BN35" i="9"/>
  <c r="AZ93" i="20" s="1"/>
  <c r="BP23" i="8"/>
  <c r="BQ22" i="8"/>
  <c r="BQ23" i="8" s="1"/>
  <c r="BQ16" i="8" s="1"/>
  <c r="Q51" i="9"/>
  <c r="Q50" i="9"/>
  <c r="R50" i="9" s="1"/>
  <c r="S50" i="9" s="1"/>
  <c r="T50" i="9" s="1"/>
  <c r="U50" i="9" s="1"/>
  <c r="V50" i="9" s="1"/>
  <c r="Q48" i="9"/>
  <c r="Q49" i="9"/>
  <c r="Q46" i="9"/>
  <c r="R46" i="9" s="1"/>
  <c r="S46" i="9" s="1"/>
  <c r="T46" i="9" s="1"/>
  <c r="U46" i="9" s="1"/>
  <c r="Q47" i="9"/>
  <c r="R47" i="9" s="1"/>
  <c r="S47" i="9" s="1"/>
  <c r="T47" i="9" s="1"/>
  <c r="U47" i="9" s="1"/>
  <c r="V47" i="9" s="1"/>
  <c r="BK46" i="9"/>
  <c r="AS28" i="9"/>
  <c r="FI131" i="9"/>
  <c r="CW130" i="9"/>
  <c r="CV131" i="9"/>
  <c r="BV46" i="9"/>
  <c r="BW46" i="9" s="1"/>
  <c r="BX46" i="9" s="1"/>
  <c r="BY46" i="9" s="1"/>
  <c r="AE52" i="9"/>
  <c r="F65" i="9"/>
  <c r="H65" i="9" s="1"/>
  <c r="AN42" i="9"/>
  <c r="F68" i="9"/>
  <c r="H68" i="9" s="1"/>
  <c r="F66" i="9"/>
  <c r="H66" i="9" s="1"/>
  <c r="F71" i="9"/>
  <c r="H71" i="9" s="1"/>
  <c r="F70" i="9"/>
  <c r="H70" i="9" s="1"/>
  <c r="F69" i="9"/>
  <c r="H69" i="9" s="1"/>
  <c r="F67" i="9"/>
  <c r="H67" i="9" s="1"/>
  <c r="AJ49" i="9"/>
  <c r="BC50" i="9"/>
  <c r="BC51" i="9"/>
  <c r="BC48" i="9"/>
  <c r="AJ50" i="9"/>
  <c r="AJ51" i="9"/>
  <c r="AK51" i="9" s="1"/>
  <c r="AL51" i="9" s="1"/>
  <c r="AM51" i="9" s="1"/>
  <c r="AN51" i="9" s="1"/>
  <c r="AO51" i="9" s="1"/>
  <c r="AJ48" i="9"/>
  <c r="AK48" i="9" s="1"/>
  <c r="AL48" i="9" s="1"/>
  <c r="AM48" i="9" s="1"/>
  <c r="AN48" i="9" s="1"/>
  <c r="AO48" i="9" s="1"/>
  <c r="BC49" i="9"/>
  <c r="BC47" i="9"/>
  <c r="BC46" i="9"/>
  <c r="AJ47" i="9"/>
  <c r="AX52" i="9"/>
  <c r="AJ46" i="9"/>
  <c r="AG52" i="9"/>
  <c r="FK130" i="9"/>
  <c r="FJ131" i="9"/>
  <c r="FK109" i="9"/>
  <c r="FL108" i="9"/>
  <c r="J23" i="11"/>
  <c r="G21" i="11"/>
  <c r="I21" i="11" s="1"/>
  <c r="F20" i="11"/>
  <c r="G20" i="11" s="1"/>
  <c r="I20" i="11" s="1"/>
  <c r="J20" i="11" s="1"/>
  <c r="I19" i="11"/>
  <c r="L23" i="11" s="1"/>
  <c r="BV45" i="8"/>
  <c r="BY45" i="8"/>
  <c r="BZ42" i="8"/>
  <c r="CA42" i="8" s="1"/>
  <c r="CB42" i="8" s="1"/>
  <c r="CB45" i="8" s="1"/>
  <c r="AZ45" i="8"/>
  <c r="BA45" i="8" s="1"/>
  <c r="BB45" i="8" s="1"/>
  <c r="BH45" i="8" s="1"/>
  <c r="BI45" i="8" s="1"/>
  <c r="AZ44" i="8"/>
  <c r="BA44" i="8" s="1"/>
  <c r="BB44" i="8" s="1"/>
  <c r="BH44" i="8" s="1"/>
  <c r="BI44" i="8" s="1"/>
  <c r="AY46" i="8"/>
  <c r="AV46" i="8"/>
  <c r="AZ43" i="8"/>
  <c r="BA43" i="8" s="1"/>
  <c r="BB43" i="8" s="1"/>
  <c r="BH43" i="8" s="1"/>
  <c r="AG46" i="8"/>
  <c r="AG38" i="8" s="1"/>
  <c r="C159" i="22" l="1"/>
  <c r="U136" i="22"/>
  <c r="AL126" i="22"/>
  <c r="BF99" i="22"/>
  <c r="AW117" i="22"/>
  <c r="BF96" i="22"/>
  <c r="R136" i="22"/>
  <c r="AL123" i="22"/>
  <c r="BF103" i="22"/>
  <c r="Y136" i="22"/>
  <c r="C150" i="15"/>
  <c r="AL127" i="15"/>
  <c r="G12" i="17"/>
  <c r="I12" i="17" s="1"/>
  <c r="H12" i="17"/>
  <c r="N132" i="9"/>
  <c r="Q131" i="9" s="1"/>
  <c r="R131" i="9" s="1"/>
  <c r="S131" i="9" s="1"/>
  <c r="T131" i="9" s="1"/>
  <c r="U131" i="9" s="1"/>
  <c r="V131" i="9" s="1"/>
  <c r="Y140" i="9"/>
  <c r="R137" i="15"/>
  <c r="K132" i="9"/>
  <c r="U126" i="9" s="1"/>
  <c r="L52" i="9"/>
  <c r="L121" i="15"/>
  <c r="L137" i="15" s="1"/>
  <c r="AW117" i="15"/>
  <c r="BF96" i="15"/>
  <c r="AT90" i="15"/>
  <c r="AT50" i="15" s="1"/>
  <c r="BF103" i="15"/>
  <c r="BF99" i="15"/>
  <c r="Y137" i="15"/>
  <c r="AQ81" i="15"/>
  <c r="AU28" i="9"/>
  <c r="AW93" i="20" s="1"/>
  <c r="R51" i="9"/>
  <c r="S51" i="9" s="1"/>
  <c r="T51" i="9" s="1"/>
  <c r="U51" i="9" s="1"/>
  <c r="V51" i="9" s="1"/>
  <c r="G8" i="12"/>
  <c r="AR46" i="9"/>
  <c r="R49" i="9"/>
  <c r="S49" i="9" s="1"/>
  <c r="T49" i="9" s="1"/>
  <c r="U49" i="9" s="1"/>
  <c r="V49" i="9" s="1"/>
  <c r="R48" i="9"/>
  <c r="S48" i="9" s="1"/>
  <c r="T48" i="9" s="1"/>
  <c r="U48" i="9" s="1"/>
  <c r="V46" i="9"/>
  <c r="U45" i="8"/>
  <c r="R44" i="8"/>
  <c r="CW131" i="9"/>
  <c r="CW126" i="9" s="1"/>
  <c r="BG107" i="20" s="1"/>
  <c r="L19" i="11"/>
  <c r="BZ46" i="9"/>
  <c r="CA63" i="9"/>
  <c r="CA55" i="9" s="1"/>
  <c r="H72" i="9"/>
  <c r="AK46" i="9"/>
  <c r="AL46" i="9" s="1"/>
  <c r="AM46" i="9" s="1"/>
  <c r="AN46" i="9" s="1"/>
  <c r="BD48" i="9"/>
  <c r="BE48" i="9" s="1"/>
  <c r="BF48" i="9" s="1"/>
  <c r="BG48" i="9" s="1"/>
  <c r="BH48" i="9" s="1"/>
  <c r="BD51" i="9"/>
  <c r="BE51" i="9" s="1"/>
  <c r="BF51" i="9" s="1"/>
  <c r="BG51" i="9" s="1"/>
  <c r="BH51" i="9" s="1"/>
  <c r="BD50" i="9"/>
  <c r="BE50" i="9" s="1"/>
  <c r="BF50" i="9" s="1"/>
  <c r="BG50" i="9" s="1"/>
  <c r="BH50" i="9" s="1"/>
  <c r="AK47" i="9"/>
  <c r="AL47" i="9" s="1"/>
  <c r="AM47" i="9" s="1"/>
  <c r="AN47" i="9" s="1"/>
  <c r="AO47" i="9" s="1"/>
  <c r="BD46" i="9"/>
  <c r="BE46" i="9" s="1"/>
  <c r="BF46" i="9" s="1"/>
  <c r="BG46" i="9" s="1"/>
  <c r="BD49" i="9"/>
  <c r="BE49" i="9" s="1"/>
  <c r="BF49" i="9" s="1"/>
  <c r="BG49" i="9" s="1"/>
  <c r="BH49" i="9" s="1"/>
  <c r="AK49" i="9"/>
  <c r="AL49" i="9" s="1"/>
  <c r="AM49" i="9" s="1"/>
  <c r="AN49" i="9" s="1"/>
  <c r="AO49" i="9" s="1"/>
  <c r="BD47" i="9"/>
  <c r="BE47" i="9" s="1"/>
  <c r="BF47" i="9" s="1"/>
  <c r="BG47" i="9" s="1"/>
  <c r="BH47" i="9" s="1"/>
  <c r="AK50" i="9"/>
  <c r="AL50" i="9" s="1"/>
  <c r="AM50" i="9" s="1"/>
  <c r="AN50" i="9" s="1"/>
  <c r="AO50" i="9" s="1"/>
  <c r="F72" i="9"/>
  <c r="J21" i="11"/>
  <c r="FL109" i="9"/>
  <c r="FM108" i="9"/>
  <c r="FM109" i="9" s="1"/>
  <c r="FM104" i="9" s="1"/>
  <c r="FL130" i="9"/>
  <c r="FK131" i="9"/>
  <c r="J19" i="11"/>
  <c r="CH42" i="8"/>
  <c r="BB46" i="8"/>
  <c r="BI43" i="8"/>
  <c r="BH46" i="8"/>
  <c r="AQ41" i="15" l="1"/>
  <c r="D151" i="15"/>
  <c r="D160" i="15" s="1"/>
  <c r="D159" i="22"/>
  <c r="L136" i="22"/>
  <c r="BF90" i="22"/>
  <c r="AT117" i="22"/>
  <c r="AQ41" i="22"/>
  <c r="BF81" i="22"/>
  <c r="G167" i="22" s="1"/>
  <c r="BI107" i="20"/>
  <c r="J193" i="20" s="1"/>
  <c r="Q130" i="9"/>
  <c r="R130" i="9" s="1"/>
  <c r="S130" i="9" s="1"/>
  <c r="T130" i="9" s="1"/>
  <c r="U130" i="9" s="1"/>
  <c r="Q115" i="9" s="1"/>
  <c r="AR82" i="15"/>
  <c r="AR42" i="15" s="1"/>
  <c r="Y130" i="20"/>
  <c r="Y140" i="20" s="1"/>
  <c r="BI46" i="9"/>
  <c r="N6" i="13" s="1"/>
  <c r="BO104" i="20"/>
  <c r="BP104" i="20" s="1"/>
  <c r="K63" i="9"/>
  <c r="L63" i="9" s="1"/>
  <c r="F7" i="17"/>
  <c r="G7" i="17" s="1"/>
  <c r="I7" i="17" s="1"/>
  <c r="AT46" i="9"/>
  <c r="F7" i="14" s="1"/>
  <c r="BM46" i="9"/>
  <c r="G7" i="14" s="1"/>
  <c r="BO119" i="20"/>
  <c r="BP119" i="20" s="1"/>
  <c r="AN138" i="20"/>
  <c r="AN140" i="20" s="1"/>
  <c r="AB133" i="20"/>
  <c r="AB140" i="20" s="1"/>
  <c r="BF90" i="15"/>
  <c r="AT117" i="15"/>
  <c r="BF81" i="15"/>
  <c r="Q27" i="9"/>
  <c r="D7" i="14" s="1"/>
  <c r="BZ48" i="9"/>
  <c r="F8" i="12"/>
  <c r="G73" i="11"/>
  <c r="G74" i="11" s="1"/>
  <c r="BQ210" i="9" s="1"/>
  <c r="CL210" i="9"/>
  <c r="B74" i="11"/>
  <c r="C87" i="11" s="1"/>
  <c r="F87" i="11" s="1"/>
  <c r="V48" i="9"/>
  <c r="V52" i="9" s="1"/>
  <c r="V42" i="9" s="1"/>
  <c r="U52" i="9"/>
  <c r="BI46" i="8"/>
  <c r="BI38" i="8" s="1"/>
  <c r="AN48" i="8"/>
  <c r="EB133" i="9"/>
  <c r="CA46" i="9"/>
  <c r="BH46" i="9"/>
  <c r="BG52" i="9"/>
  <c r="AN52" i="9"/>
  <c r="AO46" i="9"/>
  <c r="FL131" i="9"/>
  <c r="FM130" i="9"/>
  <c r="CH45" i="8"/>
  <c r="CI42" i="8"/>
  <c r="BF82" i="22" l="1"/>
  <c r="Q132" i="9"/>
  <c r="AT85" i="20"/>
  <c r="AT41" i="20" s="1"/>
  <c r="H7" i="17"/>
  <c r="F153" i="20"/>
  <c r="F163" i="20" s="1"/>
  <c r="K64" i="9"/>
  <c r="G75" i="11"/>
  <c r="C95" i="11" s="1"/>
  <c r="AX210" i="9"/>
  <c r="K210" i="9"/>
  <c r="AE210" i="9"/>
  <c r="G5" i="12"/>
  <c r="D5" i="12"/>
  <c r="F5" i="12"/>
  <c r="F74" i="11"/>
  <c r="CL243" i="9"/>
  <c r="C86" i="11"/>
  <c r="Z81" i="11" s="1"/>
  <c r="D74" i="11"/>
  <c r="U132" i="9"/>
  <c r="V130" i="9"/>
  <c r="Q117" i="9" s="1"/>
  <c r="EE133" i="9"/>
  <c r="CO210" i="9"/>
  <c r="AN47" i="8"/>
  <c r="AK46" i="8"/>
  <c r="CI45" i="8"/>
  <c r="CI38" i="8" s="1"/>
  <c r="BO45" i="8" s="1"/>
  <c r="BO46" i="8"/>
  <c r="FM131" i="9"/>
  <c r="FM126" i="9" s="1"/>
  <c r="AO52" i="9"/>
  <c r="AO42" i="9" s="1"/>
  <c r="BH52" i="9"/>
  <c r="BH42" i="9" s="1"/>
  <c r="AZ100" i="20" s="1"/>
  <c r="CA48" i="9"/>
  <c r="CA42" i="9" s="1"/>
  <c r="CL211" i="9"/>
  <c r="CV206" i="9" s="1"/>
  <c r="BI85" i="20" l="1"/>
  <c r="J171" i="20" s="1"/>
  <c r="BI100" i="20"/>
  <c r="AT48" i="9"/>
  <c r="F9" i="14" s="1"/>
  <c r="AW94" i="20"/>
  <c r="X130" i="20"/>
  <c r="BG103" i="20"/>
  <c r="BI103" i="20" s="1"/>
  <c r="BM47" i="9"/>
  <c r="G8" i="14" s="1"/>
  <c r="U127" i="20"/>
  <c r="BJ46" i="9"/>
  <c r="AT47" i="9"/>
  <c r="F8" i="14" s="1"/>
  <c r="O124" i="20"/>
  <c r="O140" i="20" s="1"/>
  <c r="AQ46" i="9"/>
  <c r="BM48" i="9"/>
  <c r="G9" i="14" s="1"/>
  <c r="AL138" i="20"/>
  <c r="AL140" i="20" s="1"/>
  <c r="BN117" i="20"/>
  <c r="BP117" i="20" s="1"/>
  <c r="AB131" i="15"/>
  <c r="AB137" i="15" s="1"/>
  <c r="BD106" i="15"/>
  <c r="BD66" i="15" s="1"/>
  <c r="V132" i="9"/>
  <c r="V126" i="9" s="1"/>
  <c r="L64" i="9"/>
  <c r="U59" i="9" s="1"/>
  <c r="N63" i="9"/>
  <c r="Z78" i="11"/>
  <c r="AC78" i="11" s="1"/>
  <c r="Z79" i="11"/>
  <c r="AC79" i="11" s="1"/>
  <c r="Z76" i="11"/>
  <c r="AC76" i="11" s="1"/>
  <c r="AH76" i="11" s="1"/>
  <c r="Z75" i="11"/>
  <c r="AC75" i="11" s="1"/>
  <c r="AJ80" i="11" s="1"/>
  <c r="Z77" i="11"/>
  <c r="AC77" i="11" s="1"/>
  <c r="Z80" i="11"/>
  <c r="AC80" i="11" s="1"/>
  <c r="CL227" i="9"/>
  <c r="CL224" i="9" s="1"/>
  <c r="AX214" i="9" s="1"/>
  <c r="CV233" i="9"/>
  <c r="C82" i="11"/>
  <c r="F82" i="11" s="1"/>
  <c r="C83" i="11"/>
  <c r="F83" i="11" s="1"/>
  <c r="C80" i="11"/>
  <c r="F80" i="11" s="1"/>
  <c r="C81" i="11"/>
  <c r="F81" i="11" s="1"/>
  <c r="Q77" i="11" s="1"/>
  <c r="C85" i="11"/>
  <c r="F85" i="11" s="1"/>
  <c r="C84" i="11"/>
  <c r="F84" i="11" s="1"/>
  <c r="F94" i="11" s="1"/>
  <c r="K80" i="11" s="1"/>
  <c r="CL239" i="9"/>
  <c r="CO239" i="9" s="1"/>
  <c r="CL240" i="9"/>
  <c r="CL237" i="9"/>
  <c r="CL242" i="9"/>
  <c r="CL238" i="9"/>
  <c r="CO238" i="9" s="1"/>
  <c r="CL241" i="9"/>
  <c r="CO241" i="9" s="1"/>
  <c r="BL44" i="8"/>
  <c r="CM210" i="9"/>
  <c r="CO211" i="9"/>
  <c r="CO237" i="9" l="1"/>
  <c r="DA229" i="9"/>
  <c r="DB229" i="9" s="1"/>
  <c r="DD229" i="9" s="1"/>
  <c r="BE93" i="20" s="1"/>
  <c r="BE49" i="20" s="1"/>
  <c r="AB136" i="22"/>
  <c r="BF106" i="22"/>
  <c r="BD117" i="22"/>
  <c r="AU86" i="20"/>
  <c r="N76" i="9"/>
  <c r="N77" i="9" s="1"/>
  <c r="AG68" i="9"/>
  <c r="Z62" i="9" s="1"/>
  <c r="AG67" i="9"/>
  <c r="BI94" i="20"/>
  <c r="J180" i="20" s="1"/>
  <c r="Y62" i="9"/>
  <c r="Y61" i="9"/>
  <c r="AH84" i="11"/>
  <c r="AJ84" i="11" s="1"/>
  <c r="AJ83" i="11" s="1"/>
  <c r="Q81" i="11"/>
  <c r="Q80" i="11" s="1"/>
  <c r="F91" i="11"/>
  <c r="Q76" i="11"/>
  <c r="S77" i="11"/>
  <c r="S76" i="11" s="1"/>
  <c r="F92" i="11"/>
  <c r="H80" i="11" s="1"/>
  <c r="Q85" i="11"/>
  <c r="S85" i="11" s="1"/>
  <c r="S84" i="11" s="1"/>
  <c r="Q89" i="11"/>
  <c r="S89" i="11" s="1"/>
  <c r="S88" i="11" s="1"/>
  <c r="F93" i="11"/>
  <c r="J80" i="11" s="1"/>
  <c r="AH88" i="11"/>
  <c r="AJ88" i="11" s="1"/>
  <c r="AJ87" i="11" s="1"/>
  <c r="CZ249" i="9"/>
  <c r="AC90" i="11"/>
  <c r="Z90" i="11" s="1"/>
  <c r="DF240" i="9" s="1"/>
  <c r="DI240" i="9" s="1"/>
  <c r="J189" i="20"/>
  <c r="Q116" i="9"/>
  <c r="G154" i="20"/>
  <c r="G163" i="20" s="1"/>
  <c r="AW121" i="20"/>
  <c r="AO127" i="20"/>
  <c r="U140" i="20"/>
  <c r="AZ121" i="20"/>
  <c r="J186" i="20"/>
  <c r="X140" i="20"/>
  <c r="AO130" i="20"/>
  <c r="AQ86" i="15"/>
  <c r="AQ46" i="15" s="1"/>
  <c r="G7" i="12"/>
  <c r="BF106" i="15"/>
  <c r="BD117" i="15"/>
  <c r="AC131" i="15"/>
  <c r="AC137" i="15" s="1"/>
  <c r="BB107" i="15"/>
  <c r="BB67" i="15" s="1"/>
  <c r="N64" i="9"/>
  <c r="Q63" i="9" s="1"/>
  <c r="R63" i="9" s="1"/>
  <c r="S63" i="9" s="1"/>
  <c r="AE214" i="9"/>
  <c r="K214" i="9" s="1"/>
  <c r="N214" i="9" s="1"/>
  <c r="Y240" i="9" s="1"/>
  <c r="BQ214" i="9"/>
  <c r="CO240" i="9"/>
  <c r="CO242" i="9"/>
  <c r="CZ247" i="9" s="1"/>
  <c r="AC81" i="11"/>
  <c r="AD76" i="11" s="1"/>
  <c r="AJ79" i="11"/>
  <c r="AJ75" i="11"/>
  <c r="AH75" i="11"/>
  <c r="AJ76" i="11"/>
  <c r="CL222" i="9"/>
  <c r="AX212" i="9" s="1"/>
  <c r="CL223" i="9"/>
  <c r="AX213" i="9" s="1"/>
  <c r="CL226" i="9"/>
  <c r="AX216" i="9" s="1"/>
  <c r="CL225" i="9"/>
  <c r="AX215" i="9" s="1"/>
  <c r="CL221" i="9"/>
  <c r="AX211" i="9" s="1"/>
  <c r="F7" i="12"/>
  <c r="F6" i="12"/>
  <c r="G6" i="12"/>
  <c r="F86" i="11"/>
  <c r="CR210" i="9"/>
  <c r="CS210" i="9" s="1"/>
  <c r="CT210" i="9" s="1"/>
  <c r="CU210" i="9" s="1"/>
  <c r="BI86" i="20" l="1"/>
  <c r="J172" i="20" s="1"/>
  <c r="BB107" i="22"/>
  <c r="AC130" i="22"/>
  <c r="AC136" i="22" s="1"/>
  <c r="BF107" i="22"/>
  <c r="BB117" i="22"/>
  <c r="S81" i="11"/>
  <c r="S80" i="11" s="1"/>
  <c r="CZ246" i="9"/>
  <c r="DA249" i="9"/>
  <c r="DB249" i="9" s="1"/>
  <c r="EP248" i="9"/>
  <c r="Y63" i="9"/>
  <c r="AA62" i="9"/>
  <c r="Z61" i="9"/>
  <c r="AA61" i="9" s="1"/>
  <c r="Z63" i="9"/>
  <c r="AM83" i="11"/>
  <c r="AM84" i="11" s="1"/>
  <c r="AC89" i="11" s="1"/>
  <c r="Z89" i="11" s="1"/>
  <c r="AH83" i="11"/>
  <c r="Q84" i="11"/>
  <c r="AH87" i="11"/>
  <c r="I80" i="11"/>
  <c r="L80" i="11" s="1"/>
  <c r="C91" i="11"/>
  <c r="CZ248" i="9"/>
  <c r="Q88" i="11"/>
  <c r="BF107" i="15"/>
  <c r="BB117" i="15"/>
  <c r="AD67" i="9"/>
  <c r="AD68" i="9"/>
  <c r="K76" i="9"/>
  <c r="CO243" i="9"/>
  <c r="AE216" i="9"/>
  <c r="K216" i="9" s="1"/>
  <c r="N216" i="9" s="1"/>
  <c r="Y242" i="9" s="1"/>
  <c r="BQ216" i="9"/>
  <c r="AE213" i="9"/>
  <c r="K213" i="9" s="1"/>
  <c r="N213" i="9" s="1"/>
  <c r="Y239" i="9" s="1"/>
  <c r="BQ213" i="9"/>
  <c r="AE211" i="9"/>
  <c r="K211" i="9" s="1"/>
  <c r="N211" i="9" s="1"/>
  <c r="Y237" i="9" s="1"/>
  <c r="BQ211" i="9"/>
  <c r="AE212" i="9"/>
  <c r="K212" i="9" s="1"/>
  <c r="N212" i="9" s="1"/>
  <c r="Y238" i="9" s="1"/>
  <c r="BQ212" i="9"/>
  <c r="BT214" i="9"/>
  <c r="AE215" i="9"/>
  <c r="K215" i="9" s="1"/>
  <c r="N215" i="9" s="1"/>
  <c r="Y241" i="9" s="1"/>
  <c r="BQ215" i="9"/>
  <c r="CM221" i="9"/>
  <c r="AD79" i="11"/>
  <c r="AD80" i="11"/>
  <c r="AD75" i="11"/>
  <c r="AD77" i="11"/>
  <c r="AD78" i="11"/>
  <c r="CV210" i="9"/>
  <c r="CW210" i="9" s="1"/>
  <c r="Y64" i="9" l="1"/>
  <c r="AG69" i="9"/>
  <c r="Z64" i="9" s="1"/>
  <c r="AA64" i="9" s="1"/>
  <c r="AM79" i="11"/>
  <c r="AM80" i="11" s="1"/>
  <c r="AC88" i="11" s="1"/>
  <c r="Z88" i="11" s="1"/>
  <c r="AA63" i="9"/>
  <c r="CR238" i="9"/>
  <c r="CS238" i="9" s="1"/>
  <c r="CT238" i="9" s="1"/>
  <c r="CU238" i="9" s="1"/>
  <c r="CV238" i="9" s="1"/>
  <c r="CW238" i="9" s="1"/>
  <c r="CR239" i="9"/>
  <c r="CS239" i="9" s="1"/>
  <c r="CT239" i="9" s="1"/>
  <c r="CU239" i="9" s="1"/>
  <c r="CV239" i="9" s="1"/>
  <c r="I82" i="11"/>
  <c r="N210" i="9"/>
  <c r="BT210" i="9"/>
  <c r="BL218" i="9" s="1"/>
  <c r="AH210" i="9"/>
  <c r="AR218" i="9" s="1"/>
  <c r="BA210" i="9"/>
  <c r="CE225" i="9"/>
  <c r="BL225" i="9"/>
  <c r="CR237" i="9"/>
  <c r="CS237" i="9" s="1"/>
  <c r="CT237" i="9" s="1"/>
  <c r="CU237" i="9" s="1"/>
  <c r="CV237" i="9" s="1"/>
  <c r="CW237" i="9" s="1"/>
  <c r="CR240" i="9"/>
  <c r="CS240" i="9" s="1"/>
  <c r="CT240" i="9" s="1"/>
  <c r="CU240" i="9" s="1"/>
  <c r="CV240" i="9" s="1"/>
  <c r="CW240" i="9" s="1"/>
  <c r="CR241" i="9"/>
  <c r="CS241" i="9" s="1"/>
  <c r="CT241" i="9" s="1"/>
  <c r="CU241" i="9" s="1"/>
  <c r="CV241" i="9" s="1"/>
  <c r="CW241" i="9" s="1"/>
  <c r="CR242" i="9"/>
  <c r="CS242" i="9" s="1"/>
  <c r="CT242" i="9" s="1"/>
  <c r="CU242" i="9" s="1"/>
  <c r="CV242" i="9" s="1"/>
  <c r="CW242" i="9" s="1"/>
  <c r="K77" i="9"/>
  <c r="K78" i="9" s="1"/>
  <c r="U72" i="9" s="1"/>
  <c r="BT215" i="9"/>
  <c r="K217" i="9"/>
  <c r="U206" i="9" s="1"/>
  <c r="BT211" i="9"/>
  <c r="BQ217" i="9"/>
  <c r="BR215" i="9" s="1"/>
  <c r="BT216" i="9"/>
  <c r="BT212" i="9"/>
  <c r="BT213" i="9"/>
  <c r="DF239" i="9"/>
  <c r="DI239" i="9" s="1"/>
  <c r="DF238" i="9"/>
  <c r="AD81" i="11"/>
  <c r="AO80" i="11"/>
  <c r="AO79" i="11" s="1"/>
  <c r="AO75" i="11" s="1"/>
  <c r="AO76" i="11" s="1"/>
  <c r="AC87" i="11" s="1"/>
  <c r="CW211" i="9"/>
  <c r="CW206" i="9" s="1"/>
  <c r="BG110" i="20" s="1"/>
  <c r="AQ117" i="22" l="1"/>
  <c r="E159" i="22"/>
  <c r="BI110" i="20"/>
  <c r="DA248" i="9"/>
  <c r="DB248" i="9" s="1"/>
  <c r="EP247" i="9"/>
  <c r="BK218" i="9"/>
  <c r="BM218" i="9" s="1"/>
  <c r="AS218" i="9"/>
  <c r="CE226" i="9"/>
  <c r="BL226" i="9"/>
  <c r="CE224" i="9"/>
  <c r="BL224" i="9"/>
  <c r="AT218" i="9"/>
  <c r="CE227" i="9"/>
  <c r="BL227" i="9"/>
  <c r="L83" i="11"/>
  <c r="K83" i="11"/>
  <c r="J83" i="11"/>
  <c r="H83" i="11"/>
  <c r="CE223" i="9"/>
  <c r="BL223" i="9"/>
  <c r="CE222" i="9"/>
  <c r="BL222" i="9"/>
  <c r="CV243" i="9"/>
  <c r="AE134" i="20"/>
  <c r="AE140" i="20" s="1"/>
  <c r="CR243" i="9"/>
  <c r="AQ84" i="15"/>
  <c r="AQ44" i="15" s="1"/>
  <c r="AA193" i="9"/>
  <c r="F226" i="9"/>
  <c r="F228" i="9"/>
  <c r="F227" i="9"/>
  <c r="L77" i="9"/>
  <c r="L76" i="9"/>
  <c r="AD69" i="9"/>
  <c r="AG70" i="9"/>
  <c r="BR216" i="9"/>
  <c r="BR213" i="9"/>
  <c r="BR212" i="9"/>
  <c r="AA185" i="9"/>
  <c r="AA191" i="9"/>
  <c r="AA189" i="9"/>
  <c r="AA190" i="9"/>
  <c r="AA188" i="9"/>
  <c r="AA187" i="9"/>
  <c r="AA192" i="9"/>
  <c r="AA194" i="9"/>
  <c r="AA186" i="9"/>
  <c r="CA206" i="9"/>
  <c r="BR210" i="9"/>
  <c r="BR214" i="9"/>
  <c r="BR211" i="9"/>
  <c r="BT217" i="9"/>
  <c r="BW214" i="9" s="1"/>
  <c r="BX214" i="9" s="1"/>
  <c r="BY214" i="9" s="1"/>
  <c r="BZ214" i="9" s="1"/>
  <c r="CA214" i="9" s="1"/>
  <c r="CB214" i="9" s="1"/>
  <c r="DI238" i="9"/>
  <c r="EP245" i="9" s="1"/>
  <c r="CW239" i="9"/>
  <c r="CW243" i="9" s="1"/>
  <c r="CW233" i="9" s="1"/>
  <c r="E152" i="15"/>
  <c r="E160" i="15" s="1"/>
  <c r="AS83" i="15"/>
  <c r="AS43" i="15" s="1"/>
  <c r="CO223" i="9"/>
  <c r="CF224" i="9" s="1"/>
  <c r="BA213" i="9"/>
  <c r="AQ117" i="15" l="1"/>
  <c r="BF83" i="22"/>
  <c r="AD210" i="9"/>
  <c r="M83" i="11"/>
  <c r="N83" i="11" s="1"/>
  <c r="BL219" i="9"/>
  <c r="BK219" i="9"/>
  <c r="AS219" i="9"/>
  <c r="AR219" i="9"/>
  <c r="AS221" i="9"/>
  <c r="AR221" i="9"/>
  <c r="BL221" i="9"/>
  <c r="BK221" i="9"/>
  <c r="DA246" i="9"/>
  <c r="DB246" i="9" s="1"/>
  <c r="AS224" i="9"/>
  <c r="BK224" i="9"/>
  <c r="BM224" i="9" s="1"/>
  <c r="CG224" i="9"/>
  <c r="BP210" i="9"/>
  <c r="BL220" i="9"/>
  <c r="BE111" i="20"/>
  <c r="Z87" i="11"/>
  <c r="Z91" i="11" s="1"/>
  <c r="AA87" i="11" s="1"/>
  <c r="AC91" i="11"/>
  <c r="AF134" i="20"/>
  <c r="AF140" i="20" s="1"/>
  <c r="J196" i="20"/>
  <c r="BG121" i="20"/>
  <c r="BF83" i="15"/>
  <c r="BA102" i="15"/>
  <c r="BA62" i="15" s="1"/>
  <c r="BQ258" i="9"/>
  <c r="F14" i="17" s="1"/>
  <c r="H14" i="17" s="1"/>
  <c r="X129" i="15"/>
  <c r="F229" i="9"/>
  <c r="K226" i="9" s="1"/>
  <c r="L226" i="9" s="1"/>
  <c r="N226" i="9" s="1"/>
  <c r="AJ67" i="9"/>
  <c r="AJ68" i="9"/>
  <c r="AK68" i="9" s="1"/>
  <c r="AL68" i="9" s="1"/>
  <c r="AM68" i="9" s="1"/>
  <c r="AN68" i="9" s="1"/>
  <c r="AO68" i="9" s="1"/>
  <c r="AD70" i="9"/>
  <c r="AJ69" i="9"/>
  <c r="AK69" i="9" s="1"/>
  <c r="AL69" i="9" s="1"/>
  <c r="AM69" i="9" s="1"/>
  <c r="AN69" i="9" s="1"/>
  <c r="AO69" i="9" s="1"/>
  <c r="AA195" i="9"/>
  <c r="BM260" i="9"/>
  <c r="BO260" i="9" s="1"/>
  <c r="BW210" i="9"/>
  <c r="BX210" i="9" s="1"/>
  <c r="BY210" i="9" s="1"/>
  <c r="BW211" i="9"/>
  <c r="BX211" i="9" s="1"/>
  <c r="BY211" i="9" s="1"/>
  <c r="BZ211" i="9" s="1"/>
  <c r="CA211" i="9" s="1"/>
  <c r="CB211" i="9" s="1"/>
  <c r="BR217" i="9"/>
  <c r="BW213" i="9"/>
  <c r="BX213" i="9" s="1"/>
  <c r="BY213" i="9" s="1"/>
  <c r="BZ213" i="9" s="1"/>
  <c r="CA213" i="9" s="1"/>
  <c r="CB213" i="9" s="1"/>
  <c r="BW212" i="9"/>
  <c r="BX212" i="9" s="1"/>
  <c r="BY212" i="9" s="1"/>
  <c r="BZ212" i="9" s="1"/>
  <c r="CA212" i="9" s="1"/>
  <c r="CB212" i="9" s="1"/>
  <c r="BW215" i="9"/>
  <c r="BX215" i="9" s="1"/>
  <c r="BY215" i="9" s="1"/>
  <c r="BZ215" i="9" s="1"/>
  <c r="CA215" i="9" s="1"/>
  <c r="CB215" i="9" s="1"/>
  <c r="BW216" i="9"/>
  <c r="BX216" i="9" s="1"/>
  <c r="BY216" i="9" s="1"/>
  <c r="BZ216" i="9" s="1"/>
  <c r="CA216" i="9" s="1"/>
  <c r="CB216" i="9" s="1"/>
  <c r="BL35" i="9"/>
  <c r="F8" i="17" s="1"/>
  <c r="J36" i="11"/>
  <c r="AX130" i="9"/>
  <c r="AE130" i="9"/>
  <c r="AH130" i="9" s="1"/>
  <c r="BM219" i="9" l="1"/>
  <c r="BF102" i="22"/>
  <c r="AL128" i="22"/>
  <c r="X136" i="22"/>
  <c r="AT221" i="9"/>
  <c r="H8" i="17"/>
  <c r="BE67" i="20"/>
  <c r="BI111" i="20"/>
  <c r="J197" i="20" s="1"/>
  <c r="AT219" i="9"/>
  <c r="AR137" i="9"/>
  <c r="Z138" i="9"/>
  <c r="AA138" i="9" s="1"/>
  <c r="BM221" i="9"/>
  <c r="DF237" i="9"/>
  <c r="DI237" i="9" s="1"/>
  <c r="N240" i="9"/>
  <c r="AH233" i="9"/>
  <c r="N241" i="9" s="1"/>
  <c r="BF102" i="15"/>
  <c r="AC195" i="9"/>
  <c r="AV93" i="20" s="1"/>
  <c r="G14" i="17"/>
  <c r="I14" i="17" s="1"/>
  <c r="BE121" i="20"/>
  <c r="X137" i="15"/>
  <c r="AL129" i="15"/>
  <c r="BR258" i="9"/>
  <c r="C110" i="11" s="1"/>
  <c r="E110" i="11" s="1"/>
  <c r="BQ259" i="9"/>
  <c r="H229" i="9"/>
  <c r="F13" i="17"/>
  <c r="H13" i="17" s="1"/>
  <c r="AK67" i="9"/>
  <c r="AL67" i="9" s="1"/>
  <c r="AM67" i="9" s="1"/>
  <c r="AN67" i="9" s="1"/>
  <c r="AJ70" i="9"/>
  <c r="AN63" i="9"/>
  <c r="AE67" i="9"/>
  <c r="AE68" i="9"/>
  <c r="AE69" i="9"/>
  <c r="BW217" i="9"/>
  <c r="G8" i="17"/>
  <c r="I8" i="17" s="1"/>
  <c r="AE131" i="9"/>
  <c r="I35" i="11" s="1"/>
  <c r="C64" i="11" s="1"/>
  <c r="E64" i="11" s="1"/>
  <c r="N65" i="11" s="1"/>
  <c r="L65" i="11" s="1"/>
  <c r="EB134" i="9"/>
  <c r="EE132" i="9"/>
  <c r="AX131" i="9"/>
  <c r="BA130" i="9"/>
  <c r="BQ130" i="9"/>
  <c r="BT130" i="9" s="1"/>
  <c r="Y46" i="9" l="1"/>
  <c r="BM91" i="22"/>
  <c r="DF241" i="9"/>
  <c r="DA247" i="9"/>
  <c r="DB247" i="9" s="1"/>
  <c r="EP246" i="9"/>
  <c r="BK137" i="9"/>
  <c r="AS137" i="9"/>
  <c r="AT137" i="9" s="1"/>
  <c r="EQ142" i="9"/>
  <c r="ES142" i="9" s="1"/>
  <c r="G13" i="17"/>
  <c r="I13" i="17" s="1"/>
  <c r="BR259" i="9"/>
  <c r="CA254" i="9" s="1"/>
  <c r="BT258" i="9"/>
  <c r="BW258" i="9" s="1"/>
  <c r="BX258" i="9" s="1"/>
  <c r="BY258" i="9" s="1"/>
  <c r="BZ258" i="9" s="1"/>
  <c r="CA258" i="9" s="1"/>
  <c r="CA259" i="9" s="1"/>
  <c r="BL91" i="15"/>
  <c r="E8" i="12"/>
  <c r="M121" i="15"/>
  <c r="AL121" i="15" s="1"/>
  <c r="EL126" i="9"/>
  <c r="EC131" i="9"/>
  <c r="EC130" i="9"/>
  <c r="EC132" i="9"/>
  <c r="EC133" i="9"/>
  <c r="K227" i="9"/>
  <c r="AE70" i="9"/>
  <c r="AN70" i="9"/>
  <c r="AO67" i="9"/>
  <c r="AO70" i="9" s="1"/>
  <c r="AO63" i="9" s="1"/>
  <c r="K111" i="11"/>
  <c r="DG237" i="9"/>
  <c r="EB160" i="9"/>
  <c r="DP233" i="9"/>
  <c r="DU237" i="9" s="1"/>
  <c r="DG238" i="9"/>
  <c r="DG240" i="9"/>
  <c r="DG239" i="9"/>
  <c r="DI241" i="9"/>
  <c r="G35" i="11"/>
  <c r="N35" i="11" s="1"/>
  <c r="AS113" i="9"/>
  <c r="F143" i="9"/>
  <c r="H143" i="9" s="1"/>
  <c r="F157" i="9"/>
  <c r="F146" i="9"/>
  <c r="H146" i="9" s="1"/>
  <c r="F144" i="9"/>
  <c r="H144" i="9" s="1"/>
  <c r="F142" i="9"/>
  <c r="H142" i="9" s="1"/>
  <c r="F148" i="9"/>
  <c r="H148" i="9" s="1"/>
  <c r="AE132" i="9"/>
  <c r="AO126" i="9" s="1"/>
  <c r="F147" i="9"/>
  <c r="H147" i="9" s="1"/>
  <c r="F145" i="9"/>
  <c r="H145" i="9" s="1"/>
  <c r="J35" i="11"/>
  <c r="F141" i="9"/>
  <c r="AH131" i="9"/>
  <c r="BQ131" i="9"/>
  <c r="BK115" i="9"/>
  <c r="BM115" i="9" s="1"/>
  <c r="BK114" i="9"/>
  <c r="BM114" i="9" s="1"/>
  <c r="BA131" i="9"/>
  <c r="BK113" i="9"/>
  <c r="AX132" i="9"/>
  <c r="BH126" i="9" s="1"/>
  <c r="EE134" i="9"/>
  <c r="EH132" i="9" s="1"/>
  <c r="EI132" i="9" s="1"/>
  <c r="EJ132" i="9" s="1"/>
  <c r="EK132" i="9" s="1"/>
  <c r="EL132" i="9" s="1"/>
  <c r="EG237" i="9" l="1"/>
  <c r="EG239" i="9"/>
  <c r="EH239" i="9" s="1"/>
  <c r="EI239" i="9" s="1"/>
  <c r="EJ239" i="9" s="1"/>
  <c r="EK239" i="9" s="1"/>
  <c r="EL239" i="9" s="1"/>
  <c r="EG240" i="9"/>
  <c r="EH240" i="9" s="1"/>
  <c r="EI240" i="9" s="1"/>
  <c r="EJ240" i="9" s="1"/>
  <c r="EK240" i="9" s="1"/>
  <c r="EL240" i="9" s="1"/>
  <c r="EG238" i="9"/>
  <c r="EH238" i="9" s="1"/>
  <c r="EI238" i="9" s="1"/>
  <c r="EJ238" i="9" s="1"/>
  <c r="EK238" i="9" s="1"/>
  <c r="EL238" i="9" s="1"/>
  <c r="EB237" i="9"/>
  <c r="EB240" i="9"/>
  <c r="EB239" i="9"/>
  <c r="EB238" i="9"/>
  <c r="DW107" i="9"/>
  <c r="EB105" i="9" s="1"/>
  <c r="AL131" i="22"/>
  <c r="AF136" i="22"/>
  <c r="M136" i="22"/>
  <c r="AL120" i="22"/>
  <c r="BA85" i="15"/>
  <c r="BA45" i="15" s="1"/>
  <c r="K155" i="9"/>
  <c r="F10" i="17" s="1"/>
  <c r="H10" i="17" s="1"/>
  <c r="H157" i="9"/>
  <c r="F18" i="17"/>
  <c r="G18" i="17" s="1"/>
  <c r="I18" i="17" s="1"/>
  <c r="EC105" i="9"/>
  <c r="BA132" i="9"/>
  <c r="BD130" i="9" s="1"/>
  <c r="BE130" i="9" s="1"/>
  <c r="BF130" i="9" s="1"/>
  <c r="BG130" i="9" s="1"/>
  <c r="BH130" i="9" s="1"/>
  <c r="AS139" i="9"/>
  <c r="BK139" i="9"/>
  <c r="AH132" i="9"/>
  <c r="AK130" i="9" s="1"/>
  <c r="AL130" i="9" s="1"/>
  <c r="AM130" i="9" s="1"/>
  <c r="AN130" i="9" s="1"/>
  <c r="AO130" i="9" s="1"/>
  <c r="AR139" i="9"/>
  <c r="Z140" i="9"/>
  <c r="AA140" i="9" s="1"/>
  <c r="AR140" i="9"/>
  <c r="AR138" i="9"/>
  <c r="AS140" i="9"/>
  <c r="BK138" i="9"/>
  <c r="AS138" i="9"/>
  <c r="BK140" i="9"/>
  <c r="BL137" i="9"/>
  <c r="BM137" i="9" s="1"/>
  <c r="BT259" i="9"/>
  <c r="CB259" i="9" s="1"/>
  <c r="CB254" i="9" s="1"/>
  <c r="BD89" i="20" s="1"/>
  <c r="DV131" i="9"/>
  <c r="D34" i="12" s="1"/>
  <c r="DW120" i="9"/>
  <c r="EB118" i="9" s="1"/>
  <c r="EC118" i="9" s="1"/>
  <c r="C280" i="11" s="1"/>
  <c r="ES117" i="9"/>
  <c r="F16" i="17" s="1"/>
  <c r="CE139" i="9"/>
  <c r="CG139" i="9" s="1"/>
  <c r="AU113" i="9"/>
  <c r="AX93" i="20" s="1"/>
  <c r="W46" i="9"/>
  <c r="L6" i="13" s="1"/>
  <c r="P124" i="20"/>
  <c r="AO124" i="20" s="1"/>
  <c r="H212" i="20" s="1"/>
  <c r="BO95" i="20"/>
  <c r="BP95" i="20" s="1"/>
  <c r="AH134" i="15"/>
  <c r="AL134" i="15" s="1"/>
  <c r="BE112" i="15"/>
  <c r="BE72" i="15" s="1"/>
  <c r="S125" i="15"/>
  <c r="AL125" i="15" s="1"/>
  <c r="AX97" i="15"/>
  <c r="AX57" i="15" s="1"/>
  <c r="AF132" i="15"/>
  <c r="AL132" i="15" s="1"/>
  <c r="AU92" i="15"/>
  <c r="AU52" i="15" s="1"/>
  <c r="N122" i="15"/>
  <c r="N137" i="15" s="1"/>
  <c r="M137" i="15"/>
  <c r="E209" i="15"/>
  <c r="F149" i="9"/>
  <c r="K144" i="9" s="1"/>
  <c r="F9" i="17" s="1"/>
  <c r="L227" i="9"/>
  <c r="U222" i="9" s="1"/>
  <c r="C222" i="11"/>
  <c r="EB106" i="9"/>
  <c r="L155" i="9"/>
  <c r="I111" i="11"/>
  <c r="C116" i="11"/>
  <c r="K110" i="11"/>
  <c r="E111" i="11" s="1"/>
  <c r="CB258" i="9"/>
  <c r="DA237" i="9"/>
  <c r="EL152" i="9"/>
  <c r="DL237" i="9"/>
  <c r="DM237" i="9" s="1"/>
  <c r="DN237" i="9" s="1"/>
  <c r="DO237" i="9" s="1"/>
  <c r="DP237" i="9" s="1"/>
  <c r="DG241" i="9"/>
  <c r="DL240" i="9"/>
  <c r="DM240" i="9" s="1"/>
  <c r="DN240" i="9" s="1"/>
  <c r="DO240" i="9" s="1"/>
  <c r="DP240" i="9" s="1"/>
  <c r="DQ240" i="9" s="1"/>
  <c r="DL239" i="9"/>
  <c r="DM239" i="9" s="1"/>
  <c r="DN239" i="9" s="1"/>
  <c r="DO239" i="9" s="1"/>
  <c r="DP239" i="9" s="1"/>
  <c r="DQ239" i="9" s="1"/>
  <c r="DL238" i="9"/>
  <c r="DM238" i="9" s="1"/>
  <c r="DN238" i="9" s="1"/>
  <c r="DO238" i="9" s="1"/>
  <c r="DP238" i="9" s="1"/>
  <c r="DC237" i="9" s="1"/>
  <c r="N38" i="11"/>
  <c r="N36" i="11"/>
  <c r="F35" i="11"/>
  <c r="F38" i="11" s="1"/>
  <c r="G38" i="11" s="1"/>
  <c r="H141" i="9"/>
  <c r="H149" i="9" s="1"/>
  <c r="AS130" i="9"/>
  <c r="BQ132" i="9"/>
  <c r="BM113" i="9"/>
  <c r="BM116" i="9" s="1"/>
  <c r="BA93" i="20" s="1"/>
  <c r="BK116" i="9"/>
  <c r="F11" i="17" s="1"/>
  <c r="BT131" i="9"/>
  <c r="BL140" i="9" s="1"/>
  <c r="EH130" i="9"/>
  <c r="EH133" i="9"/>
  <c r="EI133" i="9" s="1"/>
  <c r="EJ133" i="9" s="1"/>
  <c r="EK133" i="9" s="1"/>
  <c r="EL133" i="9" s="1"/>
  <c r="EM133" i="9" s="1"/>
  <c r="EH131" i="9"/>
  <c r="EI131" i="9" s="1"/>
  <c r="EJ131" i="9" s="1"/>
  <c r="EK131" i="9" s="1"/>
  <c r="EL131" i="9" s="1"/>
  <c r="EM132" i="9"/>
  <c r="DY107" i="9" l="1"/>
  <c r="EB241" i="9"/>
  <c r="K156" i="9"/>
  <c r="EG241" i="9"/>
  <c r="EH237" i="9"/>
  <c r="EI237" i="9" s="1"/>
  <c r="EJ237" i="9" s="1"/>
  <c r="EK237" i="9" s="1"/>
  <c r="BF92" i="22"/>
  <c r="AU117" i="22"/>
  <c r="N136" i="22"/>
  <c r="AX117" i="22"/>
  <c r="BF97" i="22"/>
  <c r="S136" i="22"/>
  <c r="AL124" i="22"/>
  <c r="AL133" i="22"/>
  <c r="AH136" i="22"/>
  <c r="BF112" i="22"/>
  <c r="G10" i="17"/>
  <c r="I10" i="17" s="1"/>
  <c r="AT139" i="9"/>
  <c r="BD131" i="9"/>
  <c r="BE131" i="9" s="1"/>
  <c r="BF131" i="9" s="1"/>
  <c r="BG131" i="9" s="1"/>
  <c r="BH131" i="9" s="1"/>
  <c r="BI131" i="9" s="1"/>
  <c r="H18" i="17"/>
  <c r="BL138" i="9"/>
  <c r="BM138" i="9" s="1"/>
  <c r="EU117" i="9"/>
  <c r="BH93" i="20" s="1"/>
  <c r="AK131" i="9"/>
  <c r="AL131" i="9" s="1"/>
  <c r="AM131" i="9" s="1"/>
  <c r="AN131" i="9" s="1"/>
  <c r="AO131" i="9" s="1"/>
  <c r="AP131" i="9" s="1"/>
  <c r="AT138" i="9"/>
  <c r="EB119" i="9"/>
  <c r="F17" i="17"/>
  <c r="G17" i="17" s="1"/>
  <c r="I17" i="17" s="1"/>
  <c r="DY120" i="9"/>
  <c r="BM140" i="9"/>
  <c r="E280" i="11"/>
  <c r="K280" i="11" s="1"/>
  <c r="C288" i="11"/>
  <c r="C287" i="11" s="1"/>
  <c r="C290" i="11" s="1"/>
  <c r="AT140" i="9"/>
  <c r="H9" i="17"/>
  <c r="G16" i="17"/>
  <c r="I16" i="17" s="1"/>
  <c r="H16" i="17"/>
  <c r="CE141" i="9"/>
  <c r="BL139" i="9"/>
  <c r="BM139" i="9" s="1"/>
  <c r="G11" i="17"/>
  <c r="I11" i="17" s="1"/>
  <c r="H11" i="17"/>
  <c r="G9" i="17"/>
  <c r="I9" i="17" s="1"/>
  <c r="P140" i="20"/>
  <c r="N227" i="9"/>
  <c r="Q226" i="9" s="1"/>
  <c r="R226" i="9" s="1"/>
  <c r="S226" i="9" s="1"/>
  <c r="AH232" i="9"/>
  <c r="Z234" i="9" s="1"/>
  <c r="AH231" i="9"/>
  <c r="Y234" i="9"/>
  <c r="Y233" i="9"/>
  <c r="BF112" i="15"/>
  <c r="AU130" i="9"/>
  <c r="F16" i="14" s="1"/>
  <c r="S137" i="15"/>
  <c r="AF137" i="15"/>
  <c r="AU117" i="15"/>
  <c r="BF92" i="15"/>
  <c r="AX117" i="15"/>
  <c r="BF97" i="15"/>
  <c r="AS86" i="15"/>
  <c r="AS46" i="15" s="1"/>
  <c r="E222" i="11"/>
  <c r="C264" i="11"/>
  <c r="E264" i="11" s="1"/>
  <c r="EE105" i="9"/>
  <c r="EC106" i="9"/>
  <c r="EL101" i="9" s="1"/>
  <c r="EE118" i="9"/>
  <c r="EC119" i="9"/>
  <c r="EL114" i="9" s="1"/>
  <c r="N155" i="9"/>
  <c r="C247" i="11"/>
  <c r="L156" i="9"/>
  <c r="U151" i="9" s="1"/>
  <c r="L144" i="9"/>
  <c r="K145" i="9"/>
  <c r="C115" i="11"/>
  <c r="E115" i="11" s="1"/>
  <c r="E116" i="11" s="1"/>
  <c r="I110" i="11"/>
  <c r="DQ238" i="9"/>
  <c r="DC239" i="9" s="1"/>
  <c r="DQ237" i="9"/>
  <c r="DP241" i="9"/>
  <c r="DL241" i="9"/>
  <c r="CA126" i="9"/>
  <c r="F17" i="12"/>
  <c r="F39" i="11"/>
  <c r="G39" i="11" s="1"/>
  <c r="O38" i="11" s="1"/>
  <c r="E35" i="11"/>
  <c r="E39" i="11" s="1"/>
  <c r="V14" i="11" s="1"/>
  <c r="I38" i="11"/>
  <c r="CL143" i="9" s="1"/>
  <c r="CO143" i="9" s="1"/>
  <c r="O36" i="11"/>
  <c r="AP130" i="9"/>
  <c r="EM131" i="9"/>
  <c r="EH134" i="9"/>
  <c r="EI130" i="9"/>
  <c r="EJ130" i="9" s="1"/>
  <c r="EK130" i="9" s="1"/>
  <c r="EL130" i="9" s="1"/>
  <c r="BT132" i="9"/>
  <c r="BW130" i="9" s="1"/>
  <c r="BI130" i="9"/>
  <c r="EK241" i="9" l="1"/>
  <c r="EL237" i="9"/>
  <c r="EL241" i="9" s="1"/>
  <c r="EL233" i="9" s="1"/>
  <c r="BH132" i="9"/>
  <c r="BD132" i="9"/>
  <c r="I159" i="22"/>
  <c r="J159" i="22"/>
  <c r="H17" i="17"/>
  <c r="AK132" i="9"/>
  <c r="AO132" i="9"/>
  <c r="K281" i="11"/>
  <c r="I281" i="11" s="1"/>
  <c r="C291" i="11"/>
  <c r="Z233" i="9"/>
  <c r="AA233" i="9" s="1"/>
  <c r="AA234" i="9"/>
  <c r="W128" i="15"/>
  <c r="AL128" i="15" s="1"/>
  <c r="AZ101" i="15"/>
  <c r="AZ61" i="15" s="1"/>
  <c r="BE85" i="15"/>
  <c r="BE45" i="15" s="1"/>
  <c r="I156" i="15"/>
  <c r="I160" i="15" s="1"/>
  <c r="AR87" i="15"/>
  <c r="AR47" i="15" s="1"/>
  <c r="BE88" i="15"/>
  <c r="BE48" i="15" s="1"/>
  <c r="J157" i="15"/>
  <c r="J160" i="15" s="1"/>
  <c r="C232" i="11"/>
  <c r="K223" i="11"/>
  <c r="I223" i="11" s="1"/>
  <c r="AE232" i="9" s="1"/>
  <c r="K222" i="11"/>
  <c r="E223" i="11"/>
  <c r="EE106" i="9"/>
  <c r="EH105" i="9" s="1"/>
  <c r="EI105" i="9" s="1"/>
  <c r="EJ105" i="9" s="1"/>
  <c r="EK105" i="9" s="1"/>
  <c r="EL105" i="9" s="1"/>
  <c r="EM105" i="9" s="1"/>
  <c r="K265" i="11"/>
  <c r="I265" i="11" s="1"/>
  <c r="K264" i="11"/>
  <c r="E265" i="11"/>
  <c r="I280" i="11"/>
  <c r="EE119" i="9"/>
  <c r="EH118" i="9" s="1"/>
  <c r="EI118" i="9" s="1"/>
  <c r="EJ118" i="9" s="1"/>
  <c r="EK118" i="9" s="1"/>
  <c r="EL118" i="9" s="1"/>
  <c r="EM118" i="9" s="1"/>
  <c r="N156" i="9"/>
  <c r="Q155" i="9" s="1"/>
  <c r="R155" i="9" s="1"/>
  <c r="S155" i="9" s="1"/>
  <c r="T155" i="9" s="1"/>
  <c r="U155" i="9" s="1"/>
  <c r="V155" i="9" s="1"/>
  <c r="E247" i="11"/>
  <c r="N144" i="9"/>
  <c r="L145" i="9"/>
  <c r="U140" i="9" s="1"/>
  <c r="E112" i="11"/>
  <c r="K112" i="11" s="1"/>
  <c r="C111" i="11"/>
  <c r="D16" i="14"/>
  <c r="D18" i="14"/>
  <c r="DQ241" i="9"/>
  <c r="DQ233" i="9" s="1"/>
  <c r="BL130" i="9"/>
  <c r="G17" i="12" s="1"/>
  <c r="F14" i="12"/>
  <c r="E38" i="11"/>
  <c r="V18" i="11" s="1"/>
  <c r="G44" i="11"/>
  <c r="I39" i="11"/>
  <c r="CL118" i="9" s="1"/>
  <c r="CO118" i="9" s="1"/>
  <c r="O35" i="11"/>
  <c r="J38" i="11"/>
  <c r="BI132" i="9"/>
  <c r="BI126" i="9" s="1"/>
  <c r="AP132" i="9"/>
  <c r="AP126" i="9" s="1"/>
  <c r="AX96" i="20" s="1"/>
  <c r="E31" i="12"/>
  <c r="EM130" i="9"/>
  <c r="DX133" i="9" s="1"/>
  <c r="D35" i="14" s="1"/>
  <c r="BX130" i="9"/>
  <c r="BY130" i="9" s="1"/>
  <c r="BZ130" i="9" s="1"/>
  <c r="CA130" i="9" s="1"/>
  <c r="BW131" i="9"/>
  <c r="BX131" i="9" s="1"/>
  <c r="BY131" i="9" s="1"/>
  <c r="BZ131" i="9" s="1"/>
  <c r="CA131" i="9" s="1"/>
  <c r="CB131" i="9" s="1"/>
  <c r="CZ237" i="9" l="1"/>
  <c r="DT237" i="9"/>
  <c r="DW239" i="9"/>
  <c r="DW238" i="9"/>
  <c r="H159" i="22"/>
  <c r="BF88" i="22"/>
  <c r="BF87" i="22"/>
  <c r="W136" i="22"/>
  <c r="AL127" i="22"/>
  <c r="BF101" i="22"/>
  <c r="E287" i="11"/>
  <c r="G287" i="11" s="1"/>
  <c r="H287" i="11" s="1"/>
  <c r="E281" i="11"/>
  <c r="G281" i="11" s="1"/>
  <c r="W137" i="15"/>
  <c r="BI96" i="20"/>
  <c r="Y142" i="9"/>
  <c r="Y139" i="9"/>
  <c r="BA101" i="20"/>
  <c r="CF141" i="9"/>
  <c r="CG141" i="9" s="1"/>
  <c r="BF88" i="15"/>
  <c r="BF101" i="15"/>
  <c r="BF87" i="15"/>
  <c r="CB130" i="9"/>
  <c r="BN132" i="9" s="1"/>
  <c r="BN130" i="9"/>
  <c r="V128" i="20"/>
  <c r="AU131" i="9"/>
  <c r="F17" i="14" s="1"/>
  <c r="DC238" i="9"/>
  <c r="AI135" i="20"/>
  <c r="AR130" i="9"/>
  <c r="Q125" i="20"/>
  <c r="Q140" i="20" s="1"/>
  <c r="AU132" i="9"/>
  <c r="F18" i="14" s="1"/>
  <c r="AH147" i="9"/>
  <c r="Z142" i="9" s="1"/>
  <c r="AH146" i="9"/>
  <c r="AR86" i="15"/>
  <c r="AR46" i="15" s="1"/>
  <c r="H155" i="15"/>
  <c r="H160" i="15" s="1"/>
  <c r="C223" i="11"/>
  <c r="E224" i="11"/>
  <c r="I222" i="11"/>
  <c r="AE231" i="9" s="1"/>
  <c r="C230" i="11"/>
  <c r="C231" i="11"/>
  <c r="I264" i="11"/>
  <c r="EM106" i="9"/>
  <c r="EM101" i="9" s="1"/>
  <c r="F28" i="17" s="1"/>
  <c r="G28" i="17" s="1"/>
  <c r="EL106" i="9"/>
  <c r="E266" i="11"/>
  <c r="C265" i="11"/>
  <c r="EM119" i="9"/>
  <c r="EM114" i="9" s="1"/>
  <c r="EL119" i="9"/>
  <c r="E248" i="11"/>
  <c r="K248" i="11"/>
  <c r="I248" i="11" s="1"/>
  <c r="K247" i="11"/>
  <c r="V156" i="9"/>
  <c r="V151" i="9" s="1"/>
  <c r="F27" i="17" s="1"/>
  <c r="G27" i="17" s="1"/>
  <c r="U156" i="9"/>
  <c r="N167" i="9"/>
  <c r="Y141" i="9" s="1"/>
  <c r="N145" i="9"/>
  <c r="Q144" i="9" s="1"/>
  <c r="R144" i="9" s="1"/>
  <c r="S144" i="9" s="1"/>
  <c r="I112" i="11"/>
  <c r="C112" i="11"/>
  <c r="D14" i="12"/>
  <c r="BF82" i="15"/>
  <c r="D17" i="14"/>
  <c r="BT144" i="9"/>
  <c r="CE142" i="9" s="1"/>
  <c r="D16" i="12"/>
  <c r="I44" i="11"/>
  <c r="J39" i="11"/>
  <c r="J44" i="11" s="1"/>
  <c r="CL119" i="9"/>
  <c r="CV114" i="9" s="1"/>
  <c r="D33" i="12"/>
  <c r="EM134" i="9"/>
  <c r="EM126" i="9" s="1"/>
  <c r="CO119" i="9"/>
  <c r="CR118" i="9" s="1"/>
  <c r="CS118" i="9" s="1"/>
  <c r="BW132" i="9"/>
  <c r="CA132" i="9"/>
  <c r="E282" i="11" l="1"/>
  <c r="E283" i="11" s="1"/>
  <c r="C281" i="11"/>
  <c r="BM104" i="22"/>
  <c r="BF86" i="22"/>
  <c r="G232" i="11"/>
  <c r="G231" i="11" s="1"/>
  <c r="G230" i="11" s="1"/>
  <c r="C236" i="11"/>
  <c r="E232" i="11"/>
  <c r="E230" i="11" s="1"/>
  <c r="C237" i="11"/>
  <c r="BI101" i="20"/>
  <c r="J187" i="20" s="1"/>
  <c r="Z139" i="9"/>
  <c r="AA139" i="9" s="1"/>
  <c r="Z141" i="9"/>
  <c r="AA141" i="9" s="1"/>
  <c r="AA142" i="9"/>
  <c r="BF86" i="15"/>
  <c r="BH89" i="20"/>
  <c r="BH92" i="20"/>
  <c r="BI92" i="20" s="1"/>
  <c r="M160" i="20"/>
  <c r="M163" i="20" s="1"/>
  <c r="AX121" i="20"/>
  <c r="J182" i="20"/>
  <c r="AO135" i="20"/>
  <c r="AI140" i="20"/>
  <c r="AU91" i="20"/>
  <c r="BI91" i="20" s="1"/>
  <c r="L159" i="20"/>
  <c r="L163" i="20" s="1"/>
  <c r="BA121" i="20"/>
  <c r="V140" i="20"/>
  <c r="AO128" i="20"/>
  <c r="BH116" i="20"/>
  <c r="BI116" i="20" s="1"/>
  <c r="AK137" i="20"/>
  <c r="Z130" i="15"/>
  <c r="Z137" i="15" s="1"/>
  <c r="BL104" i="15"/>
  <c r="BM104" i="15" s="1"/>
  <c r="AH137" i="15"/>
  <c r="K224" i="11"/>
  <c r="C224" i="11"/>
  <c r="C225" i="11" s="1"/>
  <c r="E225" i="11"/>
  <c r="K240" i="9"/>
  <c r="C266" i="11"/>
  <c r="C267" i="11" s="1"/>
  <c r="K266" i="11"/>
  <c r="E267" i="11"/>
  <c r="K282" i="11"/>
  <c r="C282" i="11"/>
  <c r="C283" i="11" s="1"/>
  <c r="M282" i="11"/>
  <c r="J275" i="11" s="1"/>
  <c r="AE146" i="9"/>
  <c r="AE147" i="9"/>
  <c r="I247" i="11"/>
  <c r="E249" i="11"/>
  <c r="C248" i="11"/>
  <c r="K167" i="9"/>
  <c r="N168" i="9"/>
  <c r="Y143" i="9" s="1"/>
  <c r="C113" i="11"/>
  <c r="I113" i="11"/>
  <c r="BM102" i="15"/>
  <c r="F13" i="13"/>
  <c r="BM91" i="15"/>
  <c r="D54" i="11"/>
  <c r="E60" i="11"/>
  <c r="N60" i="11" s="1"/>
  <c r="G16" i="14"/>
  <c r="D15" i="12"/>
  <c r="F15" i="12"/>
  <c r="F16" i="12"/>
  <c r="DX132" i="9"/>
  <c r="D34" i="14" s="1"/>
  <c r="DU131" i="9"/>
  <c r="CB132" i="9"/>
  <c r="CB126" i="9" s="1"/>
  <c r="G18" i="14"/>
  <c r="CT118" i="9"/>
  <c r="CU118" i="9" s="1"/>
  <c r="CV118" i="9" s="1"/>
  <c r="Z136" i="22" l="1"/>
  <c r="E231" i="11"/>
  <c r="C238" i="11"/>
  <c r="N230" i="11" s="1"/>
  <c r="E61" i="11"/>
  <c r="N61" i="11" s="1"/>
  <c r="BC105" i="20"/>
  <c r="BK130" i="9"/>
  <c r="J177" i="20"/>
  <c r="J178" i="20"/>
  <c r="BN131" i="9"/>
  <c r="G17" i="14" s="1"/>
  <c r="Z131" i="20"/>
  <c r="AO137" i="20"/>
  <c r="AK140" i="20"/>
  <c r="AE233" i="9"/>
  <c r="K241" i="9"/>
  <c r="K242" i="9" s="1"/>
  <c r="U236" i="9" s="1"/>
  <c r="I224" i="11"/>
  <c r="I225" i="11" s="1"/>
  <c r="K225" i="11"/>
  <c r="I282" i="11"/>
  <c r="I283" i="11" s="1"/>
  <c r="K283" i="11"/>
  <c r="I266" i="11"/>
  <c r="I267" i="11" s="1"/>
  <c r="K267" i="11"/>
  <c r="K168" i="9"/>
  <c r="K169" i="9" s="1"/>
  <c r="U163" i="9" s="1"/>
  <c r="AH148" i="9"/>
  <c r="Z143" i="9" s="1"/>
  <c r="AA143" i="9" s="1"/>
  <c r="K249" i="11"/>
  <c r="C249" i="11"/>
  <c r="C250" i="11" s="1"/>
  <c r="E250" i="11"/>
  <c r="N169" i="9"/>
  <c r="Q167" i="9" s="1"/>
  <c r="R167" i="9" s="1"/>
  <c r="S167" i="9" s="1"/>
  <c r="T167" i="9" s="1"/>
  <c r="U167" i="9" s="1"/>
  <c r="V167" i="9" s="1"/>
  <c r="G14" i="12"/>
  <c r="G16" i="12"/>
  <c r="D32" i="12"/>
  <c r="CW118" i="9"/>
  <c r="CW119" i="9" s="1"/>
  <c r="CW114" i="9" s="1"/>
  <c r="CV119" i="9"/>
  <c r="AS117" i="22" l="1"/>
  <c r="AR117" i="22"/>
  <c r="M230" i="11"/>
  <c r="BI105" i="20"/>
  <c r="J191" i="20" s="1"/>
  <c r="C61" i="11"/>
  <c r="AO131" i="20"/>
  <c r="Z140" i="20"/>
  <c r="AC133" i="20"/>
  <c r="AC140" i="20" s="1"/>
  <c r="BO108" i="20"/>
  <c r="BP108" i="20" s="1"/>
  <c r="AR84" i="15"/>
  <c r="AR44" i="15" s="1"/>
  <c r="AS84" i="15"/>
  <c r="AS44" i="15" s="1"/>
  <c r="AE234" i="9"/>
  <c r="L168" i="9"/>
  <c r="Q168" i="9"/>
  <c r="R168" i="9" s="1"/>
  <c r="S168" i="9" s="1"/>
  <c r="T168" i="9" s="1"/>
  <c r="U168" i="9" s="1"/>
  <c r="U169" i="9" s="1"/>
  <c r="AE148" i="9"/>
  <c r="AH149" i="9"/>
  <c r="AK148" i="9" s="1"/>
  <c r="AL148" i="9" s="1"/>
  <c r="AM148" i="9" s="1"/>
  <c r="AN148" i="9" s="1"/>
  <c r="AO148" i="9" s="1"/>
  <c r="AP148" i="9" s="1"/>
  <c r="I249" i="11"/>
  <c r="I250" i="11" s="1"/>
  <c r="K250" i="11"/>
  <c r="L167" i="9"/>
  <c r="G15" i="12"/>
  <c r="O230" i="11" l="1"/>
  <c r="P230" i="11" s="1"/>
  <c r="BQ145" i="9"/>
  <c r="CL146" i="9"/>
  <c r="CO146" i="9" s="1"/>
  <c r="L61" i="11"/>
  <c r="AS117" i="15"/>
  <c r="L169" i="9"/>
  <c r="V168" i="9"/>
  <c r="V169" i="9" s="1"/>
  <c r="V163" i="9" s="1"/>
  <c r="AR117" i="15"/>
  <c r="AF233" i="9"/>
  <c r="AF232" i="9"/>
  <c r="AF231" i="9"/>
  <c r="AK146" i="9"/>
  <c r="AK147" i="9"/>
  <c r="AL147" i="9" s="1"/>
  <c r="AM147" i="9" s="1"/>
  <c r="AN147" i="9" s="1"/>
  <c r="AO147" i="9" s="1"/>
  <c r="AP147" i="9" s="1"/>
  <c r="AE149" i="9"/>
  <c r="AH212" i="9"/>
  <c r="AH213" i="9"/>
  <c r="BA214" i="9"/>
  <c r="H228" i="9"/>
  <c r="AC194" i="9"/>
  <c r="AC193" i="9"/>
  <c r="AC189" i="9"/>
  <c r="H226" i="9"/>
  <c r="AC190" i="9"/>
  <c r="H227" i="9"/>
  <c r="AC191" i="9"/>
  <c r="AC186" i="9"/>
  <c r="AC188" i="9"/>
  <c r="AC185" i="9"/>
  <c r="BA216" i="9"/>
  <c r="CO226" i="9"/>
  <c r="CF227" i="9" s="1"/>
  <c r="CG227" i="9" s="1"/>
  <c r="AC187" i="9"/>
  <c r="AC192" i="9"/>
  <c r="AH216" i="9"/>
  <c r="P63" i="9" l="1"/>
  <c r="T63" i="9" s="1"/>
  <c r="U63" i="9" s="1"/>
  <c r="V63" i="9" s="1"/>
  <c r="P226" i="9"/>
  <c r="T226" i="9" s="1"/>
  <c r="U226" i="9" s="1"/>
  <c r="V226" i="9" s="1"/>
  <c r="P144" i="9"/>
  <c r="T144" i="9" s="1"/>
  <c r="U144" i="9" s="1"/>
  <c r="V144" i="9" s="1"/>
  <c r="V227" i="9"/>
  <c r="V222" i="9" s="1"/>
  <c r="AV90" i="20" s="1"/>
  <c r="U227" i="9"/>
  <c r="V64" i="9"/>
  <c r="V59" i="9" s="1"/>
  <c r="U64" i="9"/>
  <c r="V145" i="9"/>
  <c r="V140" i="9" s="1"/>
  <c r="U145" i="9"/>
  <c r="CF143" i="9"/>
  <c r="BQ146" i="9"/>
  <c r="BT145" i="9"/>
  <c r="AS225" i="9"/>
  <c r="BK225" i="9"/>
  <c r="BM225" i="9" s="1"/>
  <c r="AR227" i="9"/>
  <c r="Z242" i="9"/>
  <c r="AA242" i="9" s="1"/>
  <c r="BK227" i="9"/>
  <c r="BM227" i="9" s="1"/>
  <c r="AS227" i="9"/>
  <c r="Z239" i="9"/>
  <c r="AA239" i="9" s="1"/>
  <c r="AR224" i="9"/>
  <c r="AT224" i="9" s="1"/>
  <c r="Z238" i="9"/>
  <c r="AA238" i="9" s="1"/>
  <c r="AR223" i="9"/>
  <c r="AU88" i="20"/>
  <c r="AF147" i="9"/>
  <c r="AO142" i="9"/>
  <c r="AF146" i="9"/>
  <c r="AF148" i="9"/>
  <c r="AK149" i="9"/>
  <c r="AL146" i="9"/>
  <c r="AM146" i="9" s="1"/>
  <c r="AN146" i="9" s="1"/>
  <c r="AO146" i="9" s="1"/>
  <c r="AH215" i="9"/>
  <c r="AH214" i="9"/>
  <c r="CO224" i="9"/>
  <c r="CF225" i="9" s="1"/>
  <c r="CG225" i="9" s="1"/>
  <c r="BA215" i="9"/>
  <c r="BM93" i="22" l="1"/>
  <c r="AT90" i="20"/>
  <c r="AA46" i="9"/>
  <c r="Q29" i="9"/>
  <c r="Q28" i="9"/>
  <c r="K158" i="20"/>
  <c r="K163" i="20" s="1"/>
  <c r="F24" i="17"/>
  <c r="G24" i="17" s="1"/>
  <c r="AU90" i="20"/>
  <c r="AU121" i="20" s="1"/>
  <c r="AA130" i="9"/>
  <c r="AA132" i="9"/>
  <c r="E18" i="14" s="1"/>
  <c r="CE143" i="9"/>
  <c r="CG143" i="9" s="1"/>
  <c r="BT146" i="9"/>
  <c r="BW144" i="9" s="1"/>
  <c r="CA140" i="9"/>
  <c r="BR144" i="9"/>
  <c r="BR145" i="9"/>
  <c r="BK226" i="9"/>
  <c r="BM226" i="9" s="1"/>
  <c r="AS226" i="9"/>
  <c r="AT227" i="9"/>
  <c r="Z240" i="9"/>
  <c r="AA240" i="9" s="1"/>
  <c r="AR225" i="9"/>
  <c r="AT225" i="9" s="1"/>
  <c r="Z241" i="9"/>
  <c r="AA241" i="9" s="1"/>
  <c r="AR226" i="9"/>
  <c r="O122" i="15"/>
  <c r="O137" i="15" s="1"/>
  <c r="Y130" i="9"/>
  <c r="E17" i="12" s="1"/>
  <c r="BL93" i="15"/>
  <c r="AO149" i="9"/>
  <c r="AP146" i="9"/>
  <c r="AP149" i="9" s="1"/>
  <c r="AP142" i="9" s="1"/>
  <c r="AF149" i="9"/>
  <c r="BA211" i="9"/>
  <c r="CO225" i="9"/>
  <c r="CF226" i="9" s="1"/>
  <c r="CG226" i="9" s="1"/>
  <c r="AZ84" i="15" l="1"/>
  <c r="AZ44" i="15" s="1"/>
  <c r="O136" i="22"/>
  <c r="AL121" i="22"/>
  <c r="E16" i="12"/>
  <c r="BI90" i="20"/>
  <c r="J176" i="20" s="1"/>
  <c r="E16" i="14"/>
  <c r="E14" i="12"/>
  <c r="AT226" i="9"/>
  <c r="E5" i="12"/>
  <c r="E7" i="14"/>
  <c r="D8" i="14"/>
  <c r="D6" i="12"/>
  <c r="D7" i="12"/>
  <c r="D9" i="14"/>
  <c r="BW145" i="9"/>
  <c r="BX145" i="9" s="1"/>
  <c r="BY145" i="9" s="1"/>
  <c r="BZ145" i="9" s="1"/>
  <c r="CA145" i="9" s="1"/>
  <c r="CB145" i="9" s="1"/>
  <c r="BX144" i="9"/>
  <c r="BY144" i="9" s="1"/>
  <c r="BZ144" i="9" s="1"/>
  <c r="CA144" i="9" s="1"/>
  <c r="AS222" i="9"/>
  <c r="BK222" i="9"/>
  <c r="BM222" i="9" s="1"/>
  <c r="R125" i="20"/>
  <c r="AO125" i="20" s="1"/>
  <c r="W130" i="9"/>
  <c r="L12" i="13" s="1"/>
  <c r="BO97" i="20"/>
  <c r="BP97" i="20" s="1"/>
  <c r="AA131" i="9"/>
  <c r="X130" i="9"/>
  <c r="AL122" i="15"/>
  <c r="CO221" i="9"/>
  <c r="CF222" i="9" s="1"/>
  <c r="CG222" i="9" s="1"/>
  <c r="CV217" i="9"/>
  <c r="CM223" i="9"/>
  <c r="CM226" i="9"/>
  <c r="CM224" i="9"/>
  <c r="CM225" i="9"/>
  <c r="CM222" i="9"/>
  <c r="CO222" i="9"/>
  <c r="E21" i="13" l="1"/>
  <c r="E23" i="13" s="1"/>
  <c r="BM108" i="22"/>
  <c r="BW146" i="9"/>
  <c r="R140" i="20"/>
  <c r="CB144" i="9"/>
  <c r="CB146" i="9" s="1"/>
  <c r="CB140" i="9" s="1"/>
  <c r="CA146" i="9"/>
  <c r="CO227" i="9"/>
  <c r="CR221" i="9" s="1"/>
  <c r="CS221" i="9" s="1"/>
  <c r="CT221" i="9" s="1"/>
  <c r="CU221" i="9" s="1"/>
  <c r="CV221" i="9" s="1"/>
  <c r="CW221" i="9" s="1"/>
  <c r="CF223" i="9"/>
  <c r="CG223" i="9" s="1"/>
  <c r="AD131" i="15"/>
  <c r="AD137" i="15" s="1"/>
  <c r="BL108" i="15"/>
  <c r="BM108" i="15" s="1"/>
  <c r="E17" i="14"/>
  <c r="E15" i="12"/>
  <c r="BM99" i="15"/>
  <c r="CR226" i="9"/>
  <c r="CS226" i="9" s="1"/>
  <c r="CT226" i="9" s="1"/>
  <c r="CU226" i="9" s="1"/>
  <c r="CV226" i="9" s="1"/>
  <c r="CW226" i="9" s="1"/>
  <c r="CR222" i="9"/>
  <c r="CS222" i="9" s="1"/>
  <c r="CT222" i="9" s="1"/>
  <c r="CU222" i="9" s="1"/>
  <c r="CV222" i="9" s="1"/>
  <c r="CW222" i="9" s="1"/>
  <c r="CR224" i="9"/>
  <c r="CS224" i="9" s="1"/>
  <c r="CT224" i="9" s="1"/>
  <c r="CU224" i="9" s="1"/>
  <c r="CV224" i="9" s="1"/>
  <c r="CW224" i="9" s="1"/>
  <c r="AD136" i="22" l="1"/>
  <c r="CR225" i="9"/>
  <c r="CS225" i="9" s="1"/>
  <c r="CT225" i="9" s="1"/>
  <c r="CU225" i="9" s="1"/>
  <c r="CV225" i="9" s="1"/>
  <c r="CW225" i="9" s="1"/>
  <c r="CR223" i="9"/>
  <c r="CS223" i="9" s="1"/>
  <c r="CT223" i="9" s="1"/>
  <c r="CU223" i="9" s="1"/>
  <c r="CV223" i="9" s="1"/>
  <c r="CW223" i="9" s="1"/>
  <c r="BC88" i="20"/>
  <c r="AX217" i="9"/>
  <c r="BA212" i="9"/>
  <c r="CW227" i="9" l="1"/>
  <c r="CW217" i="9" s="1"/>
  <c r="CV227" i="9"/>
  <c r="CR227" i="9"/>
  <c r="AS223" i="9"/>
  <c r="AT223" i="9" s="1"/>
  <c r="BK223" i="9"/>
  <c r="BM223" i="9" s="1"/>
  <c r="AS220" i="9"/>
  <c r="BK220" i="9"/>
  <c r="BM220" i="9" s="1"/>
  <c r="AG134" i="20"/>
  <c r="AG140" i="20" s="1"/>
  <c r="BO112" i="20"/>
  <c r="BP112" i="20" s="1"/>
  <c r="BK194" i="9"/>
  <c r="BM194" i="9" s="1"/>
  <c r="L216" i="9"/>
  <c r="AH211" i="9" s="1"/>
  <c r="L210" i="9"/>
  <c r="AY215" i="9"/>
  <c r="AY213" i="9"/>
  <c r="AY212" i="9"/>
  <c r="BH206" i="9"/>
  <c r="L215" i="9"/>
  <c r="AE217" i="9"/>
  <c r="L211" i="9"/>
  <c r="L214" i="9"/>
  <c r="AF212" i="9"/>
  <c r="AY211" i="9"/>
  <c r="BK193" i="9"/>
  <c r="BM193" i="9" s="1"/>
  <c r="AY210" i="9"/>
  <c r="AF210" i="9"/>
  <c r="Y222" i="9" s="1"/>
  <c r="Y221" i="9" s="1"/>
  <c r="AF214" i="9"/>
  <c r="L212" i="9"/>
  <c r="AF215" i="9"/>
  <c r="AY214" i="9"/>
  <c r="AY216" i="9"/>
  <c r="AF213" i="9"/>
  <c r="BK190" i="9"/>
  <c r="BK192" i="9"/>
  <c r="BM192" i="9" s="1"/>
  <c r="AF211" i="9"/>
  <c r="BK191" i="9"/>
  <c r="BM191" i="9" s="1"/>
  <c r="L213" i="9"/>
  <c r="AF216" i="9"/>
  <c r="Z237" i="9" l="1"/>
  <c r="AA237" i="9" s="1"/>
  <c r="AR222" i="9"/>
  <c r="AT222" i="9" s="1"/>
  <c r="AR220" i="9"/>
  <c r="AT220" i="9" s="1"/>
  <c r="Z235" i="9"/>
  <c r="T126" i="15"/>
  <c r="T137" i="15" s="1"/>
  <c r="AY98" i="15"/>
  <c r="AY58" i="15" s="1"/>
  <c r="BL210" i="9"/>
  <c r="AO206" i="9"/>
  <c r="AS190" i="9"/>
  <c r="Y216" i="9"/>
  <c r="Y219" i="9"/>
  <c r="Y217" i="9"/>
  <c r="Y218" i="9"/>
  <c r="Y220" i="9"/>
  <c r="BK195" i="9"/>
  <c r="BM190" i="9"/>
  <c r="BM195" i="9" s="1"/>
  <c r="AY117" i="22" l="1"/>
  <c r="BF98" i="22"/>
  <c r="T136" i="22"/>
  <c r="AL125" i="22"/>
  <c r="AL126" i="15"/>
  <c r="BB93" i="20"/>
  <c r="AU190" i="9"/>
  <c r="AY93" i="20" s="1"/>
  <c r="F15" i="17"/>
  <c r="AY117" i="15"/>
  <c r="BF98" i="15"/>
  <c r="P123" i="15"/>
  <c r="P137" i="15" s="1"/>
  <c r="AV94" i="15"/>
  <c r="AV54" i="15" s="1"/>
  <c r="G24" i="14"/>
  <c r="AS210" i="9"/>
  <c r="Z210" i="9"/>
  <c r="G22" i="12"/>
  <c r="P136" i="22" l="1"/>
  <c r="BF94" i="22"/>
  <c r="AV117" i="22"/>
  <c r="N161" i="20"/>
  <c r="N163" i="20" s="1"/>
  <c r="F25" i="17"/>
  <c r="G25" i="17" s="1"/>
  <c r="H15" i="17"/>
  <c r="F19" i="17"/>
  <c r="C38" i="12" s="1"/>
  <c r="BI93" i="20"/>
  <c r="J179" i="20" s="1"/>
  <c r="G15" i="17"/>
  <c r="I15" i="17" s="1"/>
  <c r="AV117" i="15"/>
  <c r="BF94" i="15"/>
  <c r="E25" i="12"/>
  <c r="F25" i="12"/>
  <c r="CM227" i="9" l="1"/>
  <c r="C59" i="11"/>
  <c r="BT156" i="9"/>
  <c r="BR157" i="9"/>
  <c r="CA152" i="9"/>
  <c r="G159" i="22" l="1"/>
  <c r="C167" i="22" s="1" a="1"/>
  <c r="CE144" i="9"/>
  <c r="CE140" i="9"/>
  <c r="G154" i="15"/>
  <c r="G160" i="15" s="1"/>
  <c r="AZ85" i="15"/>
  <c r="AZ45" i="15" s="1"/>
  <c r="E59" i="11"/>
  <c r="C62" i="11"/>
  <c r="BW156" i="9"/>
  <c r="BX156" i="9" s="1"/>
  <c r="BY156" i="9" s="1"/>
  <c r="BZ156" i="9" s="1"/>
  <c r="CA156" i="9" s="1"/>
  <c r="CA157" i="9" s="1"/>
  <c r="BT157" i="9"/>
  <c r="C167" i="22" l="1"/>
  <c r="K175" i="22"/>
  <c r="K195" i="22"/>
  <c r="K176" i="22"/>
  <c r="K198" i="22"/>
  <c r="K177" i="22"/>
  <c r="K199" i="22"/>
  <c r="K178" i="22"/>
  <c r="K200" i="22"/>
  <c r="K179" i="22"/>
  <c r="K201" i="22"/>
  <c r="K180" i="22"/>
  <c r="K181" i="22"/>
  <c r="K182" i="22"/>
  <c r="K183" i="22"/>
  <c r="K184" i="22"/>
  <c r="K185" i="22"/>
  <c r="K186" i="22"/>
  <c r="K187" i="22"/>
  <c r="K168" i="22"/>
  <c r="K188" i="22"/>
  <c r="K169" i="22"/>
  <c r="K189" i="22"/>
  <c r="K170" i="22"/>
  <c r="K190" i="22"/>
  <c r="K191" i="22"/>
  <c r="K192" i="22"/>
  <c r="K173" i="22"/>
  <c r="K193" i="22"/>
  <c r="K174" i="22"/>
  <c r="K194" i="22"/>
  <c r="BF85" i="22"/>
  <c r="AZ117" i="22"/>
  <c r="N62" i="11"/>
  <c r="N59" i="11"/>
  <c r="E62" i="11"/>
  <c r="N63" i="11" s="1"/>
  <c r="L62" i="11"/>
  <c r="CB156" i="9"/>
  <c r="CB152" i="9" s="1"/>
  <c r="F26" i="17" s="1"/>
  <c r="G26" i="17" s="1"/>
  <c r="BF85" i="15"/>
  <c r="AZ117" i="15"/>
  <c r="CB157" i="9"/>
  <c r="D51" i="11"/>
  <c r="BC89" i="20" l="1"/>
  <c r="J157" i="20"/>
  <c r="J163" i="20" s="1"/>
  <c r="CG132" i="9"/>
  <c r="H18" i="14" s="1"/>
  <c r="F61" i="11"/>
  <c r="F60" i="11"/>
  <c r="O59" i="11" s="1"/>
  <c r="F59" i="11"/>
  <c r="BI89" i="20" l="1"/>
  <c r="J175" i="20" s="1"/>
  <c r="F62" i="11"/>
  <c r="BC121" i="20"/>
  <c r="L59" i="11"/>
  <c r="O60" i="11"/>
  <c r="L60" i="11" s="1"/>
  <c r="O63" i="11"/>
  <c r="O61" i="11"/>
  <c r="H16" i="12"/>
  <c r="CL145" i="9" l="1"/>
  <c r="CO145" i="9" s="1"/>
  <c r="CL142" i="9"/>
  <c r="CO142" i="9" s="1"/>
  <c r="CL144" i="9"/>
  <c r="CO144" i="9" s="1"/>
  <c r="CF140" i="9" s="1"/>
  <c r="H51" i="11"/>
  <c r="CF144" i="9" l="1"/>
  <c r="CF142" i="9"/>
  <c r="CG140" i="9"/>
  <c r="CM143" i="9"/>
  <c r="O62" i="11"/>
  <c r="L63" i="11"/>
  <c r="F14" i="13" l="1"/>
  <c r="F15" i="13" s="1"/>
  <c r="CG144" i="9"/>
  <c r="AO227" i="9"/>
  <c r="BM95" i="22" l="1"/>
  <c r="CL147" i="9"/>
  <c r="Q123" i="15"/>
  <c r="AL123" i="15" s="1"/>
  <c r="BL95" i="15"/>
  <c r="BM95" i="15" s="1"/>
  <c r="AF234" i="9"/>
  <c r="BM103" i="15"/>
  <c r="Q136" i="22" l="1"/>
  <c r="AL122" i="22"/>
  <c r="Q137" i="15"/>
  <c r="CM146" i="9"/>
  <c r="CM142" i="9"/>
  <c r="CM145" i="9"/>
  <c r="CM144" i="9"/>
  <c r="CV138" i="9"/>
  <c r="BM105" i="22" l="1"/>
  <c r="CM147" i="9"/>
  <c r="AA130" i="15"/>
  <c r="BL105" i="15"/>
  <c r="BM105" i="15" s="1"/>
  <c r="CE130" i="9"/>
  <c r="H17" i="12" s="1"/>
  <c r="AA136" i="22" l="1"/>
  <c r="AL129" i="22"/>
  <c r="AA137" i="15"/>
  <c r="AL130" i="15"/>
  <c r="C92" i="11"/>
  <c r="I91" i="11" s="1"/>
  <c r="C93" i="11" l="1"/>
  <c r="J91" i="11" l="1"/>
  <c r="C94" i="11"/>
  <c r="K91" i="11" s="1"/>
  <c r="J210" i="9"/>
  <c r="AW210" i="9"/>
  <c r="L91" i="11" l="1"/>
  <c r="M91" i="11" s="1"/>
  <c r="BV210" i="9" s="1"/>
  <c r="C96" i="11"/>
  <c r="BZ210" i="9" l="1"/>
  <c r="CA210" i="9" s="1"/>
  <c r="CB210" i="9" s="1"/>
  <c r="BV217" i="9" a="1"/>
  <c r="BV217" i="9" s="1"/>
  <c r="BC210" i="9"/>
  <c r="AJ210" i="9" s="1"/>
  <c r="P210" i="9" s="1"/>
  <c r="D93" i="11"/>
  <c r="D92" i="11"/>
  <c r="D95" i="11"/>
  <c r="D91" i="11"/>
  <c r="D94" i="11"/>
  <c r="BA217" i="9" l="1"/>
  <c r="AK213" i="9" s="1"/>
  <c r="AL213" i="9" s="1"/>
  <c r="AM213" i="9" s="1"/>
  <c r="AN213" i="9" s="1"/>
  <c r="AO213" i="9" s="1"/>
  <c r="AP213" i="9" s="1"/>
  <c r="AH217" i="9"/>
  <c r="N217" i="9"/>
  <c r="CB217" i="9"/>
  <c r="CB206" i="9" s="1"/>
  <c r="CA217" i="9"/>
  <c r="Q213" i="9" l="1"/>
  <c r="R213" i="9" s="1"/>
  <c r="S213" i="9" s="1"/>
  <c r="T213" i="9" s="1"/>
  <c r="U213" i="9" s="1"/>
  <c r="V213" i="9" s="1"/>
  <c r="Q211" i="9"/>
  <c r="R211" i="9" s="1"/>
  <c r="S211" i="9" s="1"/>
  <c r="T211" i="9" s="1"/>
  <c r="U211" i="9" s="1"/>
  <c r="V211" i="9" s="1"/>
  <c r="BD214" i="9"/>
  <c r="BE214" i="9" s="1"/>
  <c r="BF214" i="9" s="1"/>
  <c r="BG214" i="9" s="1"/>
  <c r="BH214" i="9" s="1"/>
  <c r="BI214" i="9" s="1"/>
  <c r="Q215" i="9"/>
  <c r="R215" i="9" s="1"/>
  <c r="S215" i="9" s="1"/>
  <c r="T215" i="9" s="1"/>
  <c r="U215" i="9" s="1"/>
  <c r="V215" i="9" s="1"/>
  <c r="AK216" i="9"/>
  <c r="AL216" i="9" s="1"/>
  <c r="AM216" i="9" s="1"/>
  <c r="AN216" i="9" s="1"/>
  <c r="AO216" i="9" s="1"/>
  <c r="AP216" i="9" s="1"/>
  <c r="AK212" i="9"/>
  <c r="AL212" i="9" s="1"/>
  <c r="AM212" i="9" s="1"/>
  <c r="AN212" i="9" s="1"/>
  <c r="AO212" i="9" s="1"/>
  <c r="AP212" i="9" s="1"/>
  <c r="BD213" i="9"/>
  <c r="BE213" i="9" s="1"/>
  <c r="BF213" i="9" s="1"/>
  <c r="BG213" i="9" s="1"/>
  <c r="BH213" i="9" s="1"/>
  <c r="BI213" i="9" s="1"/>
  <c r="BD211" i="9"/>
  <c r="BE211" i="9" s="1"/>
  <c r="BF211" i="9" s="1"/>
  <c r="BG211" i="9" s="1"/>
  <c r="BH211" i="9" s="1"/>
  <c r="BI211" i="9" s="1"/>
  <c r="BD216" i="9"/>
  <c r="BE216" i="9" s="1"/>
  <c r="BF216" i="9" s="1"/>
  <c r="BG216" i="9" s="1"/>
  <c r="BH216" i="9" s="1"/>
  <c r="BI216" i="9" s="1"/>
  <c r="Q214" i="9"/>
  <c r="R214" i="9" s="1"/>
  <c r="S214" i="9" s="1"/>
  <c r="T214" i="9" s="1"/>
  <c r="U214" i="9" s="1"/>
  <c r="V214" i="9" s="1"/>
  <c r="BD210" i="9"/>
  <c r="BE210" i="9" s="1"/>
  <c r="BF210" i="9" s="1"/>
  <c r="BG210" i="9" s="1"/>
  <c r="BH210" i="9" s="1"/>
  <c r="BN210" i="9" s="1"/>
  <c r="Q216" i="9"/>
  <c r="R216" i="9" s="1"/>
  <c r="S216" i="9" s="1"/>
  <c r="T216" i="9" s="1"/>
  <c r="U216" i="9" s="1"/>
  <c r="V216" i="9" s="1"/>
  <c r="BD212" i="9"/>
  <c r="BE212" i="9" s="1"/>
  <c r="BF212" i="9" s="1"/>
  <c r="BG212" i="9" s="1"/>
  <c r="BH212" i="9" s="1"/>
  <c r="BI212" i="9" s="1"/>
  <c r="AK211" i="9"/>
  <c r="AL211" i="9" s="1"/>
  <c r="AM211" i="9" s="1"/>
  <c r="AN211" i="9" s="1"/>
  <c r="AO211" i="9" s="1"/>
  <c r="AP211" i="9" s="1"/>
  <c r="AK214" i="9"/>
  <c r="AL214" i="9" s="1"/>
  <c r="AM214" i="9" s="1"/>
  <c r="AN214" i="9" s="1"/>
  <c r="AO214" i="9" s="1"/>
  <c r="AP214" i="9" s="1"/>
  <c r="AK210" i="9"/>
  <c r="BD215" i="9"/>
  <c r="BE215" i="9" s="1"/>
  <c r="BF215" i="9" s="1"/>
  <c r="BG215" i="9" s="1"/>
  <c r="BH215" i="9" s="1"/>
  <c r="BI215" i="9" s="1"/>
  <c r="Q212" i="9"/>
  <c r="R212" i="9" s="1"/>
  <c r="S212" i="9" s="1"/>
  <c r="T212" i="9" s="1"/>
  <c r="U212" i="9" s="1"/>
  <c r="V212" i="9" s="1"/>
  <c r="Q210" i="9"/>
  <c r="R210" i="9" s="1"/>
  <c r="S210" i="9" s="1"/>
  <c r="T210" i="9" s="1"/>
  <c r="U210" i="9" s="1"/>
  <c r="Q193" i="9" s="1"/>
  <c r="BD106" i="20"/>
  <c r="AA132" i="20"/>
  <c r="AK215" i="9"/>
  <c r="AL215" i="9" s="1"/>
  <c r="AM215" i="9" s="1"/>
  <c r="AN215" i="9" s="1"/>
  <c r="AO215" i="9" s="1"/>
  <c r="AP215" i="9" s="1"/>
  <c r="AK217" i="9" l="1"/>
  <c r="BH217" i="9"/>
  <c r="BD217" i="9"/>
  <c r="AL210" i="9"/>
  <c r="AM210" i="9" s="1"/>
  <c r="AN210" i="9" s="1"/>
  <c r="AO210" i="9" s="1"/>
  <c r="AB210" i="9" s="1"/>
  <c r="BI210" i="9"/>
  <c r="V210" i="9"/>
  <c r="U217" i="9"/>
  <c r="Q217" i="9"/>
  <c r="BI106" i="20"/>
  <c r="J192" i="20" s="1"/>
  <c r="AU210" i="9"/>
  <c r="F24" i="14" s="1"/>
  <c r="AO132" i="20"/>
  <c r="AA140" i="20"/>
  <c r="V217" i="9"/>
  <c r="V206" i="9" s="1"/>
  <c r="AV87" i="20" s="1"/>
  <c r="Q195" i="9"/>
  <c r="BI217" i="9"/>
  <c r="BI206" i="9" s="1"/>
  <c r="BB102" i="20" s="1"/>
  <c r="AP210" i="9"/>
  <c r="AO217" i="9"/>
  <c r="F22" i="12" l="1"/>
  <c r="BI102" i="20"/>
  <c r="BI87" i="20"/>
  <c r="BK210" i="9"/>
  <c r="W129" i="20"/>
  <c r="BN212" i="9"/>
  <c r="BN211" i="9"/>
  <c r="H155" i="20"/>
  <c r="H163" i="20" s="1"/>
  <c r="Q194" i="9"/>
  <c r="E24" i="14"/>
  <c r="E22" i="12"/>
  <c r="D24" i="14"/>
  <c r="D22" i="12"/>
  <c r="AP217" i="9"/>
  <c r="AP206" i="9" s="1"/>
  <c r="AY98" i="20" s="1"/>
  <c r="BI98" i="20" l="1"/>
  <c r="S126" i="20"/>
  <c r="AR210" i="9"/>
  <c r="AU212" i="9"/>
  <c r="J173" i="20"/>
  <c r="BB121" i="20"/>
  <c r="J188" i="20"/>
  <c r="AU211" i="9"/>
  <c r="F25" i="14" s="1"/>
  <c r="W140" i="20"/>
  <c r="AO129" i="20"/>
  <c r="D24" i="12"/>
  <c r="D26" i="14"/>
  <c r="F23" i="12" l="1"/>
  <c r="J184" i="20"/>
  <c r="AY121" i="20"/>
  <c r="S140" i="20"/>
  <c r="F24" i="12"/>
  <c r="F26" i="14"/>
  <c r="D23" i="12"/>
  <c r="D25" i="14"/>
  <c r="BM93" i="15" l="1"/>
  <c r="BM100" i="15"/>
  <c r="BM106" i="15" l="1"/>
  <c r="L78" i="9" l="1"/>
  <c r="N78" i="9" l="1"/>
  <c r="Q76" i="9"/>
  <c r="R76" i="9" s="1"/>
  <c r="S76" i="9" s="1"/>
  <c r="T76" i="9" s="1"/>
  <c r="U76" i="9" s="1"/>
  <c r="BM98" i="15"/>
  <c r="V76" i="9" l="1"/>
  <c r="Q77" i="9"/>
  <c r="R77" i="9" s="1"/>
  <c r="S77" i="9" s="1"/>
  <c r="T77" i="9" s="1"/>
  <c r="U77" i="9" s="1"/>
  <c r="U78" i="9" s="1"/>
  <c r="V77" i="9" l="1"/>
  <c r="V78" i="9" s="1"/>
  <c r="V72" i="9" s="1"/>
  <c r="G216" i="15"/>
  <c r="G217" i="15"/>
  <c r="G220" i="15"/>
  <c r="G211" i="15"/>
  <c r="G210" i="15"/>
  <c r="G212" i="15"/>
  <c r="G218" i="15"/>
  <c r="G213" i="15"/>
  <c r="G222" i="15"/>
  <c r="G215" i="15"/>
  <c r="G214" i="15"/>
  <c r="AT88" i="20" l="1"/>
  <c r="AA48" i="9"/>
  <c r="X46" i="9"/>
  <c r="AA47" i="9"/>
  <c r="G209" i="15"/>
  <c r="AT121" i="20" l="1"/>
  <c r="E8" i="14"/>
  <c r="E6" i="12"/>
  <c r="E9" i="14"/>
  <c r="E7" i="12"/>
  <c r="AD89" i="11"/>
  <c r="Z102" i="11"/>
  <c r="AD88" i="11" l="1"/>
  <c r="AH102" i="11"/>
  <c r="AE104" i="11" s="1"/>
  <c r="AA90" i="11"/>
  <c r="AI101" i="11" s="1"/>
  <c r="AD90" i="11"/>
  <c r="AA89" i="11"/>
  <c r="AD87" i="11"/>
  <c r="AA88" i="11"/>
  <c r="AD91" i="11" l="1"/>
  <c r="AA91" i="11"/>
  <c r="AA101" i="11"/>
  <c r="Z101" i="11" s="1"/>
  <c r="AH101" i="11"/>
  <c r="AI98" i="11"/>
  <c r="AH98" i="11" s="1"/>
  <c r="AA98" i="11"/>
  <c r="Z98" i="11" s="1"/>
  <c r="AI99" i="11"/>
  <c r="AA99" i="11"/>
  <c r="AI100" i="11"/>
  <c r="AH100" i="11" s="1"/>
  <c r="AA100" i="11"/>
  <c r="Z100" i="11" s="1"/>
  <c r="AC101" i="11"/>
  <c r="C155" i="11"/>
  <c r="EB159" i="9"/>
  <c r="AC98" i="11"/>
  <c r="EB156" i="9"/>
  <c r="C152" i="11"/>
  <c r="EV237" i="9"/>
  <c r="AK98" i="11"/>
  <c r="C186" i="11"/>
  <c r="BQ229" i="9"/>
  <c r="BQ232" i="9" l="1"/>
  <c r="BT232" i="9" s="1"/>
  <c r="EV240" i="9"/>
  <c r="EY240" i="9" s="1"/>
  <c r="C189" i="11"/>
  <c r="F189" i="11" s="1"/>
  <c r="AK101" i="11"/>
  <c r="F186" i="11"/>
  <c r="F152" i="11"/>
  <c r="E203" i="11"/>
  <c r="EC156" i="9"/>
  <c r="EE156" i="9"/>
  <c r="EY237" i="9"/>
  <c r="BQ231" i="9"/>
  <c r="EV239" i="9"/>
  <c r="AK100" i="11"/>
  <c r="C188" i="11"/>
  <c r="Z99" i="11"/>
  <c r="AA102" i="11"/>
  <c r="EC159" i="9"/>
  <c r="EE159" i="9"/>
  <c r="F155" i="11"/>
  <c r="EB158" i="9"/>
  <c r="AC100" i="11"/>
  <c r="C154" i="11"/>
  <c r="BT229" i="9"/>
  <c r="AH99" i="11"/>
  <c r="AI102" i="11"/>
  <c r="EQ248" i="9" l="1"/>
  <c r="ER248" i="9" s="1"/>
  <c r="F188" i="11"/>
  <c r="EY239" i="9"/>
  <c r="BT231" i="9"/>
  <c r="EC158" i="9"/>
  <c r="EE158" i="9"/>
  <c r="C187" i="11"/>
  <c r="BQ230" i="9"/>
  <c r="EV238" i="9"/>
  <c r="AK99" i="11"/>
  <c r="F154" i="11"/>
  <c r="AC99" i="11"/>
  <c r="EB157" i="9"/>
  <c r="C153" i="11"/>
  <c r="EQ247" i="9" l="1"/>
  <c r="ER247" i="9" s="1"/>
  <c r="EE157" i="9"/>
  <c r="EC157" i="9"/>
  <c r="AK102" i="11"/>
  <c r="AC102" i="11"/>
  <c r="AD98" i="11" s="1"/>
  <c r="EY238" i="9"/>
  <c r="EV241" i="9"/>
  <c r="FF233" i="9" s="1"/>
  <c r="F153" i="11"/>
  <c r="C156" i="11"/>
  <c r="BT230" i="9"/>
  <c r="BQ233" i="9"/>
  <c r="F187" i="11"/>
  <c r="C190" i="11"/>
  <c r="D187" i="11" s="1"/>
  <c r="C203" i="11"/>
  <c r="C202" i="11" s="1"/>
  <c r="BM110" i="15" l="1"/>
  <c r="BM110" i="22"/>
  <c r="EQ245" i="9"/>
  <c r="ER245" i="9" s="1"/>
  <c r="EQ246" i="9"/>
  <c r="ER246" i="9" s="1"/>
  <c r="EQ143" i="9"/>
  <c r="EQ145" i="9"/>
  <c r="CE218" i="9"/>
  <c r="CE219" i="9"/>
  <c r="AL99" i="11"/>
  <c r="AL98" i="11"/>
  <c r="D189" i="11"/>
  <c r="D186" i="11"/>
  <c r="D188" i="11"/>
  <c r="CA225" i="9"/>
  <c r="BR232" i="9"/>
  <c r="EW240" i="9"/>
  <c r="BR229" i="9"/>
  <c r="EW237" i="9"/>
  <c r="EW239" i="9"/>
  <c r="BR231" i="9"/>
  <c r="BT233" i="9"/>
  <c r="FB238" i="9" s="1"/>
  <c r="FC238" i="9" s="1"/>
  <c r="FD238" i="9" s="1"/>
  <c r="FE238" i="9" s="1"/>
  <c r="FF238" i="9" s="1"/>
  <c r="FG238" i="9" s="1"/>
  <c r="EY241" i="9"/>
  <c r="AD101" i="11"/>
  <c r="G152" i="11"/>
  <c r="AD100" i="11"/>
  <c r="G155" i="11"/>
  <c r="AD99" i="11"/>
  <c r="BR230" i="9"/>
  <c r="D155" i="11"/>
  <c r="D152" i="11"/>
  <c r="D154" i="11"/>
  <c r="D153" i="11"/>
  <c r="AL101" i="11"/>
  <c r="AL100" i="11"/>
  <c r="C200" i="11"/>
  <c r="F190" i="11"/>
  <c r="G187" i="11" s="1"/>
  <c r="P152" i="11"/>
  <c r="G153" i="11"/>
  <c r="C168" i="11"/>
  <c r="P153" i="11"/>
  <c r="C169" i="11"/>
  <c r="E169" i="11"/>
  <c r="E168" i="11" s="1"/>
  <c r="F156" i="11"/>
  <c r="EW238" i="9"/>
  <c r="G154" i="11"/>
  <c r="EE160" i="9"/>
  <c r="C199" i="11" l="1"/>
  <c r="H199" i="11" s="1"/>
  <c r="H200" i="11" s="1"/>
  <c r="E199" i="11"/>
  <c r="J199" i="11" s="1"/>
  <c r="J200" i="11" s="1"/>
  <c r="BF110" i="15"/>
  <c r="BW230" i="9"/>
  <c r="BX230" i="9" s="1"/>
  <c r="BY230" i="9" s="1"/>
  <c r="BZ230" i="9" s="1"/>
  <c r="CA230" i="9" s="1"/>
  <c r="CB230" i="9" s="1"/>
  <c r="H169" i="11"/>
  <c r="H168" i="11" s="1"/>
  <c r="Q153" i="11"/>
  <c r="H172" i="11"/>
  <c r="H171" i="11" s="1"/>
  <c r="M153" i="11"/>
  <c r="Q152" i="11"/>
  <c r="J169" i="11"/>
  <c r="J168" i="11" s="1"/>
  <c r="M152" i="11"/>
  <c r="J172" i="11"/>
  <c r="J171" i="11" s="1"/>
  <c r="P187" i="11"/>
  <c r="H203" i="11"/>
  <c r="H202" i="11" s="1"/>
  <c r="J203" i="11"/>
  <c r="J202" i="11" s="1"/>
  <c r="P186" i="11"/>
  <c r="FB240" i="9"/>
  <c r="FC240" i="9" s="1"/>
  <c r="FD240" i="9" s="1"/>
  <c r="FE240" i="9" s="1"/>
  <c r="FF240" i="9" s="1"/>
  <c r="FG240" i="9" s="1"/>
  <c r="BW232" i="9"/>
  <c r="BX232" i="9" s="1"/>
  <c r="BY232" i="9" s="1"/>
  <c r="BZ232" i="9" s="1"/>
  <c r="CA232" i="9" s="1"/>
  <c r="CB232" i="9" s="1"/>
  <c r="BW229" i="9"/>
  <c r="FB237" i="9"/>
  <c r="FB239" i="9"/>
  <c r="FC239" i="9" s="1"/>
  <c r="FD239" i="9" s="1"/>
  <c r="FE239" i="9" s="1"/>
  <c r="FF239" i="9" s="1"/>
  <c r="FG239" i="9" s="1"/>
  <c r="BW231" i="9"/>
  <c r="BX231" i="9" s="1"/>
  <c r="BY231" i="9" s="1"/>
  <c r="BZ231" i="9" s="1"/>
  <c r="CA231" i="9" s="1"/>
  <c r="CB231" i="9" s="1"/>
  <c r="EW241" i="9"/>
  <c r="AL102" i="11"/>
  <c r="D156" i="11"/>
  <c r="G156" i="11"/>
  <c r="AD102" i="11"/>
  <c r="G189" i="11"/>
  <c r="G186" i="11"/>
  <c r="G188" i="11"/>
  <c r="BR233" i="9"/>
  <c r="D190" i="11"/>
  <c r="EH159" i="9"/>
  <c r="EI159" i="9" s="1"/>
  <c r="EJ159" i="9" s="1"/>
  <c r="EK159" i="9" s="1"/>
  <c r="EL159" i="9" s="1"/>
  <c r="EM159" i="9" s="1"/>
  <c r="EH156" i="9"/>
  <c r="EH158" i="9"/>
  <c r="EI158" i="9" s="1"/>
  <c r="EJ158" i="9" s="1"/>
  <c r="EK158" i="9" s="1"/>
  <c r="EL158" i="9" s="1"/>
  <c r="EM158" i="9" s="1"/>
  <c r="EH157" i="9"/>
  <c r="EI157" i="9" s="1"/>
  <c r="EJ157" i="9" s="1"/>
  <c r="EK157" i="9" s="1"/>
  <c r="EL157" i="9" s="1"/>
  <c r="EM157" i="9" s="1"/>
  <c r="BF110" i="22" l="1"/>
  <c r="G196" i="22" s="1"/>
  <c r="K196" i="22" s="1"/>
  <c r="C206" i="11"/>
  <c r="C207" i="11" s="1"/>
  <c r="E207" i="11" s="1"/>
  <c r="H207" i="11" s="1"/>
  <c r="Q186" i="11"/>
  <c r="M186" i="11"/>
  <c r="CL254" i="9" s="1"/>
  <c r="CO254" i="9" s="1"/>
  <c r="M187" i="11"/>
  <c r="CL255" i="9" s="1"/>
  <c r="CO255" i="9" s="1"/>
  <c r="CF218" i="9" s="1"/>
  <c r="CG218" i="9" s="1"/>
  <c r="Q187" i="11"/>
  <c r="FB241" i="9"/>
  <c r="FC237" i="9"/>
  <c r="FD237" i="9" s="1"/>
  <c r="FE237" i="9" s="1"/>
  <c r="FF237" i="9" s="1"/>
  <c r="BW233" i="9"/>
  <c r="BX229" i="9"/>
  <c r="BY229" i="9" s="1"/>
  <c r="BZ229" i="9" s="1"/>
  <c r="CA229" i="9" s="1"/>
  <c r="EH160" i="9"/>
  <c r="EI156" i="9"/>
  <c r="EJ156" i="9" s="1"/>
  <c r="EK156" i="9" s="1"/>
  <c r="EL156" i="9" s="1"/>
  <c r="FB146" i="9"/>
  <c r="G190" i="11"/>
  <c r="FB145" i="9"/>
  <c r="C171" i="11"/>
  <c r="C172" i="11" s="1"/>
  <c r="F159" i="11" s="1"/>
  <c r="F192" i="11" l="1"/>
  <c r="C192" i="11" s="1"/>
  <c r="BQ246" i="9" s="1"/>
  <c r="BT246" i="9" s="1"/>
  <c r="CF220" i="9"/>
  <c r="FE146" i="9"/>
  <c r="G7" i="13"/>
  <c r="G8" i="13" s="1"/>
  <c r="FE145" i="9"/>
  <c r="ER143" i="9" s="1"/>
  <c r="ES143" i="9" s="1"/>
  <c r="F193" i="11"/>
  <c r="C193" i="11" s="1"/>
  <c r="P188" i="11"/>
  <c r="FF241" i="9"/>
  <c r="FG237" i="9"/>
  <c r="FG241" i="9" s="1"/>
  <c r="FG233" i="9" s="1"/>
  <c r="BP114" i="20" s="1"/>
  <c r="EM156" i="9"/>
  <c r="EM160" i="9" s="1"/>
  <c r="EM152" i="9" s="1"/>
  <c r="EL160" i="9"/>
  <c r="CB229" i="9"/>
  <c r="CB233" i="9" s="1"/>
  <c r="CB225" i="9" s="1"/>
  <c r="CA233" i="9"/>
  <c r="F160" i="11"/>
  <c r="F161" i="11" s="1"/>
  <c r="G159" i="11" s="1"/>
  <c r="C159" i="11"/>
  <c r="ER145" i="9" l="1"/>
  <c r="ES145" i="9" s="1"/>
  <c r="ER144" i="9"/>
  <c r="C194" i="11"/>
  <c r="D192" i="11" s="1"/>
  <c r="BQ247" i="9"/>
  <c r="M188" i="11"/>
  <c r="Q188" i="11"/>
  <c r="Q189" i="11" s="1"/>
  <c r="P189" i="11"/>
  <c r="EB144" i="9"/>
  <c r="G160" i="11"/>
  <c r="G161" i="11" s="1"/>
  <c r="C160" i="11"/>
  <c r="C161" i="11" s="1"/>
  <c r="C163" i="11" s="1"/>
  <c r="P154" i="11"/>
  <c r="E172" i="11"/>
  <c r="CF219" i="9"/>
  <c r="CG219" i="9" s="1"/>
  <c r="D193" i="11" l="1"/>
  <c r="C195" i="11"/>
  <c r="BI114" i="20"/>
  <c r="J200" i="20" s="1"/>
  <c r="BQ248" i="9"/>
  <c r="BT247" i="9"/>
  <c r="CE221" i="9" s="1"/>
  <c r="CO256" i="9" s="1"/>
  <c r="M189" i="11"/>
  <c r="D194" i="11"/>
  <c r="L240" i="9"/>
  <c r="L241" i="9"/>
  <c r="CA242" i="9"/>
  <c r="EB145" i="9"/>
  <c r="D160" i="11"/>
  <c r="D159" i="11"/>
  <c r="BR246" i="9"/>
  <c r="BR247" i="9"/>
  <c r="Q154" i="11"/>
  <c r="Q155" i="11" s="1"/>
  <c r="M154" i="11"/>
  <c r="P155" i="11"/>
  <c r="EE144" i="9"/>
  <c r="EQ144" i="9" s="1"/>
  <c r="ES144" i="9" s="1"/>
  <c r="BA84" i="15" l="1"/>
  <c r="BA44" i="15" s="1"/>
  <c r="D161" i="11"/>
  <c r="CL256" i="9"/>
  <c r="CF221" i="9"/>
  <c r="CG221" i="9" s="1"/>
  <c r="Y236" i="9"/>
  <c r="BR248" i="9"/>
  <c r="CL257" i="9"/>
  <c r="M155" i="11"/>
  <c r="N154" i="11" s="1"/>
  <c r="EE145" i="9"/>
  <c r="EQ146" i="9" s="1"/>
  <c r="FB147" i="9"/>
  <c r="BA117" i="15"/>
  <c r="L242" i="9"/>
  <c r="Y235" i="9"/>
  <c r="AA235" i="9" s="1"/>
  <c r="N186" i="11"/>
  <c r="N187" i="11"/>
  <c r="EE146" i="9"/>
  <c r="EH144" i="9" s="1"/>
  <c r="EI144" i="9" s="1"/>
  <c r="EJ144" i="9" s="1"/>
  <c r="EK144" i="9" s="1"/>
  <c r="EL144" i="9" s="1"/>
  <c r="EB146" i="9"/>
  <c r="EC145" i="9" s="1"/>
  <c r="N188" i="11"/>
  <c r="BA117" i="22" l="1"/>
  <c r="CE220" i="9"/>
  <c r="CG220" i="9" s="1"/>
  <c r="Z236" i="9"/>
  <c r="AA236" i="9" s="1"/>
  <c r="AH234" i="9"/>
  <c r="AK233" i="9" s="1"/>
  <c r="AL233" i="9" s="1"/>
  <c r="AM233" i="9" s="1"/>
  <c r="AN233" i="9" s="1"/>
  <c r="AO233" i="9" s="1"/>
  <c r="AP233" i="9" s="1"/>
  <c r="N189" i="11"/>
  <c r="EM144" i="9"/>
  <c r="EH145" i="9"/>
  <c r="EI145" i="9" s="1"/>
  <c r="EJ145" i="9" s="1"/>
  <c r="EK145" i="9" s="1"/>
  <c r="EL145" i="9" s="1"/>
  <c r="EM145" i="9" s="1"/>
  <c r="CV250" i="9"/>
  <c r="CM255" i="9"/>
  <c r="CM254" i="9"/>
  <c r="CO257" i="9"/>
  <c r="BT248" i="9"/>
  <c r="N242" i="9"/>
  <c r="Q240" i="9" s="1"/>
  <c r="R240" i="9" s="1"/>
  <c r="S240" i="9" s="1"/>
  <c r="T240" i="9" s="1"/>
  <c r="U240" i="9" s="1"/>
  <c r="FE147" i="9"/>
  <c r="ER146" i="9" s="1"/>
  <c r="ES146" i="9" s="1"/>
  <c r="FB148" i="9"/>
  <c r="I151" i="11"/>
  <c r="N152" i="11"/>
  <c r="N153" i="11"/>
  <c r="CM256" i="9"/>
  <c r="EL140" i="9"/>
  <c r="EC144" i="9"/>
  <c r="BM109" i="22" l="1"/>
  <c r="EL146" i="9"/>
  <c r="F159" i="22"/>
  <c r="AK232" i="9"/>
  <c r="AL232" i="9" s="1"/>
  <c r="AM232" i="9" s="1"/>
  <c r="AN232" i="9" s="1"/>
  <c r="AO232" i="9" s="1"/>
  <c r="AP232" i="9" s="1"/>
  <c r="AK231" i="9"/>
  <c r="N155" i="11"/>
  <c r="FL141" i="9"/>
  <c r="FC146" i="9"/>
  <c r="FC145" i="9"/>
  <c r="V240" i="9"/>
  <c r="Q241" i="9"/>
  <c r="R241" i="9" s="1"/>
  <c r="S241" i="9" s="1"/>
  <c r="T241" i="9" s="1"/>
  <c r="U241" i="9" s="1"/>
  <c r="U242" i="9" s="1"/>
  <c r="FC147" i="9"/>
  <c r="BW247" i="9"/>
  <c r="BX247" i="9" s="1"/>
  <c r="BY247" i="9" s="1"/>
  <c r="BZ247" i="9" s="1"/>
  <c r="CA247" i="9" s="1"/>
  <c r="CB247" i="9" s="1"/>
  <c r="CR254" i="9"/>
  <c r="CR255" i="9"/>
  <c r="CR256" i="9"/>
  <c r="CM257" i="9"/>
  <c r="CF210" i="9"/>
  <c r="G25" i="12" s="1"/>
  <c r="AE131" i="15"/>
  <c r="BL109" i="15"/>
  <c r="BM109" i="15" s="1"/>
  <c r="EM146" i="9"/>
  <c r="EM140" i="9" s="1"/>
  <c r="FE148" i="9"/>
  <c r="FH147" i="9" s="1"/>
  <c r="FI147" i="9" s="1"/>
  <c r="FJ147" i="9" s="1"/>
  <c r="FK147" i="9" s="1"/>
  <c r="FL147" i="9" s="1"/>
  <c r="BW246" i="9"/>
  <c r="BX246" i="9" s="1"/>
  <c r="BY246" i="9" s="1"/>
  <c r="BZ246" i="9" s="1"/>
  <c r="CA246" i="9" s="1"/>
  <c r="CB246" i="9" s="1"/>
  <c r="F153" i="15"/>
  <c r="F160" i="15" s="1"/>
  <c r="BE84" i="15"/>
  <c r="BE44" i="15" s="1"/>
  <c r="BM114" i="22" l="1"/>
  <c r="I167" i="22" s="1" a="1"/>
  <c r="I167" i="22" s="1"/>
  <c r="BE117" i="22"/>
  <c r="BF84" i="22"/>
  <c r="AE136" i="22"/>
  <c r="AL130" i="22"/>
  <c r="AL231" i="9"/>
  <c r="AM231" i="9" s="1"/>
  <c r="AN231" i="9" s="1"/>
  <c r="AO231" i="9" s="1"/>
  <c r="AK234" i="9"/>
  <c r="BH88" i="20"/>
  <c r="ES133" i="9"/>
  <c r="AE137" i="15"/>
  <c r="AL131" i="15"/>
  <c r="G219" i="15" s="1"/>
  <c r="CB248" i="9"/>
  <c r="CB242" i="9" s="1"/>
  <c r="BE117" i="15"/>
  <c r="BF84" i="15"/>
  <c r="CS256" i="9"/>
  <c r="CT256" i="9" s="1"/>
  <c r="CU256" i="9" s="1"/>
  <c r="CV256" i="9" s="1"/>
  <c r="CW256" i="9" s="1"/>
  <c r="CS254" i="9"/>
  <c r="CT254" i="9" s="1"/>
  <c r="CU254" i="9" s="1"/>
  <c r="CV254" i="9" s="1"/>
  <c r="AJ135" i="15"/>
  <c r="EQ131" i="9"/>
  <c r="E34" i="12" s="1"/>
  <c r="BL114" i="15"/>
  <c r="BM114" i="15" s="1"/>
  <c r="CS255" i="9"/>
  <c r="CT255" i="9" s="1"/>
  <c r="CU255" i="9" s="1"/>
  <c r="CV255" i="9" s="1"/>
  <c r="CW255" i="9" s="1"/>
  <c r="V241" i="9"/>
  <c r="V242" i="9" s="1"/>
  <c r="V236" i="9" s="1"/>
  <c r="CA248" i="9"/>
  <c r="FM147" i="9"/>
  <c r="FH146" i="9"/>
  <c r="FI146" i="9" s="1"/>
  <c r="FJ146" i="9" s="1"/>
  <c r="FK146" i="9" s="1"/>
  <c r="FL146" i="9" s="1"/>
  <c r="FM146" i="9" s="1"/>
  <c r="FH145" i="9"/>
  <c r="AJ136" i="22" l="1"/>
  <c r="E167" i="22" s="1" a="1"/>
  <c r="AL134" i="22"/>
  <c r="AP231" i="9"/>
  <c r="AP234" i="9" s="1"/>
  <c r="AP227" i="9" s="1"/>
  <c r="Y210" i="9" s="1"/>
  <c r="AO234" i="9"/>
  <c r="BH121" i="20"/>
  <c r="CW254" i="9"/>
  <c r="CW257" i="9" s="1"/>
  <c r="CW250" i="9" s="1"/>
  <c r="CV257" i="9"/>
  <c r="I156" i="20"/>
  <c r="I163" i="20" s="1"/>
  <c r="AB212" i="9"/>
  <c r="AV88" i="20"/>
  <c r="E33" i="12"/>
  <c r="E35" i="14"/>
  <c r="AL135" i="15"/>
  <c r="G223" i="15" s="1"/>
  <c r="AJ137" i="15"/>
  <c r="BD88" i="20"/>
  <c r="CH212" i="9"/>
  <c r="FI145" i="9"/>
  <c r="FJ145" i="9" s="1"/>
  <c r="FK145" i="9" s="1"/>
  <c r="FL145" i="9" s="1"/>
  <c r="FH148" i="9"/>
  <c r="AB211" i="9" l="1"/>
  <c r="E167" i="22"/>
  <c r="K167" i="22" s="1"/>
  <c r="BI88" i="20"/>
  <c r="J174" i="20" s="1"/>
  <c r="CE210" i="9"/>
  <c r="CH211" i="9"/>
  <c r="X210" i="9"/>
  <c r="L17" i="13" s="1"/>
  <c r="BO99" i="20"/>
  <c r="BP99" i="20" s="1"/>
  <c r="T126" i="20"/>
  <c r="BD121" i="20"/>
  <c r="AV121" i="20"/>
  <c r="FL148" i="9"/>
  <c r="FM145" i="9"/>
  <c r="FM148" i="9" s="1"/>
  <c r="FM141" i="9" s="1"/>
  <c r="G24" i="12"/>
  <c r="G26" i="14"/>
  <c r="K172" i="15"/>
  <c r="K169" i="15"/>
  <c r="K175" i="15"/>
  <c r="K174" i="15"/>
  <c r="K170" i="15"/>
  <c r="K173" i="15"/>
  <c r="K171" i="15"/>
  <c r="E25" i="14"/>
  <c r="E23" i="12"/>
  <c r="E26" i="14"/>
  <c r="E24" i="12"/>
  <c r="AH134" i="20"/>
  <c r="CD210" i="9"/>
  <c r="N17" i="13" s="1"/>
  <c r="BO113" i="20"/>
  <c r="BP113" i="20" s="1"/>
  <c r="K179" i="15" l="1"/>
  <c r="K178" i="15"/>
  <c r="K182" i="15"/>
  <c r="K180" i="15"/>
  <c r="K181" i="15"/>
  <c r="K183" i="15"/>
  <c r="K177" i="15"/>
  <c r="K202" i="22"/>
  <c r="T140" i="20"/>
  <c r="AO126" i="20"/>
  <c r="G23" i="12"/>
  <c r="G25" i="14"/>
  <c r="AO134" i="20"/>
  <c r="AH140" i="20"/>
  <c r="ES132" i="9"/>
  <c r="BO118" i="20"/>
  <c r="BP118" i="20" s="1"/>
  <c r="AM138" i="20"/>
  <c r="EO131" i="9"/>
  <c r="M22" i="13" s="1"/>
  <c r="EP131" i="9"/>
  <c r="K185" i="15" l="1"/>
  <c r="K189" i="15"/>
  <c r="K197" i="15" s="1"/>
  <c r="K188" i="15"/>
  <c r="K196" i="15" s="1"/>
  <c r="K190" i="15"/>
  <c r="K186" i="15"/>
  <c r="K187" i="15"/>
  <c r="K195" i="15" s="1"/>
  <c r="K191" i="15"/>
  <c r="K199" i="15" s="1"/>
  <c r="E32" i="12"/>
  <c r="E34" i="14"/>
  <c r="AO138" i="20"/>
  <c r="AM140" i="20"/>
  <c r="K193" i="15" l="1"/>
  <c r="K201" i="15" s="1"/>
  <c r="K194" i="15"/>
  <c r="K202" i="15" s="1"/>
  <c r="CO147" i="9"/>
  <c r="CG142" i="9"/>
  <c r="CR143" i="9" l="1"/>
  <c r="CS143" i="9" s="1"/>
  <c r="CT143" i="9" s="1"/>
  <c r="CU143" i="9" s="1"/>
  <c r="CV143" i="9" s="1"/>
  <c r="CW143" i="9" s="1"/>
  <c r="CR146" i="9"/>
  <c r="CS146" i="9" s="1"/>
  <c r="CT146" i="9" s="1"/>
  <c r="CU146" i="9" s="1"/>
  <c r="CV146" i="9" s="1"/>
  <c r="CW146" i="9" s="1"/>
  <c r="CR145" i="9"/>
  <c r="CS145" i="9" s="1"/>
  <c r="CT145" i="9" s="1"/>
  <c r="CU145" i="9" s="1"/>
  <c r="CV145" i="9" s="1"/>
  <c r="CW145" i="9" s="1"/>
  <c r="CR144" i="9"/>
  <c r="CS144" i="9" s="1"/>
  <c r="CT144" i="9" s="1"/>
  <c r="CU144" i="9" s="1"/>
  <c r="CV144" i="9" s="1"/>
  <c r="CW144" i="9" s="1"/>
  <c r="CR142" i="9"/>
  <c r="CS142" i="9" s="1"/>
  <c r="CT142" i="9" s="1"/>
  <c r="CU142" i="9" s="1"/>
  <c r="CV142" i="9" s="1"/>
  <c r="CW142" i="9" s="1"/>
  <c r="CW147" i="9" l="1"/>
  <c r="CW138" i="9" s="1"/>
  <c r="CD130" i="9" s="1"/>
  <c r="T5" i="13" s="1"/>
  <c r="CR147" i="9"/>
  <c r="CV147" i="9"/>
  <c r="AD133" i="20" l="1"/>
  <c r="CG131" i="9"/>
  <c r="CC130" i="9"/>
  <c r="O12" i="13" s="1"/>
  <c r="BO109" i="20"/>
  <c r="BP109" i="20" s="1"/>
  <c r="L171" i="20" s="1" a="1"/>
  <c r="L171" i="20" s="1"/>
  <c r="H15" i="12"/>
  <c r="H17" i="14"/>
  <c r="AO133" i="20"/>
  <c r="AD140" i="20"/>
  <c r="N185" i="20" l="1"/>
  <c r="N190" i="20"/>
  <c r="N186" i="20"/>
  <c r="N189" i="20"/>
  <c r="N205" i="20"/>
  <c r="N195" i="20"/>
  <c r="N175" i="20"/>
  <c r="N197" i="20"/>
  <c r="N188" i="20"/>
  <c r="N179" i="20"/>
  <c r="N171" i="20"/>
  <c r="N196" i="20"/>
  <c r="N202" i="20"/>
  <c r="N183" i="20"/>
  <c r="N178" i="20"/>
  <c r="N203" i="20"/>
  <c r="N177" i="20"/>
  <c r="N187" i="20"/>
  <c r="N199" i="20"/>
  <c r="N184" i="20"/>
  <c r="N173" i="20"/>
  <c r="N182" i="20"/>
  <c r="N204" i="20"/>
  <c r="N198" i="20"/>
  <c r="N191" i="20"/>
  <c r="N180" i="20"/>
  <c r="N174" i="20"/>
  <c r="N181" i="20"/>
  <c r="N193" i="20"/>
  <c r="N194" i="20"/>
  <c r="N192" i="20"/>
  <c r="N200" i="20"/>
  <c r="N176" i="20"/>
  <c r="N172" i="20"/>
  <c r="K168" i="15"/>
  <c r="K176" i="15" l="1"/>
  <c r="K184" i="15" l="1"/>
  <c r="K192" i="15" l="1"/>
  <c r="K200" i="15" s="1"/>
  <c r="K203" i="15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<sst xmlns="http://schemas.openxmlformats.org/spreadsheetml/2006/main" count="5709" uniqueCount="678">
  <si>
    <t>B</t>
  </si>
  <si>
    <t>m</t>
  </si>
  <si>
    <t>Inputs</t>
  </si>
  <si>
    <t>Outputs</t>
  </si>
  <si>
    <t>Iron Ore</t>
  </si>
  <si>
    <t>MW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</si>
  <si>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</si>
  <si>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</si>
  <si>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</si>
  <si>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</si>
  <si>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t>Pig Iron</t>
  </si>
  <si>
    <t>[kg]</t>
  </si>
  <si>
    <t>[kg/mol]</t>
  </si>
  <si>
    <t>[mol]</t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</si>
  <si>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</si>
  <si>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Fe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  <r>
      <rPr>
        <vertAlign val="subscript"/>
        <sz val="12"/>
        <color rgb="FF000000"/>
        <rFont val="Aptos Narrow"/>
        <family val="2"/>
        <scheme val="minor"/>
      </rPr>
      <t>3</t>
    </r>
  </si>
  <si>
    <t>Fe</t>
  </si>
  <si>
    <r>
      <t>SiO</t>
    </r>
    <r>
      <rPr>
        <vertAlign val="subscript"/>
        <sz val="12"/>
        <color rgb="FF000000"/>
        <rFont val="Aptos Narrow"/>
        <family val="2"/>
        <scheme val="minor"/>
      </rPr>
      <t>2</t>
    </r>
  </si>
  <si>
    <t>C</t>
  </si>
  <si>
    <t>Sum</t>
  </si>
  <si>
    <t>Limestone</t>
  </si>
  <si>
    <r>
      <t>CaCO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</si>
  <si>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CaSiO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</si>
  <si>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</si>
  <si>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</si>
  <si>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</si>
  <si>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</si>
  <si>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O</t>
    </r>
    <r>
      <rPr>
        <vertAlign val="subscript"/>
        <sz val="11"/>
        <color theme="1"/>
        <rFont val="Aptos Narrow"/>
        <family val="2"/>
        <scheme val="minor"/>
      </rPr>
      <t>2</t>
    </r>
  </si>
  <si>
    <t>g</t>
  </si>
  <si>
    <t>O</t>
  </si>
  <si>
    <t>Si</t>
  </si>
  <si>
    <t>Ca</t>
  </si>
  <si>
    <t>n</t>
  </si>
  <si>
    <t>a</t>
  </si>
  <si>
    <t>b</t>
  </si>
  <si>
    <t>c</t>
  </si>
  <si>
    <t>d</t>
  </si>
  <si>
    <t>e</t>
  </si>
  <si>
    <t>f</t>
  </si>
  <si>
    <t>y</t>
  </si>
  <si>
    <t>h</t>
  </si>
  <si>
    <t>[i]</t>
  </si>
  <si>
    <t>[mol i]</t>
  </si>
  <si>
    <t>[mol i/mol m]</t>
  </si>
  <si>
    <t>Coefficient</t>
  </si>
  <si>
    <t>[tons]</t>
  </si>
  <si>
    <t>i</t>
  </si>
  <si>
    <t>x</t>
  </si>
  <si>
    <t>[kJ]</t>
  </si>
  <si>
    <r>
      <t>b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</si>
  <si>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</si>
  <si>
    <t>Sources:</t>
  </si>
  <si>
    <t>Mass Conversion</t>
  </si>
  <si>
    <t>[kg/ton]</t>
  </si>
  <si>
    <r>
      <t>G</t>
    </r>
    <r>
      <rPr>
        <vertAlign val="subscript"/>
        <sz val="11"/>
        <color theme="1"/>
        <rFont val="Aptos Narrow"/>
        <family val="2"/>
        <scheme val="minor"/>
      </rPr>
      <t>f</t>
    </r>
  </si>
  <si>
    <t>Element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</si>
  <si>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ch,j</t>
    </r>
  </si>
  <si>
    <t>R</t>
  </si>
  <si>
    <t>[kJ/mol]</t>
  </si>
  <si>
    <t>kg/mol</t>
  </si>
  <si>
    <t>[j]</t>
  </si>
  <si>
    <t>[kJ/molj]</t>
  </si>
  <si>
    <t>[kJ/mol -K]</t>
  </si>
  <si>
    <t>[K]</t>
  </si>
  <si>
    <r>
      <t>CO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</si>
  <si>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</si>
  <si>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</si>
  <si>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</si>
  <si>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</si>
  <si>
    <t>N/A</t>
  </si>
  <si>
    <t>Chemical Formula for Complete Combustion</t>
  </si>
  <si>
    <r>
      <t>n of 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</si>
  <si>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Coeff 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</si>
  <si>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Coeff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</si>
  <si>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</si>
  <si>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</si>
  <si>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</si>
  <si>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 i/mol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>]</t>
    </r>
  </si>
  <si>
    <t>Complete Combustion Example</t>
  </si>
  <si>
    <t>Methane</t>
  </si>
  <si>
    <t>Combustion Chamber</t>
  </si>
  <si>
    <t>Mixer</t>
  </si>
  <si>
    <t>[kJ/kJ]</t>
  </si>
  <si>
    <t>Air</t>
  </si>
  <si>
    <r>
      <t>[kg/mol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</si>
  <si>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N</t>
    </r>
    <r>
      <rPr>
        <vertAlign val="subscript"/>
        <sz val="12"/>
        <color rgb="FF000000"/>
        <rFont val="Aptos Narrow (Body)"/>
      </rPr>
      <t>i</t>
    </r>
  </si>
  <si>
    <r>
      <t>[mol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</si>
  <si>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</si>
  <si>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</si>
  <si>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</si>
  <si>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</si>
  <si>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</si>
  <si>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</si>
  <si>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</si>
  <si>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</si>
  <si>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</si>
  <si>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</si>
  <si>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t>Cooling</t>
  </si>
  <si>
    <t>[-]</t>
  </si>
  <si>
    <r>
      <t>T</t>
    </r>
    <r>
      <rPr>
        <vertAlign val="subscript"/>
        <sz val="11"/>
        <color theme="1"/>
        <rFont val="Aptos Narrow"/>
        <family val="2"/>
        <scheme val="minor"/>
      </rPr>
      <t>0</t>
    </r>
  </si>
  <si>
    <t>Compound</t>
  </si>
  <si>
    <t>s</t>
  </si>
  <si>
    <t>At 2236 K</t>
  </si>
  <si>
    <r>
      <t>h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</si>
  <si>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</si>
  <si>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</si>
  <si>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]</t>
    </r>
  </si>
  <si>
    <t>Sources</t>
  </si>
  <si>
    <r>
      <t>At 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</si>
  <si>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-K]</t>
    </r>
  </si>
  <si>
    <r>
      <t>RT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</si>
  <si>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</si>
  <si>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t>Heat Loss</t>
  </si>
  <si>
    <t>IN</t>
  </si>
  <si>
    <t>OUT</t>
  </si>
  <si>
    <r>
      <t>[kg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</si>
  <si>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</si>
  <si>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</si>
  <si>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Mw</t>
    </r>
    <r>
      <rPr>
        <vertAlign val="subscript"/>
        <sz val="11"/>
        <color theme="1"/>
        <rFont val="Aptos Narrow"/>
        <family val="2"/>
        <scheme val="minor"/>
      </rPr>
      <t>ore</t>
    </r>
  </si>
  <si>
    <r>
      <t>[kg/mol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</si>
  <si>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n</t>
    </r>
    <r>
      <rPr>
        <vertAlign val="subscript"/>
        <sz val="11"/>
        <color theme="1"/>
        <rFont val="Aptos Narrow"/>
        <family val="2"/>
        <scheme val="minor"/>
      </rPr>
      <t>ore</t>
    </r>
  </si>
  <si>
    <t>Value</t>
  </si>
  <si>
    <t>CO</t>
  </si>
  <si>
    <t>CaO</t>
  </si>
  <si>
    <r>
      <t xml:space="preserve">Dean, John A. </t>
    </r>
    <r>
      <rPr>
        <i/>
        <sz val="11"/>
        <color theme="1"/>
        <rFont val="Aptos Narrow"/>
        <family val="2"/>
        <scheme val="minor"/>
      </rPr>
      <t>Lange's Handbook of Chemistry, 12th ed.</t>
    </r>
    <r>
      <rPr>
        <sz val="11"/>
        <color theme="1"/>
        <rFont val="Aptos Narrow"/>
        <family val="2"/>
        <scheme val="minor"/>
      </rPr>
      <t>; McGraw-Hill; New York, New York, 1979; p 9-4-9-94.</t>
    </r>
  </si>
  <si>
    <t>Chemical Formula for Simplified Blast Furnace</t>
  </si>
  <si>
    <t>https://www.economics.utoronto.ca/munro5/BlastFurnaceHydraulic.pdf</t>
  </si>
  <si>
    <t>Chem. Eqns.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</si>
  <si>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277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</si>
  <si>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</si>
  <si>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N</t>
    </r>
    <r>
      <rPr>
        <vertAlign val="subscript"/>
        <sz val="12"/>
        <color rgb="FF000000"/>
        <rFont val="Aptos Narrow (Body)"/>
      </rPr>
      <t>i,1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</si>
  <si>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</si>
  <si>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</si>
  <si>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c,i,1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</si>
  <si>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i,1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</si>
  <si>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</si>
  <si>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</si>
  <si>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</si>
  <si>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ch,i,2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</si>
  <si>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</si>
  <si>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c,i,2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</si>
  <si>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i,2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</si>
  <si>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m,2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</si>
  <si>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m,2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</si>
  <si>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i,3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</si>
  <si>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ch,i,3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</si>
  <si>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i,3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</si>
  <si>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c,i,3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</si>
  <si>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i,3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</si>
  <si>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m,3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</si>
  <si>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i,4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</si>
  <si>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</si>
  <si>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m,4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(b</t>
    </r>
    <r>
      <rPr>
        <vertAlign val="subscript"/>
        <sz val="12"/>
        <color rgb="FF000000"/>
        <rFont val="Aptos Narrow"/>
        <family val="2"/>
        <scheme val="minor"/>
      </rPr>
      <t xml:space="preserve">i </t>
    </r>
    <r>
      <rPr>
        <sz val="12"/>
        <color rgb="FF000000"/>
        <rFont val="Aptos Narrow"/>
        <family val="2"/>
        <scheme val="minor"/>
      </rPr>
      <t>+ x</t>
    </r>
    <r>
      <rPr>
        <vertAlign val="subscript"/>
        <sz val="12"/>
        <color rgb="FF000000"/>
        <rFont val="Aptos Narrow"/>
        <family val="2"/>
        <scheme val="minor"/>
      </rPr>
      <t>ph,i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</si>
  <si>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m,4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</si>
  <si>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ph,i,4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</si>
  <si>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i,4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</si>
  <si>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c,i,4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</si>
  <si>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</si>
  <si>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ch,i,4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</si>
  <si>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i,4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</si>
  <si>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1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</si>
  <si>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</si>
  <si>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</si>
  <si>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</si>
  <si>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</si>
  <si>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</si>
  <si>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</si>
  <si>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</si>
  <si>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3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</si>
  <si>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</si>
  <si>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</si>
  <si>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4</t>
    </r>
  </si>
  <si>
    <r>
      <t>h, h</t>
    </r>
    <r>
      <rPr>
        <vertAlign val="sub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, s, 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</si>
  <si>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 xml:space="preserve">Cengel, Yunus A.; Boles, Michael A.; </t>
    </r>
    <r>
      <rPr>
        <i/>
        <sz val="11"/>
        <color theme="1"/>
        <rFont val="Aptos Narrow"/>
        <family val="2"/>
        <scheme val="minor"/>
      </rPr>
      <t>Thermodynamics, An Engineering Approach</t>
    </r>
    <r>
      <rPr>
        <sz val="11"/>
        <color theme="1"/>
        <rFont val="Aptos Narrow"/>
        <family val="2"/>
        <scheme val="minor"/>
      </rPr>
      <t>, McGraw-Hill; New York, New York, 2015; p 926-937</t>
    </r>
  </si>
  <si>
    <t>p 3</t>
  </si>
  <si>
    <t>Sishen Mine</t>
  </si>
  <si>
    <t>Hauling</t>
  </si>
  <si>
    <t>Crushing</t>
  </si>
  <si>
    <t>Grinding</t>
  </si>
  <si>
    <t>MgO</t>
  </si>
  <si>
    <t>S</t>
  </si>
  <si>
    <t>P</t>
  </si>
  <si>
    <t>H</t>
  </si>
  <si>
    <t>Cl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</si>
  <si>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i,5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</si>
  <si>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5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</si>
  <si>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5</t>
    </r>
  </si>
  <si>
    <t>Assuming that the aim is to produce hot CP, right?</t>
  </si>
  <si>
    <t>Anything else going out? Heat? Work?</t>
  </si>
  <si>
    <t>Extraction</t>
  </si>
  <si>
    <t>p 4-11</t>
  </si>
  <si>
    <t xml:space="preserve">https://www.energy.gov/sites/prod/files/2013/11/f4/iron.pdf </t>
  </si>
  <si>
    <t>Coal Energy</t>
  </si>
  <si>
    <t>https://www.dmre.gov.za/Portals/0/Energy_Website/files/media/explained/statistics_energyoutlook_2002.pdf</t>
  </si>
  <si>
    <t>p 53</t>
  </si>
  <si>
    <t>Table 8</t>
  </si>
  <si>
    <t>Table 4-2</t>
  </si>
  <si>
    <t>Grootegeluk Mine</t>
  </si>
  <si>
    <t xml:space="preserve">https://www.mining-technology.com/marketdata/five-largest-coal-mines-south-africa/ </t>
  </si>
  <si>
    <t>Coal Source</t>
  </si>
  <si>
    <t>site</t>
  </si>
  <si>
    <t>j</t>
  </si>
  <si>
    <t>k</t>
  </si>
  <si>
    <t>l</t>
  </si>
  <si>
    <t>o</t>
  </si>
  <si>
    <t>p</t>
  </si>
  <si>
    <t>b*3.76</t>
  </si>
  <si>
    <t>[atm]</t>
  </si>
  <si>
    <r>
      <t>b</t>
    </r>
    <r>
      <rPr>
        <vertAlign val="subscript"/>
        <sz val="12"/>
        <color rgb="FF000000"/>
        <rFont val="Aptos Narrow"/>
        <family val="2"/>
        <scheme val="minor"/>
      </rPr>
      <t>m,3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</si>
  <si>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5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</si>
  <si>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i,5</t>
    </r>
  </si>
  <si>
    <r>
      <t>Q</t>
    </r>
    <r>
      <rPr>
        <vertAlign val="subscript"/>
        <sz val="11"/>
        <color theme="1"/>
        <rFont val="Aptos Narrow"/>
        <family val="2"/>
        <scheme val="minor"/>
      </rPr>
      <t>i,6</t>
    </r>
    <r>
      <rPr>
        <sz val="11"/>
        <color theme="1"/>
        <rFont val="Aptos Narrow"/>
        <family val="2"/>
        <scheme val="minor"/>
      </rPr>
      <t xml:space="preserve"> = N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 xml:space="preserve"> (h</t>
    </r>
    <r>
      <rPr>
        <vertAlign val="subscript"/>
        <sz val="11"/>
        <color theme="1"/>
        <rFont val="Aptos Narrow"/>
        <family val="2"/>
        <scheme val="minor"/>
      </rPr>
      <t>i,4</t>
    </r>
    <r>
      <rPr>
        <sz val="11"/>
        <color theme="1"/>
        <rFont val="Aptos Narrow"/>
        <family val="2"/>
        <scheme val="minor"/>
      </rPr>
      <t xml:space="preserve"> - h</t>
    </r>
    <r>
      <rPr>
        <vertAlign val="subscript"/>
        <sz val="11"/>
        <color theme="1"/>
        <rFont val="Aptos Narrow"/>
        <family val="2"/>
        <scheme val="minor"/>
      </rPr>
      <t>i,5</t>
    </r>
    <r>
      <rPr>
        <sz val="11"/>
        <color theme="1"/>
        <rFont val="Aptos Narrow"/>
        <family val="2"/>
        <scheme val="minor"/>
      </rPr>
      <t>)</t>
    </r>
  </si>
  <si>
    <r>
      <t>X</t>
    </r>
    <r>
      <rPr>
        <vertAlign val="subscript"/>
        <sz val="11"/>
        <color theme="1"/>
        <rFont val="Aptos Narrow"/>
        <family val="2"/>
        <scheme val="minor"/>
      </rPr>
      <t>i,6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</si>
  <si>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6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</si>
  <si>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6</t>
    </r>
  </si>
  <si>
    <r>
      <t>X</t>
    </r>
    <r>
      <rPr>
        <b/>
        <vertAlign val="subscript"/>
        <sz val="11"/>
        <color theme="1"/>
        <rFont val="Aptos Narrow"/>
        <family val="2"/>
        <scheme val="minor"/>
      </rPr>
      <t>6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</si>
  <si>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ch,i,5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</si>
  <si>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i,5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</si>
  <si>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c,i,5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</si>
  <si>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i,5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</si>
  <si>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i,5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</si>
  <si>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ph,i,5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</si>
  <si>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m,5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(b</t>
    </r>
    <r>
      <rPr>
        <vertAlign val="subscript"/>
        <sz val="12"/>
        <color rgb="FF000000"/>
        <rFont val="Aptos Narrow"/>
        <family val="2"/>
        <scheme val="minor"/>
      </rPr>
      <t xml:space="preserve">i </t>
    </r>
    <r>
      <rPr>
        <sz val="12"/>
        <color rgb="FF000000"/>
        <rFont val="Aptos Narrow"/>
        <family val="2"/>
        <scheme val="minor"/>
      </rPr>
      <t>+ x</t>
    </r>
    <r>
      <rPr>
        <vertAlign val="subscript"/>
        <sz val="12"/>
        <color rgb="FF000000"/>
        <rFont val="Aptos Narrow"/>
        <family val="2"/>
        <scheme val="minor"/>
      </rPr>
      <t>ph,i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</si>
  <si>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m,5</t>
    </r>
  </si>
  <si>
    <r>
      <rPr>
        <sz val="11"/>
        <color rgb="FFFF0000"/>
        <rFont val="Aptos Narrow"/>
        <family val="2"/>
        <scheme val="minor"/>
      </rPr>
      <t>f</t>
    </r>
    <r>
      <rPr>
        <sz val="11"/>
        <color theme="1"/>
        <rFont val="Aptos Narrow"/>
        <family val="2"/>
        <scheme val="minor"/>
      </rPr>
      <t xml:space="preserve"> CO</t>
    </r>
  </si>
  <si>
    <r>
      <rPr>
        <sz val="11"/>
        <color rgb="FFFF0000"/>
        <rFont val="Aptos Narrow"/>
        <family val="2"/>
        <scheme val="minor"/>
      </rPr>
      <t>d</t>
    </r>
    <r>
      <rPr>
        <sz val="11"/>
        <rFont val="Aptos Narrow"/>
        <family val="2"/>
        <scheme val="minor"/>
      </rPr>
      <t xml:space="preserve"> C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 xml:space="preserve">+ </t>
    </r>
    <r>
      <rPr>
        <sz val="11"/>
        <color rgb="FFFF0000"/>
        <rFont val="Aptos Narrow"/>
        <family val="2"/>
        <scheme val="minor"/>
      </rPr>
      <t>e</t>
    </r>
    <r>
      <rPr>
        <sz val="11"/>
        <color theme="1"/>
        <rFont val="Aptos Narrow"/>
        <family val="2"/>
        <scheme val="minor"/>
      </rPr>
      <t xml:space="preserve"> C</t>
    </r>
  </si>
  <si>
    <r>
      <rPr>
        <sz val="11"/>
        <color rgb="FFFF0000"/>
        <rFont val="Aptos Narrow"/>
        <family val="2"/>
        <scheme val="minor"/>
      </rPr>
      <t>g</t>
    </r>
    <r>
      <rPr>
        <sz val="11"/>
        <color theme="1"/>
        <rFont val="Aptos Narrow"/>
        <family val="2"/>
        <scheme val="minor"/>
      </rPr>
      <t xml:space="preserve"> Fe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h </t>
    </r>
    <r>
      <rPr>
        <sz val="11"/>
        <color theme="1"/>
        <rFont val="Aptos Narrow"/>
        <family val="2"/>
        <scheme val="minor"/>
      </rPr>
      <t>CO</t>
    </r>
  </si>
  <si>
    <r>
      <rPr>
        <sz val="12"/>
        <color rgb="FFFF0000"/>
        <rFont val="Aptos Narrow"/>
        <family val="2"/>
        <scheme val="minor"/>
      </rPr>
      <t xml:space="preserve">i </t>
    </r>
    <r>
      <rPr>
        <sz val="12"/>
        <rFont val="Aptos Narrow"/>
        <family val="2"/>
        <scheme val="minor"/>
      </rPr>
      <t xml:space="preserve">Fe + </t>
    </r>
    <r>
      <rPr>
        <sz val="12"/>
        <color rgb="FFFF0000"/>
        <rFont val="Aptos Narrow"/>
        <family val="2"/>
        <scheme val="minor"/>
      </rPr>
      <t>j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</t>
    </r>
  </si>
  <si>
    <r>
      <rPr>
        <sz val="11"/>
        <color rgb="FFFF0000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CaO +</t>
    </r>
    <r>
      <rPr>
        <sz val="11"/>
        <color rgb="FFFF0000"/>
        <rFont val="Aptos Narrow"/>
        <family val="2"/>
        <scheme val="minor"/>
      </rPr>
      <t xml:space="preserve"> o </t>
    </r>
    <r>
      <rPr>
        <sz val="11"/>
        <color theme="1"/>
        <rFont val="Aptos Narrow"/>
        <family val="2"/>
        <scheme val="minor"/>
      </rPr>
      <t>SiO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</si>
  <si>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CaSiO</t>
    </r>
    <r>
      <rPr>
        <vertAlign val="subscript"/>
        <sz val="11"/>
        <color theme="1"/>
        <rFont val="Aptos Narrow"/>
        <family val="2"/>
        <scheme val="minor"/>
      </rPr>
      <t>3</t>
    </r>
  </si>
  <si>
    <t>[Btu/t]</t>
  </si>
  <si>
    <r>
      <t>[Btu/t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</si>
  <si>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kJ/Btu</t>
  </si>
  <si>
    <t>Energy Conversion</t>
  </si>
  <si>
    <r>
      <t>[kJ/t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</si>
  <si>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E</t>
  </si>
  <si>
    <t>[km]</t>
  </si>
  <si>
    <t>[kJ/ton-km]</t>
  </si>
  <si>
    <t>Separation</t>
  </si>
  <si>
    <t>[kJ/kWh]</t>
  </si>
  <si>
    <t>[kg/kg]</t>
  </si>
  <si>
    <t>Table 2-3</t>
  </si>
  <si>
    <t xml:space="preserve">https://www1.eere.energy.gov/manufacturing/resources/mining/pdfs/coal.pdf </t>
  </si>
  <si>
    <t>p 2-18</t>
  </si>
  <si>
    <t>Coal Beneficiation</t>
  </si>
  <si>
    <t>Table 2-7</t>
  </si>
  <si>
    <t>p 2-23</t>
  </si>
  <si>
    <t>Centrifuge</t>
  </si>
  <si>
    <t>Flotation</t>
  </si>
  <si>
    <t>Screens</t>
  </si>
  <si>
    <t>LHD</t>
  </si>
  <si>
    <t>Fan</t>
  </si>
  <si>
    <t>Trucks</t>
  </si>
  <si>
    <t>Drills</t>
  </si>
  <si>
    <t>Boom</t>
  </si>
  <si>
    <t>Continuous Mining</t>
  </si>
  <si>
    <t>Borers</t>
  </si>
  <si>
    <t>Loaders</t>
  </si>
  <si>
    <t>Crusher</t>
  </si>
  <si>
    <t>Conveyor</t>
  </si>
  <si>
    <t>Roof Bolter</t>
  </si>
  <si>
    <t>Water Pumps</t>
  </si>
  <si>
    <t>Diamond Drill</t>
  </si>
  <si>
    <t>Equip.</t>
  </si>
  <si>
    <t>E Type</t>
  </si>
  <si>
    <t>Elect</t>
  </si>
  <si>
    <t>Equip</t>
  </si>
  <si>
    <t>Lichtenburg-Lothlane Mine</t>
  </si>
  <si>
    <t xml:space="preserve">https://www.dmre.gov.za/LinkClick.aspx?fileticket=gpszd6p3bqQ%3D&amp;portalid=0 </t>
  </si>
  <si>
    <t>p 7 Table 2</t>
  </si>
  <si>
    <t>Percussion Drill</t>
  </si>
  <si>
    <t>Hydraulic Shovel</t>
  </si>
  <si>
    <t>Bulldozer</t>
  </si>
  <si>
    <t>Water Tanker</t>
  </si>
  <si>
    <t>Lighting Plant</t>
  </si>
  <si>
    <t>Fron-End Loader</t>
  </si>
  <si>
    <t>Pumps</t>
  </si>
  <si>
    <t>Grader</t>
  </si>
  <si>
    <t>Diesel</t>
  </si>
  <si>
    <t xml:space="preserve">https://www.energy.gov/sites/prod/files/2013/11/f4/stone.pdf </t>
  </si>
  <si>
    <t>Table 9-2</t>
  </si>
  <si>
    <t>p 9-9</t>
  </si>
  <si>
    <r>
      <t>x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</si>
  <si>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 xml:space="preserve"> [kg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/kg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</si>
  <si>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t>Table 9-3</t>
  </si>
  <si>
    <t>p 9-10</t>
  </si>
  <si>
    <t>Limestone Needed</t>
  </si>
  <si>
    <t>Coking Needed</t>
  </si>
  <si>
    <t>Natural Gas</t>
  </si>
  <si>
    <t>E Tyoe</t>
  </si>
  <si>
    <t>Hydraulic Shovels</t>
  </si>
  <si>
    <t>Graders</t>
  </si>
  <si>
    <t>Water Tankers</t>
  </si>
  <si>
    <t>Trains</t>
  </si>
  <si>
    <t>Ball Mill</t>
  </si>
  <si>
    <t>Crushers</t>
  </si>
  <si>
    <t>Rod Mill</t>
  </si>
  <si>
    <t>Filter</t>
  </si>
  <si>
    <t>Pelletizer</t>
  </si>
  <si>
    <t>Thickener</t>
  </si>
  <si>
    <t>Table 4-4</t>
  </si>
  <si>
    <t>p 4-12</t>
  </si>
  <si>
    <t>Train</t>
  </si>
  <si>
    <r>
      <t>O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</si>
  <si>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t>N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</si>
  <si>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+ 3.76 </t>
    </r>
    <r>
      <rPr>
        <sz val="12"/>
        <color rgb="FFFF0000"/>
        <rFont val="Aptos Narrow"/>
        <family val="2"/>
        <scheme val="minor"/>
      </rPr>
      <t>b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</si>
  <si>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 + </t>
    </r>
    <r>
      <rPr>
        <sz val="11"/>
        <color rgb="FFFF0000"/>
        <rFont val="Aptos Narrow"/>
        <family val="2"/>
        <scheme val="minor"/>
      </rPr>
      <t>b</t>
    </r>
    <r>
      <rPr>
        <sz val="11"/>
        <rFont val="Aptos Narrow"/>
        <family val="2"/>
        <scheme val="minor"/>
      </rPr>
      <t xml:space="preserve"> (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>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)</t>
    </r>
  </si>
  <si>
    <r>
      <t>Al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  <r>
      <rPr>
        <vertAlign val="subscript"/>
        <sz val="11"/>
        <color rgb="FF000000"/>
        <rFont val="Calibri"/>
        <family val="2"/>
      </rPr>
      <t>3</t>
    </r>
  </si>
  <si>
    <r>
      <t>Na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</si>
  <si>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 xml:space="preserve">https://www.researchgate.net/publication/332584346_Isothermal_Kinetic_Mechanism_of_Coke_Dissolving_in_Hot_Metal </t>
  </si>
  <si>
    <t>Table 4</t>
  </si>
  <si>
    <t>Al</t>
  </si>
  <si>
    <t>Mg</t>
  </si>
  <si>
    <t>Na</t>
  </si>
  <si>
    <r>
      <t>Cl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</si>
  <si>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K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</si>
  <si>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X</t>
  </si>
  <si>
    <t>ηχ</t>
  </si>
  <si>
    <t>K</t>
  </si>
  <si>
    <t>https://www.saimm.co.za/Journal/v088n03p073.pdf</t>
  </si>
  <si>
    <t>p 83</t>
  </si>
  <si>
    <t xml:space="preserve">https://www.ispatguru.com/calcination-of-limestone/ </t>
  </si>
  <si>
    <t>φ</t>
  </si>
  <si>
    <r>
      <t>MgCO</t>
    </r>
    <r>
      <rPr>
        <vertAlign val="subscript"/>
        <sz val="11"/>
        <color rgb="FF000000"/>
        <rFont val="Calibri"/>
        <family val="2"/>
      </rPr>
      <t>3</t>
    </r>
  </si>
  <si>
    <r>
      <t>[kg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</si>
  <si>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[kJ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</si>
  <si>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B</t>
    </r>
    <r>
      <rPr>
        <b/>
        <vertAlign val="subscript"/>
        <sz val="12"/>
        <color rgb="FF000000"/>
        <rFont val="Calibri"/>
        <family val="2"/>
      </rPr>
      <t>D</t>
    </r>
  </si>
  <si>
    <r>
      <t>CaCO</t>
    </r>
    <r>
      <rPr>
        <vertAlign val="subscript"/>
        <sz val="12"/>
        <color rgb="FF000000"/>
        <rFont val="Calibri"/>
        <family val="2"/>
      </rPr>
      <t>3</t>
    </r>
  </si>
  <si>
    <r>
      <t>[Btu/t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</si>
  <si>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[kJ/t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</si>
  <si>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MgCO</t>
    </r>
    <r>
      <rPr>
        <vertAlign val="subscript"/>
        <sz val="12"/>
        <color rgb="FF000000"/>
        <rFont val="Calibri"/>
        <family val="2"/>
      </rPr>
      <t>3</t>
    </r>
  </si>
  <si>
    <r>
      <t>[kg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</si>
  <si>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</si>
  <si>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[kJ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</si>
  <si>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t>Chemical Formula for Calcining Limestone</t>
  </si>
  <si>
    <r>
      <rPr>
        <sz val="11"/>
        <color rgb="FFFF0000"/>
        <rFont val="Aptos Narrow"/>
        <family val="2"/>
        <scheme val="minor"/>
      </rPr>
      <t>k</t>
    </r>
    <r>
      <rPr>
        <sz val="11"/>
        <color theme="1"/>
        <rFont val="Aptos Narrow"/>
        <family val="2"/>
        <scheme val="minor"/>
      </rPr>
      <t xml:space="preserve"> CaCO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 xml:space="preserve"> MgCO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</si>
  <si>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rPr>
        <sz val="11"/>
        <color rgb="FFFF0000"/>
        <rFont val="Aptos Narrow"/>
        <family val="2"/>
        <scheme val="minor"/>
      </rPr>
      <t xml:space="preserve">l </t>
    </r>
    <r>
      <rPr>
        <sz val="11"/>
        <color theme="1"/>
        <rFont val="Aptos Narrow"/>
        <family val="2"/>
        <scheme val="minor"/>
      </rPr>
      <t xml:space="preserve">CaO + </t>
    </r>
    <r>
      <rPr>
        <sz val="11"/>
        <color rgb="FFFF0000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CO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y </t>
    </r>
    <r>
      <rPr>
        <sz val="11"/>
        <color theme="1"/>
        <rFont val="Aptos Narrow"/>
        <family val="2"/>
        <scheme val="minor"/>
      </rPr>
      <t>MgO</t>
    </r>
  </si>
  <si>
    <r>
      <rPr>
        <sz val="11"/>
        <color theme="1"/>
        <rFont val="Aptos Narrow"/>
        <family val="2"/>
      </rPr>
      <t>Δ</t>
    </r>
    <r>
      <rPr>
        <sz val="7.05"/>
        <color theme="1"/>
        <rFont val="Aptos Narrow"/>
        <family val="2"/>
      </rPr>
      <t>m</t>
    </r>
  </si>
  <si>
    <t xml:space="preserve">Saidur, Rahman &amp; Hossain, Md &amp; Islam, M.R. &amp; Hussain, Fayaz &amp; Mohammed, Hussein. (2011). A review on kiln system modeling. Renewable and Sustainable Energy Reviews. 15. 2487-2500. 10.1016/j.rser.2011.01.020. </t>
  </si>
  <si>
    <t>https://iopscience.iop.org/article/10.1088/1757-899X/1143/1/012050/pdf</t>
  </si>
  <si>
    <t>T</t>
  </si>
  <si>
    <t>Bejan</t>
  </si>
  <si>
    <t>Students</t>
  </si>
  <si>
    <t>Product</t>
  </si>
  <si>
    <t>ηχ Method</t>
  </si>
  <si>
    <t>LHV</t>
  </si>
  <si>
    <t>[kJ/kg]</t>
  </si>
  <si>
    <t xml:space="preserve">https://www.engineeringtoolbox.com/fuels-higher-calorific-values-d_169.html </t>
  </si>
  <si>
    <t>Δm</t>
  </si>
  <si>
    <t xml:space="preserve">https://www.energy.gov/sites/prod/files/2015/08/f26/iron_and_steel_bandwidth_report_0.pdf </t>
  </si>
  <si>
    <t>Beneficiation</t>
  </si>
  <si>
    <t>Kiln</t>
  </si>
  <si>
    <t>BF</t>
  </si>
  <si>
    <t>Coal</t>
  </si>
  <si>
    <t>Focus on Main Product</t>
  </si>
  <si>
    <t>Exergy Upgrades</t>
  </si>
  <si>
    <t>Waste</t>
  </si>
  <si>
    <t>Solid</t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</si>
  <si>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</t>
    </r>
    <r>
      <rPr>
        <sz val="12"/>
        <color rgb="FFFF0000"/>
        <rFont val="Aptos Narrow"/>
        <family val="2"/>
        <scheme val="minor"/>
      </rPr>
      <t xml:space="preserve"> f </t>
    </r>
    <r>
      <rPr>
        <sz val="12"/>
        <color theme="1"/>
        <rFont val="Aptos Narrow"/>
        <family val="2"/>
        <scheme val="minor"/>
      </rP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</si>
  <si>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t>https://www.fishersci.com/content/dam/fishersci/en_US/documents/programs/scientific/technical-documents/data-sheets/fisher-scientific-atomic-weights-datasheet.pdf</t>
  </si>
  <si>
    <t>[mol/mol]</t>
  </si>
  <si>
    <t>[kg/mol i]</t>
  </si>
  <si>
    <t xml:space="preserve">https://www.exergoecology.com/excalc/new_calc_exergy </t>
  </si>
  <si>
    <t>N</t>
  </si>
  <si>
    <t>MXROI</t>
  </si>
  <si>
    <t>n of C out</t>
  </si>
  <si>
    <t>[mol C]</t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</si>
  <si>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</si>
  <si>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S</t>
    </r>
  </si>
  <si>
    <r>
      <t>C</t>
    </r>
    <r>
      <rPr>
        <vertAlign val="subscript"/>
        <sz val="11"/>
        <color rgb="FF000000"/>
        <rFont val="Calibri"/>
        <family val="2"/>
      </rPr>
      <t>6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</si>
  <si>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NH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</si>
  <si>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4</t>
    </r>
  </si>
  <si>
    <t>HCN</t>
  </si>
  <si>
    <r>
      <t>CS</t>
    </r>
    <r>
      <rPr>
        <vertAlign val="subscript"/>
        <sz val="11"/>
        <color rgb="FF000000"/>
        <rFont val="Calibri"/>
        <family val="2"/>
      </rPr>
      <t>2</t>
    </r>
  </si>
  <si>
    <t>https://www.vaxasoftware.com/doc_eduen/qui/dtermoq.pdf</t>
  </si>
  <si>
    <t>https://www.ispatguru.com/coke-oven-gas-generation-and-usage/</t>
  </si>
  <si>
    <t xml:space="preserve">COG </t>
  </si>
  <si>
    <t>https://www.uky.edu/KGS/coal/coal-anthracite.php</t>
  </si>
  <si>
    <t>Coke Oven</t>
  </si>
  <si>
    <t>Ash</t>
  </si>
  <si>
    <t xml:space="preserve">Matsuhashi, Shouhei &amp; Kurosawa, Hiroyuki &amp; Natsui, Shungo &amp; Kon, Tatsuya &amp; Ueda, Shigeru &amp; Inoue, Ryo &amp; Ariyama, Tatsuro. (2012). Evaluation of Coke Mixed Charging Based on Packed Bed Structure and Gas Permeability Changes in Blast Furnace by DEM-CFD Model. ISIJ International. 52. 1990-1999. 10.2355/isijinternational.52.1990. </t>
  </si>
  <si>
    <t>Table 3</t>
  </si>
  <si>
    <t>Ratio</t>
  </si>
  <si>
    <t>[kg C/kg COG]</t>
  </si>
  <si>
    <t>[mol H]</t>
  </si>
  <si>
    <t>[mol O]</t>
  </si>
  <si>
    <t>[mol N]</t>
  </si>
  <si>
    <t>[mol Coal]</t>
  </si>
  <si>
    <t>NA</t>
  </si>
  <si>
    <t>Out</t>
  </si>
  <si>
    <t>In</t>
  </si>
  <si>
    <t>Dry Anthrocite</t>
  </si>
  <si>
    <t>NCV</t>
  </si>
  <si>
    <t>H/C</t>
  </si>
  <si>
    <t>O/C</t>
  </si>
  <si>
    <t>N/C</t>
  </si>
  <si>
    <t>φ dry coal</t>
  </si>
  <si>
    <t>φ Eqn.</t>
  </si>
  <si>
    <t>b_ch_coal</t>
  </si>
  <si>
    <t>h_fg_ash</t>
  </si>
  <si>
    <r>
      <t xml:space="preserve">Kotas,T.J., </t>
    </r>
    <r>
      <rPr>
        <i/>
        <sz val="11"/>
        <color theme="1"/>
        <rFont val="Aptos Narrow"/>
        <scheme val="minor"/>
      </rPr>
      <t>The Exergy Method of Thermal Plant Analysis</t>
    </r>
    <r>
      <rPr>
        <sz val="11"/>
        <color theme="1"/>
        <rFont val="Aptos Narrow"/>
        <scheme val="minor"/>
      </rPr>
      <t>; Krieger Publishing Company, Malabar, Florida,</t>
    </r>
    <r>
      <rPr>
        <sz val="11"/>
        <color theme="1"/>
        <rFont val="Aptos Narrow"/>
        <family val="2"/>
        <scheme val="minor"/>
      </rPr>
      <t xml:space="preserve"> 1995; p. 267-269</t>
    </r>
  </si>
  <si>
    <t>Kotas Method (ex. C.1)</t>
  </si>
  <si>
    <t>Ore Inputs</t>
  </si>
  <si>
    <t>https://www.ispatguru.com/calcination-of-limestone/#google_vignette</t>
  </si>
  <si>
    <t>https://scijournals.onlinelibrary.wiley.com/doi/full/10.1002/ese3.40</t>
  </si>
  <si>
    <t>Focus on All Streams</t>
  </si>
  <si>
    <t>Resource</t>
  </si>
  <si>
    <t>Kiln Ratio</t>
  </si>
  <si>
    <t>Ore</t>
  </si>
  <si>
    <r>
      <rPr>
        <sz val="11"/>
        <color theme="1"/>
        <rFont val="Aptos Narrow (Body)"/>
      </rPr>
      <t>N</t>
    </r>
    <r>
      <rPr>
        <vertAlign val="subscript"/>
        <sz val="11"/>
        <color theme="1"/>
        <rFont val="Aptos Narrow"/>
        <family val="2"/>
        <scheme val="minor"/>
      </rPr>
      <t>i</t>
    </r>
  </si>
  <si>
    <t>In Kiln</t>
  </si>
  <si>
    <t>IN Kiln</t>
  </si>
  <si>
    <t>OUT Kiln</t>
  </si>
  <si>
    <t>IN BF</t>
  </si>
  <si>
    <t>OUT BF</t>
  </si>
  <si>
    <t>Iron ore extraction</t>
  </si>
  <si>
    <t>Limestone extraction</t>
  </si>
  <si>
    <t>Coal extraction</t>
  </si>
  <si>
    <t>U</t>
  </si>
  <si>
    <t>V</t>
  </si>
  <si>
    <t>Y</t>
  </si>
  <si>
    <t>Iron and steel</t>
  </si>
  <si>
    <t>Resources [of Iron ore]</t>
  </si>
  <si>
    <t>Iron ore [from Resources]</t>
  </si>
  <si>
    <r>
      <t>Resources [of Limestone</t>
    </r>
    <r>
      <rPr>
        <sz val="12"/>
        <color rgb="FF000000"/>
        <rFont val="Aptos Narrow (Body)"/>
      </rPr>
      <t>]</t>
    </r>
  </si>
  <si>
    <t>Limestone [from Resources]</t>
  </si>
  <si>
    <t>Coal [from Resources]</t>
  </si>
  <si>
    <t>Blast furnace</t>
  </si>
  <si>
    <t>Kiln Energy [kg/kg Lime]</t>
  </si>
  <si>
    <r>
      <t>n of O</t>
    </r>
    <r>
      <rPr>
        <vertAlign val="subscript"/>
        <sz val="11"/>
        <color theme="1"/>
        <rFont val="Aptos Narrow (Body)"/>
      </rPr>
      <t>2</t>
    </r>
  </si>
  <si>
    <r>
      <t>[mol i/mol O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</si>
  <si>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r>
      <t>B</t>
    </r>
    <r>
      <rPr>
        <b/>
        <vertAlign val="subscript"/>
        <sz val="12"/>
        <color rgb="FF000000"/>
        <rFont val="Aptos Narrow (Body)"/>
      </rPr>
      <t>lost</t>
    </r>
  </si>
  <si>
    <t>Iron</t>
  </si>
  <si>
    <t>[TJ]</t>
  </si>
  <si>
    <t>Electricity</t>
  </si>
  <si>
    <t>Natural gas</t>
  </si>
  <si>
    <t>Coke oven</t>
  </si>
  <si>
    <t>Energy into extraction</t>
  </si>
  <si>
    <t>Energy into hauling</t>
  </si>
  <si>
    <t>Energy into coke oven</t>
  </si>
  <si>
    <t>Limestone beneficiation</t>
  </si>
  <si>
    <t>Rotary kiln</t>
  </si>
  <si>
    <t>Energy into beneficiation</t>
  </si>
  <si>
    <t>Iron ore beneficiation</t>
  </si>
  <si>
    <t>Energy into blast furnace</t>
  </si>
  <si>
    <t>Embodied B</t>
  </si>
  <si>
    <r>
      <t>B</t>
    </r>
    <r>
      <rPr>
        <b/>
        <vertAlign val="subscript"/>
        <sz val="11"/>
        <color theme="1"/>
        <rFont val="Aptos Narrow (Body)"/>
      </rPr>
      <t>lost</t>
    </r>
  </si>
  <si>
    <t>Combustion Air [from Resources]</t>
  </si>
  <si>
    <t>Resources [of Coal]</t>
  </si>
  <si>
    <t xml:space="preserve"> </t>
  </si>
  <si>
    <t xml:space="preserve">https://www.ispatguru.com/coke-oven-gas-generation-and-usage/ </t>
  </si>
  <si>
    <t>To BF</t>
  </si>
  <si>
    <t>To Coke Oven</t>
  </si>
  <si>
    <r>
      <t>CH</t>
    </r>
    <r>
      <rPr>
        <vertAlign val="subscript"/>
        <sz val="11"/>
        <color rgb="FF000000"/>
        <rFont val="Calibri"/>
        <family val="2"/>
      </rPr>
      <t>4</t>
    </r>
  </si>
  <si>
    <r>
      <t>H</t>
    </r>
    <r>
      <rPr>
        <vertAlign val="subscript"/>
        <sz val="11"/>
        <color rgb="FF000000"/>
        <rFont val="Calibri"/>
        <family val="2"/>
      </rPr>
      <t>2</t>
    </r>
  </si>
  <si>
    <r>
      <t>H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O</t>
    </r>
  </si>
  <si>
    <t>CO gas treatment</t>
  </si>
  <si>
    <t>[kWh]</t>
  </si>
  <si>
    <t>Coal beneficiation</t>
  </si>
  <si>
    <t>kJ/cal</t>
  </si>
  <si>
    <t>TJ / t coal</t>
  </si>
  <si>
    <t>[kJ / t coal]</t>
  </si>
  <si>
    <t>[kJ / kg coal]</t>
  </si>
  <si>
    <t>Carmona 2019, Fig. 3</t>
  </si>
  <si>
    <t>Mass balance between industries</t>
  </si>
  <si>
    <t>Vi</t>
  </si>
  <si>
    <t>iV</t>
  </si>
  <si>
    <t>iR</t>
  </si>
  <si>
    <t>iU</t>
  </si>
  <si>
    <t>Ui</t>
  </si>
  <si>
    <r>
      <t>(</t>
    </r>
    <r>
      <rPr>
        <b/>
        <sz val="11"/>
        <color theme="1"/>
        <rFont val="Aptos Narrow"/>
        <scheme val="minor"/>
      </rPr>
      <t>iR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</si>
  <si>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+</t>
  </si>
  <si>
    <r>
      <t>(</t>
    </r>
    <r>
      <rPr>
        <b/>
        <sz val="11"/>
        <color theme="1"/>
        <rFont val="Aptos Narrow"/>
        <scheme val="minor"/>
      </rPr>
      <t>iV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</si>
  <si>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–</t>
  </si>
  <si>
    <t>=</t>
  </si>
  <si>
    <t>Mass balance across industries</t>
  </si>
  <si>
    <t>Supply [of Natural gas]</t>
  </si>
  <si>
    <t>Natural gas [from Supply]</t>
  </si>
  <si>
    <t>-</t>
  </si>
  <si>
    <t>I</t>
  </si>
  <si>
    <t>Total In</t>
  </si>
  <si>
    <t>Total in</t>
  </si>
  <si>
    <t>To Coke Oven and BF</t>
  </si>
  <si>
    <t>Resources [of Combustion air]</t>
  </si>
  <si>
    <t>y = Yi</t>
  </si>
  <si>
    <t>Limestone [from Beneficiation]</t>
  </si>
  <si>
    <t>Coal [from Beneficiation]</t>
  </si>
  <si>
    <t>b_ch_coke</t>
  </si>
  <si>
    <t>Gasoline</t>
  </si>
  <si>
    <t>Supply [of Diesel]</t>
  </si>
  <si>
    <t>Supply [of Gasoline]</t>
  </si>
  <si>
    <r>
      <t>C</t>
    </r>
    <r>
      <rPr>
        <vertAlign val="subscript"/>
        <sz val="11"/>
        <color rgb="FF000000"/>
        <rFont val="Calibri"/>
        <family val="2"/>
      </rPr>
      <t>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18</t>
    </r>
  </si>
  <si>
    <r>
      <t>C</t>
    </r>
    <r>
      <rPr>
        <vertAlign val="subscript"/>
        <sz val="11"/>
        <color rgb="FF000000"/>
        <rFont val="Calibri"/>
        <family val="2"/>
      </rPr>
      <t>12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23</t>
    </r>
  </si>
  <si>
    <t>Coke Oven Gas Treatment</t>
  </si>
  <si>
    <t>Energy IN</t>
  </si>
  <si>
    <t>https://www.engineeringtoolbox.com/specific-heat-fluids-d_151.html</t>
  </si>
  <si>
    <r>
      <t>Diesel c</t>
    </r>
    <r>
      <rPr>
        <vertAlign val="subscript"/>
        <sz val="11"/>
        <color theme="1"/>
        <rFont val="Aptos Narrow (Body)"/>
      </rPr>
      <t>p</t>
    </r>
  </si>
  <si>
    <t>Diesel Combustion</t>
  </si>
  <si>
    <t>Coal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</si>
  <si>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</si>
  <si>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Combustion emissions</t>
  </si>
  <si>
    <t>HHV</t>
  </si>
  <si>
    <t>[cal/mol]</t>
  </si>
  <si>
    <t>[cal/mol-K]</t>
  </si>
  <si>
    <t>Diesel G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</si>
  <si>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563-564</t>
    </r>
  </si>
  <si>
    <t>Electricity Sum</t>
  </si>
  <si>
    <t>Gasoline Combustion</t>
  </si>
  <si>
    <t>Lime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</si>
  <si>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8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18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</si>
  <si>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t>C</t>
    </r>
    <r>
      <rPr>
        <vertAlign val="subscript"/>
        <sz val="11"/>
        <color rgb="FF000000"/>
        <rFont val="Calibri"/>
        <family val="2"/>
      </rPr>
      <t>10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20</t>
    </r>
  </si>
  <si>
    <t>Natural Gas Combustion</t>
  </si>
  <si>
    <t>Oil Combustion</t>
  </si>
  <si>
    <t>Kiln, BF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</si>
  <si>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20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</si>
  <si>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Diesel [from Supply]</t>
  </si>
  <si>
    <t>Gasoline [from Supply]</t>
  </si>
  <si>
    <t>Combustion emissions [from Iron ore extraction]</t>
  </si>
  <si>
    <t>Supply [of Fuel oil]</t>
  </si>
  <si>
    <t>Fuel oil [from Supply]</t>
  </si>
  <si>
    <t>Limestone [from Limestone extraction]</t>
  </si>
  <si>
    <t>Resources [of Limestone]</t>
  </si>
  <si>
    <t>Supply [of Combustion air]</t>
  </si>
  <si>
    <t>Combustion air</t>
  </si>
  <si>
    <t>Combustion emissions [from Coal extraction]</t>
  </si>
  <si>
    <t>Coal [from extraction]</t>
  </si>
  <si>
    <t>Coal [from Benefication]</t>
  </si>
  <si>
    <t>Treated coke oven gas [from CO gas treatment]</t>
  </si>
  <si>
    <t>Combustion air [from Supply]</t>
  </si>
  <si>
    <t>Ash [from Coke oven]</t>
  </si>
  <si>
    <t>Coke oven gas [from Coke oven]</t>
  </si>
  <si>
    <t>Combustion emissions [from Coke oven]</t>
  </si>
  <si>
    <t>Limestone [from Limestone beneficiation]</t>
  </si>
  <si>
    <t>Quicklime [from Rotary kiln]</t>
  </si>
  <si>
    <t>Kiln emissions [from Rotary kiln]</t>
  </si>
  <si>
    <t>Magnesium oxide [from Rotary kiln]</t>
  </si>
  <si>
    <t>Ash [from Beneficiation]</t>
  </si>
  <si>
    <t>Ash [from Hauling]</t>
  </si>
  <si>
    <t>Coal [from Coal extraction]</t>
  </si>
  <si>
    <t>Ash [from Coal extraction]</t>
  </si>
  <si>
    <t>Ash [from Resources]</t>
  </si>
  <si>
    <t>Combustion Air [from Supply]</t>
  </si>
  <si>
    <t>Coal [from Coal hauling]</t>
  </si>
  <si>
    <t>Coal hauling</t>
  </si>
  <si>
    <t>Limestone hauling</t>
  </si>
  <si>
    <t>Limestone [from Limestone hauling]</t>
  </si>
  <si>
    <t>Combustion emissions [from Limestone extraction]</t>
  </si>
  <si>
    <t>Iron ore impurities [from Iron ore beneficiation]</t>
  </si>
  <si>
    <t>Iron ore [from Iron ore beneficiation]</t>
  </si>
  <si>
    <t>Iron ore impurities [from Iron ore hauling]</t>
  </si>
  <si>
    <t>Iron ore [from Iron ore hauling]</t>
  </si>
  <si>
    <t>Iron ore [from Iron ore extraction]</t>
  </si>
  <si>
    <t>Iron ore impurities [from Iron ore extraction]</t>
  </si>
  <si>
    <t>Iron ore impurities [from Resources]</t>
  </si>
  <si>
    <t>Blast furnace mixture [from Mixer]</t>
  </si>
  <si>
    <t>Pig iron [from Blast furnace]</t>
  </si>
  <si>
    <t>Blast furnace gas [from Blast furnace]</t>
  </si>
  <si>
    <t>Fuel oil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</si>
  <si>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</si>
  <si>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</si>
  <si>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</si>
  <si>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t>MWi</t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</si>
  <si>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</si>
  <si>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i</t>
    </r>
    <r>
      <rPr>
        <sz val="11"/>
        <color theme="1"/>
        <rFont val="Aptos Narrow"/>
        <family val="2"/>
        <scheme val="minor"/>
      </rPr>
      <t>]</t>
    </r>
  </si>
  <si>
    <r>
      <t>E</t>
    </r>
    <r>
      <rPr>
        <vertAlign val="subscript"/>
        <sz val="11"/>
        <color theme="1"/>
        <rFont val="Aptos Narrow (Body)"/>
      </rPr>
      <t>i</t>
    </r>
  </si>
  <si>
    <t>Iron ore hauling</t>
  </si>
  <si>
    <t>Coal [from Coal beneficiation]</t>
  </si>
  <si>
    <t>Pig iron slag [from Blast furnace]</t>
  </si>
  <si>
    <t>Supply [of Electricity]</t>
  </si>
  <si>
    <t>Electricity [from Supply]</t>
  </si>
  <si>
    <t>[kWh/kg]</t>
  </si>
  <si>
    <t>Exergy balance between industries</t>
  </si>
  <si>
    <t>Gas/diesel oil excl. biofuels</t>
  </si>
  <si>
    <t>Motor gasoline excl. biofuels</t>
  </si>
  <si>
    <t>X [kJ]</t>
  </si>
  <si>
    <t>EnergyCarrier</t>
  </si>
  <si>
    <t>Gas/diesel oil excl. biofuels [from Supply]</t>
  </si>
  <si>
    <t>Motor gasoline excl. biofuels [from Supply]</t>
  </si>
  <si>
    <t>Supply [of Motor gasoline excl. biofuels]</t>
  </si>
  <si>
    <t>Supply [of Gas/diesel oil excl. biofuels]</t>
  </si>
  <si>
    <t>U_eiou</t>
  </si>
  <si>
    <t>r_eiou</t>
  </si>
  <si>
    <t>U_feed</t>
  </si>
  <si>
    <t>S_units</t>
  </si>
  <si>
    <t>kJ</t>
  </si>
  <si>
    <t>ΔN</t>
  </si>
  <si>
    <t>[mol j]</t>
  </si>
  <si>
    <r>
      <t>N</t>
    </r>
    <r>
      <rPr>
        <vertAlign val="subscript"/>
        <sz val="12"/>
        <color rgb="FF000000"/>
        <rFont val="Aptos Narrow (Body)"/>
      </rPr>
      <t>j</t>
    </r>
  </si>
  <si>
    <t>kg</t>
  </si>
  <si>
    <r>
      <t>H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</si>
  <si>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</t>
    </r>
    <r>
      <rPr>
        <vertAlign val="subscript"/>
        <sz val="11"/>
        <color theme="1"/>
        <rFont val="Aptos Narrow (Body)"/>
      </rPr>
      <t>2</t>
    </r>
  </si>
  <si>
    <t>H %</t>
  </si>
  <si>
    <t>C %</t>
  </si>
  <si>
    <t>b_ch</t>
  </si>
  <si>
    <t>Natural gas (g)</t>
  </si>
  <si>
    <t>Natural gas (l)</t>
  </si>
  <si>
    <t>mass % C</t>
  </si>
  <si>
    <t>mass % H</t>
  </si>
  <si>
    <t xml:space="preserve">m </t>
  </si>
  <si>
    <t>Kotas</t>
  </si>
  <si>
    <t>Method</t>
  </si>
  <si>
    <t>Valero Fuel</t>
  </si>
  <si>
    <t>Valero Mineral</t>
  </si>
  <si>
    <t>[constant]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</si>
  <si>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ch,H2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</si>
  <si>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ch,C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</si>
  <si>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ch,CH4</t>
    </r>
  </si>
  <si>
    <t>[mol H/mol C]</t>
  </si>
  <si>
    <r>
      <t>ΔH</t>
    </r>
    <r>
      <rPr>
        <vertAlign val="subscript"/>
        <sz val="12"/>
        <color rgb="FF000000"/>
        <rFont val="Aptos Narrow (Body)"/>
      </rPr>
      <t>f,C</t>
    </r>
  </si>
  <si>
    <r>
      <t>ΔH</t>
    </r>
    <r>
      <rPr>
        <vertAlign val="subscript"/>
        <sz val="12"/>
        <color rgb="FF000000"/>
        <rFont val="Aptos Narrow (Body)"/>
      </rPr>
      <t>f,H</t>
    </r>
  </si>
  <si>
    <r>
      <t>d</t>
    </r>
    <r>
      <rPr>
        <vertAlign val="subscript"/>
        <sz val="11"/>
        <color theme="1"/>
        <rFont val="Aptos Narrow (Body)"/>
      </rPr>
      <t>1</t>
    </r>
  </si>
  <si>
    <r>
      <t>ΔH</t>
    </r>
    <r>
      <rPr>
        <vertAlign val="subscript"/>
        <sz val="12"/>
        <color rgb="FF000000"/>
        <rFont val="Aptos Narrow (Body)"/>
      </rPr>
      <t>f,CH4</t>
    </r>
  </si>
  <si>
    <r>
      <t>s*</t>
    </r>
    <r>
      <rPr>
        <vertAlign val="subscript"/>
        <sz val="12"/>
        <color rgb="FF000000"/>
        <rFont val="Aptos Narrow (Body)"/>
      </rPr>
      <t>CH4,0</t>
    </r>
  </si>
  <si>
    <r>
      <t>f</t>
    </r>
    <r>
      <rPr>
        <vertAlign val="subscript"/>
        <sz val="12"/>
        <color rgb="FF000000"/>
        <rFont val="Aptos Narrow (Body)"/>
      </rPr>
      <t>H</t>
    </r>
  </si>
  <si>
    <r>
      <t>f</t>
    </r>
    <r>
      <rPr>
        <vertAlign val="subscript"/>
        <sz val="12"/>
        <color rgb="FF000000"/>
        <rFont val="Aptos Narrow (Body)"/>
      </rPr>
      <t>C</t>
    </r>
  </si>
  <si>
    <r>
      <t>b</t>
    </r>
    <r>
      <rPr>
        <vertAlign val="subscript"/>
        <sz val="12"/>
        <color rgb="FF000000"/>
        <rFont val="Aptos Narrow (Body)"/>
      </rPr>
      <t>ch</t>
    </r>
  </si>
  <si>
    <t>dT</t>
  </si>
  <si>
    <r>
      <t>c</t>
    </r>
    <r>
      <rPr>
        <vertAlign val="subscript"/>
        <sz val="12"/>
        <color rgb="FF000000"/>
        <rFont val="Aptos Narrow (Body)"/>
      </rPr>
      <t>v</t>
    </r>
  </si>
  <si>
    <t>[kJ/kg-K]</t>
  </si>
  <si>
    <r>
      <t>c</t>
    </r>
    <r>
      <rPr>
        <vertAlign val="subscript"/>
        <sz val="12"/>
        <color rgb="FF000000"/>
        <rFont val="Aptos Narrow (Body)"/>
      </rPr>
      <t>p</t>
    </r>
  </si>
  <si>
    <r>
      <t>ln(T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/T</t>
    </r>
    <r>
      <rPr>
        <vertAlign val="subscript"/>
        <sz val="11"/>
        <color theme="1"/>
        <rFont val="Aptos Narrow (Body)"/>
      </rPr>
      <t>1</t>
    </r>
    <r>
      <rPr>
        <sz val="11"/>
        <color theme="1"/>
        <rFont val="Aptos Narrow"/>
        <family val="2"/>
        <scheme val="minor"/>
      </rPr>
      <t>)</t>
    </r>
  </si>
  <si>
    <r>
      <t>Δs</t>
    </r>
    <r>
      <rPr>
        <vertAlign val="subscript"/>
        <sz val="12"/>
        <color rgb="FF000000"/>
        <rFont val="Aptos Narrow (Body)"/>
      </rPr>
      <t>f,CH4</t>
    </r>
  </si>
  <si>
    <t>[kJ/mol-K]</t>
  </si>
  <si>
    <r>
      <t>ΔH</t>
    </r>
    <r>
      <rPr>
        <vertAlign val="subscript"/>
        <sz val="12"/>
        <color rgb="FF000000"/>
        <rFont val="Aptos Narrow (Body)"/>
      </rPr>
      <t>f,CO2</t>
    </r>
  </si>
  <si>
    <r>
      <t>ΔH</t>
    </r>
    <r>
      <rPr>
        <vertAlign val="subscript"/>
        <sz val="12"/>
        <color rgb="FF000000"/>
        <rFont val="Aptos Narrow (Body)"/>
      </rPr>
      <t>f,H2O</t>
    </r>
  </si>
  <si>
    <r>
      <t>u</t>
    </r>
    <r>
      <rPr>
        <vertAlign val="subscript"/>
        <sz val="12"/>
        <color rgb="FF000000"/>
        <rFont val="Aptos Narrow (Body)"/>
      </rPr>
      <t>H</t>
    </r>
  </si>
  <si>
    <r>
      <t>u</t>
    </r>
    <r>
      <rPr>
        <vertAlign val="subscript"/>
        <sz val="12"/>
        <color rgb="FF000000"/>
        <rFont val="Aptos Narrow (Body)"/>
      </rPr>
      <t>C</t>
    </r>
  </si>
  <si>
    <t>T [K]</t>
  </si>
  <si>
    <r>
      <t>b</t>
    </r>
    <r>
      <rPr>
        <vertAlign val="subscript"/>
        <sz val="11"/>
        <color theme="1"/>
        <rFont val="Aptos Narrow (Body)"/>
      </rPr>
      <t>CH4(g)</t>
    </r>
  </si>
  <si>
    <r>
      <t>b</t>
    </r>
    <r>
      <rPr>
        <vertAlign val="subscript"/>
        <sz val="11"/>
        <color theme="1"/>
        <rFont val="Aptos Narrow (Body)"/>
      </rPr>
      <t>CH4(l)</t>
    </r>
  </si>
  <si>
    <t>[kg H/kgC]</t>
  </si>
  <si>
    <t>Hand Calcs</t>
  </si>
  <si>
    <t>Anthracite [from Coke oven]</t>
  </si>
  <si>
    <t>Anthracite [from coke oven]</t>
  </si>
  <si>
    <t xml:space="preserve">https://www.kanadevia-inova.com/renewable-gas/liquefaction/ </t>
  </si>
  <si>
    <r>
      <t>η</t>
    </r>
    <r>
      <rPr>
        <vertAlign val="subscript"/>
        <sz val="11"/>
        <color theme="1"/>
        <rFont val="Cambria Math"/>
        <family val="1"/>
      </rPr>
      <t>task</t>
    </r>
  </si>
  <si>
    <r>
      <t>kJ/t</t>
    </r>
    <r>
      <rPr>
        <vertAlign val="subscript"/>
        <sz val="11"/>
        <color theme="1"/>
        <rFont val="Aptos Narrow (Body)"/>
      </rPr>
      <t>ore</t>
    </r>
  </si>
  <si>
    <t>Rational</t>
  </si>
  <si>
    <t>Exergy balance across industries</t>
  </si>
  <si>
    <t>MW Coal</t>
  </si>
  <si>
    <t>X [TJ]</t>
  </si>
  <si>
    <t>Moles</t>
  </si>
  <si>
    <t>φ base</t>
  </si>
  <si>
    <t xml:space="preserve">φ </t>
  </si>
  <si>
    <t>b_ch_diesel</t>
  </si>
  <si>
    <t>constant</t>
  </si>
  <si>
    <t xml:space="preserve">Kotas 1995 </t>
  </si>
  <si>
    <t>Appx. C</t>
  </si>
  <si>
    <t>b_ch_gasoline</t>
  </si>
  <si>
    <t>b_ch_oil</t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</si>
  <si>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</si>
  <si>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"/>
        <scheme val="minor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</si>
  <si>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t>Kiln Air Ratio</t>
  </si>
  <si>
    <r>
      <t>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>O</t>
    </r>
  </si>
  <si>
    <r>
      <t xml:space="preserve"> </t>
    </r>
    <r>
      <rPr>
        <sz val="11"/>
        <color theme="1"/>
        <rFont val="Aptos Narrow (Body)"/>
      </rPr>
      <t xml:space="preserve">Source of incomplete combustion formula </t>
    </r>
    <r>
      <rPr>
        <u/>
        <sz val="11"/>
        <color theme="10"/>
        <rFont val="Aptos Narrow"/>
        <family val="2"/>
        <scheme val="minor"/>
      </rPr>
      <t xml:space="preserve">https://chem.libretexts.org/Bookshelves/Organic_Chemistry/Supplemental_Modules_(Organic_Chemistry)/Alkanes/Reactivity_of_Alkanes/Complete_vs._Incomplete_Combustion_of_Alkanes </t>
    </r>
  </si>
  <si>
    <t xml:space="preserve">Saidur, Rahman &amp; Hossain, Md &amp; Islam, M.R. &amp; Hussain, Fayaz &amp; Mohammed, Hussein. (2011). A review on kiln system modeling. Renewable and Sustainable Energy Reviews. 15. 2487-2500. 10.1016/j.rser.2011.01.020.  </t>
  </si>
  <si>
    <t>Air ratio to Limestone input</t>
  </si>
  <si>
    <t>Mole of element produced to find moles of element in coal composition</t>
  </si>
  <si>
    <t>Converted mol C in coal comp. to ratio of 1 mol C</t>
  </si>
  <si>
    <t>Composition from Tab 2. Assuming the top three chemical are produced.</t>
  </si>
  <si>
    <t>Used COG composition and COG ratio to coke produced. Assumed the main compounds and removed the smaller volumes of compounds</t>
  </si>
  <si>
    <t>Treated COG to Blast furnace</t>
  </si>
  <si>
    <t>Treated COG to Coke oven</t>
  </si>
  <si>
    <t>Assumed complete combustion</t>
  </si>
  <si>
    <r>
      <t xml:space="preserve">Tro, Nivaldo J., </t>
    </r>
    <r>
      <rPr>
        <i/>
        <sz val="11"/>
        <color theme="1"/>
        <rFont val="Aptos Narrow"/>
        <scheme val="minor"/>
      </rPr>
      <t>Chemistry a Molecular Approach</t>
    </r>
    <r>
      <rPr>
        <sz val="11"/>
        <color theme="1"/>
        <rFont val="Aptos Narrow"/>
        <scheme val="minor"/>
      </rPr>
      <t>,</t>
    </r>
    <r>
      <rPr>
        <sz val="11"/>
        <color theme="1"/>
        <rFont val="Aptos Narrow"/>
        <family val="2"/>
        <scheme val="minor"/>
      </rPr>
      <t xml:space="preserve"> Pearson Education, Inc., 2008, Appendix ii, p.A-7-A-12</t>
    </r>
  </si>
  <si>
    <r>
      <t>h</t>
    </r>
    <r>
      <rPr>
        <vertAlign val="subscript"/>
        <sz val="12"/>
        <color rgb="FF000000"/>
        <rFont val="Aptos Narrow (Body)"/>
      </rPr>
      <t>i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</si>
  <si>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</si>
  <si>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t>kJ/kg</t>
  </si>
  <si>
    <t>https://pubs.geoscienceworld.org/msa/ammin/article-abstract/79/1-2/134/42837/Enthalpy-of-formation-of-wollastonite-CaSiO3-and</t>
  </si>
  <si>
    <t>h_CaSiO3</t>
  </si>
  <si>
    <t>Enthalpy balance between industries</t>
  </si>
  <si>
    <t xml:space="preserve">https://www.engineeringtoolbox.com/coal-heating-values-d_1675.html </t>
  </si>
  <si>
    <t>COG treatment</t>
  </si>
  <si>
    <t>Treated coke oven gas [from COG treatment]</t>
  </si>
  <si>
    <t>Treated coke oven gas [from COG distributor]</t>
  </si>
  <si>
    <t>COG distribution</t>
  </si>
  <si>
    <t>Treated coke oven gas [from COG distribution]</t>
  </si>
  <si>
    <t>h not expdcted to balance bc dist. Node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</si>
</sst>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0000"/>
    <numFmt numFmtId="165" formatCode="0.000"/>
    <numFmt numFmtId="166" formatCode="0.00000000"/>
    <numFmt numFmtId="167" formatCode="0.000000000"/>
    <numFmt numFmtId="168" formatCode="0.000000"/>
    <numFmt numFmtId="169" formatCode="0.0"/>
    <numFmt numFmtId="170" formatCode="0.E+00"/>
    <numFmt numFmtId="171" formatCode="0.00000"/>
    <numFmt numFmtId="172" formatCode="0.0000000"/>
  </numFmts>
  <fonts count="74" x14ac:knownFonts="1"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vertAlign val="subscript"/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sz val="11"/>
      <color rgb="FF000000"/>
      <name val="Calibri"/>
      <family val="2"/>
    </font>
    <font>
      <vertAlign val="subscript"/>
      <sz val="11"/>
      <color theme="1"/>
      <name val="Aptos Narrow"/>
      <family val="2"/>
      <scheme val="minor"/>
    </font>
    <font>
      <b/>
      <sz val="22"/>
      <color theme="1"/>
      <name val="Aptos Narrow"/>
      <family val="2"/>
      <scheme val="minor"/>
    </font>
    <font>
      <sz val="12"/>
      <color rgb="FF000000"/>
      <name val="Calibri"/>
      <family val="2"/>
    </font>
    <font>
      <sz val="12"/>
      <color theme="1"/>
      <name val="Aptos Narrow"/>
      <family val="2"/>
      <scheme val="minor"/>
    </font>
    <font>
      <b/>
      <sz val="15"/>
      <color theme="1"/>
      <name val="Aptos Narrow"/>
      <family val="2"/>
      <scheme val="minor"/>
    </font>
    <font>
      <vertAlign val="subscript"/>
      <sz val="12"/>
      <color theme="1"/>
      <name val="Aptos Narrow"/>
      <family val="2"/>
      <scheme val="minor"/>
    </font>
    <font>
      <sz val="12"/>
      <color rgb="FF000000"/>
      <name val="Aptos Narrow"/>
      <family val="2"/>
    </font>
    <font>
      <u/>
      <sz val="11"/>
      <color theme="10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2"/>
      <color rgb="FF000000"/>
      <name val="Aptos Narrow"/>
      <family val="2"/>
      <scheme val="minor"/>
    </font>
    <font>
      <sz val="12"/>
      <color rgb="FFFF0000"/>
      <name val="Aptos Narrow"/>
      <family val="2"/>
      <scheme val="minor"/>
    </font>
    <font>
      <sz val="11"/>
      <name val="Aptos Narrow"/>
      <family val="2"/>
      <scheme val="minor"/>
    </font>
    <font>
      <vertAlign val="subscript"/>
      <sz val="12"/>
      <color rgb="FF000000"/>
      <name val="Aptos Narrow (Body)"/>
    </font>
    <font>
      <vertAlign val="subscript"/>
      <sz val="11"/>
      <color theme="1"/>
      <name val="Aptos Narrow (Body)"/>
    </font>
    <font>
      <vertAlign val="subscript"/>
      <sz val="11"/>
      <color rgb="FF000000"/>
      <name val="Calibri"/>
      <family val="2"/>
    </font>
    <font>
      <i/>
      <sz val="11"/>
      <color theme="1"/>
      <name val="Aptos Narrow"/>
      <family val="2"/>
      <scheme val="minor"/>
    </font>
    <font>
      <sz val="12"/>
      <name val="Aptos Narrow"/>
      <family val="2"/>
      <scheme val="minor"/>
    </font>
    <font>
      <sz val="26"/>
      <color theme="1"/>
      <name val="Aptos Narrow"/>
      <family val="2"/>
      <scheme val="minor"/>
    </font>
    <font>
      <sz val="26"/>
      <color rgb="FF000000"/>
      <name val="Aptos Narrow"/>
      <family val="2"/>
      <scheme val="minor"/>
    </font>
    <font>
      <b/>
      <vertAlign val="subscript"/>
      <sz val="11"/>
      <color theme="1"/>
      <name val="Aptos Narrow"/>
      <family val="2"/>
      <scheme val="minor"/>
    </font>
    <font>
      <b/>
      <sz val="11"/>
      <color rgb="FF000000"/>
      <name val="Calibri"/>
      <family val="2"/>
    </font>
    <font>
      <sz val="11"/>
      <color theme="1"/>
      <name val="Aptos Narrow"/>
      <family val="2"/>
    </font>
    <font>
      <b/>
      <sz val="14"/>
      <color rgb="FF000000"/>
      <name val="Calibri"/>
      <family val="2"/>
    </font>
    <font>
      <vertAlign val="subscript"/>
      <sz val="12"/>
      <color rgb="FF000000"/>
      <name val="Calibri"/>
      <family val="2"/>
    </font>
    <font>
      <b/>
      <sz val="12"/>
      <color rgb="FF000000"/>
      <name val="Calibri"/>
      <family val="2"/>
    </font>
    <font>
      <b/>
      <vertAlign val="subscript"/>
      <sz val="12"/>
      <color rgb="FF000000"/>
      <name val="Calibri"/>
      <family val="2"/>
    </font>
    <font>
      <sz val="12"/>
      <color theme="1"/>
      <name val="Calibri"/>
      <family val="2"/>
    </font>
    <font>
      <vertAlign val="subscript"/>
      <sz val="12"/>
      <color theme="1"/>
      <name val="Calibri"/>
      <family val="2"/>
    </font>
    <font>
      <u/>
      <sz val="12"/>
      <color theme="10"/>
      <name val="Calibri"/>
      <family val="2"/>
    </font>
    <font>
      <b/>
      <sz val="12"/>
      <color theme="1"/>
      <name val="Calibri"/>
      <family val="2"/>
    </font>
    <font>
      <sz val="12"/>
      <color rgb="FF333333"/>
      <name val="Calibri"/>
      <family val="2"/>
    </font>
    <font>
      <sz val="7.05"/>
      <color theme="1"/>
      <name val="Aptos Narrow"/>
      <family val="2"/>
    </font>
    <font>
      <sz val="15"/>
      <color theme="1"/>
      <name val="Aptos Narrow"/>
      <family val="2"/>
      <scheme val="minor"/>
    </font>
    <font>
      <b/>
      <sz val="14"/>
      <color theme="1"/>
      <name val="Aptos Narrow"/>
      <scheme val="minor"/>
    </font>
    <font>
      <sz val="11"/>
      <color rgb="FF000000"/>
      <name val="Aptos Narrow"/>
      <family val="2"/>
      <scheme val="minor"/>
    </font>
    <font>
      <b/>
      <sz val="11"/>
      <color theme="1"/>
      <name val="Aptos Narrow"/>
      <scheme val="minor"/>
    </font>
    <font>
      <i/>
      <sz val="11"/>
      <color theme="1"/>
      <name val="Aptos Narrow"/>
      <scheme val="minor"/>
    </font>
    <font>
      <sz val="11"/>
      <color theme="1"/>
      <name val="Aptos Narrow"/>
      <scheme val="minor"/>
    </font>
    <font>
      <b/>
      <sz val="30"/>
      <color rgb="FF000000"/>
      <name val="Calibri"/>
      <family val="2"/>
    </font>
    <font>
      <sz val="11"/>
      <color theme="1"/>
      <name val="Aptos Narrow (Body)"/>
    </font>
    <font>
      <b/>
      <sz val="15"/>
      <color theme="1"/>
      <name val="Aptos Narrow"/>
      <scheme val="minor"/>
    </font>
    <font>
      <sz val="12"/>
      <color rgb="FF000000"/>
      <name val="Aptos Narrow (Body)"/>
    </font>
    <font>
      <sz val="11"/>
      <color rgb="FF444444"/>
      <name val="Aptos Narrow"/>
      <scheme val="minor"/>
    </font>
    <font>
      <b/>
      <vertAlign val="subscript"/>
      <sz val="12"/>
      <color rgb="FF000000"/>
      <name val="Aptos Narrow (Body)"/>
    </font>
    <font>
      <sz val="14"/>
      <color theme="1"/>
      <name val="Aptos Narrow"/>
      <scheme val="minor"/>
    </font>
    <font>
      <i/>
      <sz val="14"/>
      <color theme="1"/>
      <name val="Aptos Narrow"/>
      <scheme val="minor"/>
    </font>
    <font>
      <sz val="14"/>
      <color theme="1"/>
      <name val="Aptos Narrow"/>
      <family val="2"/>
      <scheme val="minor"/>
    </font>
    <font>
      <b/>
      <vertAlign val="subscript"/>
      <sz val="11"/>
      <color theme="1"/>
      <name val="Aptos Narrow (Body)"/>
    </font>
    <font>
      <b/>
      <sz val="20"/>
      <color theme="1"/>
      <name val="Aptos Narrow"/>
      <scheme val="minor"/>
    </font>
    <font>
      <b/>
      <sz val="22"/>
      <color theme="1"/>
      <name val="Aptos Narrow (Body)"/>
    </font>
    <font>
      <sz val="22"/>
      <color theme="1"/>
      <name val="Aptos Narrow"/>
      <family val="2"/>
      <scheme val="minor"/>
    </font>
    <font>
      <vertAlign val="superscript"/>
      <sz val="11"/>
      <color theme="1"/>
      <name val="Aptos Narrow (Body)"/>
    </font>
    <font>
      <i/>
      <sz val="12"/>
      <color rgb="FF000000"/>
      <name val="Calibri"/>
      <family val="2"/>
    </font>
    <font>
      <i/>
      <sz val="11"/>
      <color rgb="FF000000"/>
      <name val="Calibri"/>
      <family val="2"/>
    </font>
    <font>
      <b/>
      <sz val="11"/>
      <color rgb="FF000000"/>
      <name val="Aptos Narrow"/>
      <scheme val="minor"/>
    </font>
    <font>
      <sz val="11"/>
      <color theme="1"/>
      <name val="Cambria Math"/>
      <family val="1"/>
    </font>
    <font>
      <vertAlign val="subscript"/>
      <sz val="11"/>
      <color theme="1"/>
      <name val="Cambria Math"/>
      <family val="1"/>
    </font>
    <font>
      <vertAlign val="subscript"/>
      <sz val="12"/>
      <color rgb="FF000000"/>
      <name val="Aptos Narrow"/>
      <scheme val="minor"/>
    </font>
    <font>
      <b/>
      <sz val="11"/>
      <color rgb="FF000000"/>
      <name val="Aptos Narrow"/>
    </font>
  </fonts>
  <fills count="29">
    <fill>
      <patternFill patternType="none"/>
    </fill>
    <fill>
      <patternFill patternType="gray125"/>
    </fill>
    <fill>
      <patternFill patternType="solid">
        <fgColor rgb="FF61CBF3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39997558519241921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EDE995"/>
        <bgColor rgb="FF000000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rgb="FFEDE99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6CE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BE5014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rgb="FFD9D9D9"/>
        <bgColor indexed="64"/>
      </patternFill>
    </fill>
  </fills>
  <borders count="4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21" fillId="0" borderId="0" applyNumberFormat="0" applyFill="0" applyBorder="0" applyAlignment="0" applyProtection="0"/>
  </cellStyleXfs>
  <cellXfs count="431">
    <xf numFmtId="0" fontId="0" fillId="0" borderId="0" xfId="0"/>
    <xf numFmtId="0" fontId="9" fillId="0" borderId="0" xfId="0" applyFont="1" applyAlignment="1">
      <alignment horizontal="center"/>
    </xf>
    <xf numFmtId="0" fontId="9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13" fillId="0" borderId="0" xfId="0" applyFont="1" applyAlignment="1">
      <alignment horizontal="center"/>
    </xf>
    <xf numFmtId="0" fontId="15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0" fontId="17" fillId="0" borderId="0" xfId="0" applyFont="1" applyAlignment="1">
      <alignment horizontal="center"/>
    </xf>
    <xf numFmtId="0" fontId="9" fillId="0" borderId="2" xfId="0" applyFont="1" applyBorder="1" applyAlignment="1">
      <alignment horizontal="center"/>
    </xf>
    <xf numFmtId="0" fontId="9" fillId="0" borderId="4" xfId="0" applyFont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4" borderId="0" xfId="0" applyFill="1" applyAlignment="1">
      <alignment horizontal="center"/>
    </xf>
    <xf numFmtId="0" fontId="16" fillId="0" borderId="6" xfId="0" applyFont="1" applyBorder="1" applyAlignment="1">
      <alignment horizontal="center"/>
    </xf>
    <xf numFmtId="0" fontId="21" fillId="0" borderId="0" xfId="1" applyAlignment="1">
      <alignment horizontal="center"/>
    </xf>
    <xf numFmtId="0" fontId="0" fillId="0" borderId="2" xfId="0" applyBorder="1" applyAlignment="1">
      <alignment horizontal="center"/>
    </xf>
    <xf numFmtId="0" fontId="9" fillId="0" borderId="11" xfId="0" applyFont="1" applyBorder="1" applyAlignment="1">
      <alignment horizontal="center"/>
    </xf>
    <xf numFmtId="0" fontId="9" fillId="0" borderId="6" xfId="0" applyFont="1" applyBorder="1" applyAlignment="1">
      <alignment horizontal="center"/>
    </xf>
    <xf numFmtId="0" fontId="17" fillId="0" borderId="6" xfId="0" applyFont="1" applyBorder="1" applyAlignment="1">
      <alignment horizontal="center"/>
    </xf>
    <xf numFmtId="0" fontId="17" fillId="5" borderId="6" xfId="0" applyFont="1" applyFill="1" applyBorder="1" applyAlignment="1">
      <alignment horizontal="center"/>
    </xf>
    <xf numFmtId="0" fontId="24" fillId="0" borderId="3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0" fillId="0" borderId="13" xfId="0" applyBorder="1" applyAlignment="1">
      <alignment horizontal="center"/>
    </xf>
    <xf numFmtId="0" fontId="23" fillId="0" borderId="0" xfId="0" applyFont="1" applyAlignment="1">
      <alignment horizontal="center"/>
    </xf>
    <xf numFmtId="0" fontId="0" fillId="0" borderId="14" xfId="0" applyBorder="1" applyAlignment="1">
      <alignment horizontal="center"/>
    </xf>
    <xf numFmtId="0" fontId="16" fillId="0" borderId="2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16" fillId="0" borderId="1" xfId="0" applyFont="1" applyBorder="1" applyAlignment="1">
      <alignment horizontal="center"/>
    </xf>
    <xf numFmtId="0" fontId="22" fillId="0" borderId="0" xfId="0" applyFont="1" applyAlignment="1">
      <alignment horizontal="center"/>
    </xf>
    <xf numFmtId="0" fontId="0" fillId="0" borderId="16" xfId="0" applyBorder="1" applyAlignment="1">
      <alignment horizontal="center"/>
    </xf>
    <xf numFmtId="0" fontId="0" fillId="4" borderId="6" xfId="0" applyFill="1" applyBorder="1" applyAlignment="1">
      <alignment horizontal="center"/>
    </xf>
    <xf numFmtId="0" fontId="16" fillId="0" borderId="17" xfId="0" applyFont="1" applyBorder="1" applyAlignment="1">
      <alignment horizontal="center"/>
    </xf>
    <xf numFmtId="0" fontId="0" fillId="0" borderId="18" xfId="0" applyBorder="1" applyAlignment="1">
      <alignment horizontal="center"/>
    </xf>
    <xf numFmtId="0" fontId="9" fillId="0" borderId="15" xfId="0" applyFont="1" applyBorder="1" applyAlignment="1">
      <alignment horizontal="center"/>
    </xf>
    <xf numFmtId="0" fontId="17" fillId="0" borderId="15" xfId="0" applyFont="1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  <xf numFmtId="0" fontId="17" fillId="0" borderId="16" xfId="0" applyFont="1" applyBorder="1" applyAlignment="1">
      <alignment horizontal="center"/>
    </xf>
    <xf numFmtId="164" fontId="0" fillId="0" borderId="2" xfId="0" applyNumberFormat="1" applyBorder="1" applyAlignment="1">
      <alignment horizontal="center"/>
    </xf>
    <xf numFmtId="165" fontId="0" fillId="0" borderId="2" xfId="0" applyNumberFormat="1" applyBorder="1" applyAlignment="1">
      <alignment horizontal="center"/>
    </xf>
    <xf numFmtId="0" fontId="9" fillId="0" borderId="17" xfId="0" applyFont="1" applyBorder="1" applyAlignment="1">
      <alignment horizontal="center"/>
    </xf>
    <xf numFmtId="0" fontId="17" fillId="0" borderId="2" xfId="0" applyFont="1" applyBorder="1" applyAlignment="1">
      <alignment horizontal="center"/>
    </xf>
    <xf numFmtId="0" fontId="20" fillId="0" borderId="0" xfId="0" applyFont="1" applyAlignment="1">
      <alignment horizontal="center"/>
    </xf>
    <xf numFmtId="0" fontId="18" fillId="0" borderId="0" xfId="0" applyFont="1" applyAlignment="1">
      <alignment horizontal="center" vertical="center" textRotation="90"/>
    </xf>
    <xf numFmtId="1" fontId="9" fillId="0" borderId="0" xfId="0" applyNumberFormat="1" applyFont="1" applyAlignment="1">
      <alignment horizontal="center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0" fontId="12" fillId="0" borderId="0" xfId="0" applyFont="1" applyAlignment="1">
      <alignment horizontal="center" vertical="center"/>
    </xf>
    <xf numFmtId="0" fontId="26" fillId="0" borderId="0" xfId="0" applyFont="1" applyAlignment="1">
      <alignment horizontal="center"/>
    </xf>
    <xf numFmtId="0" fontId="12" fillId="0" borderId="0" xfId="0" applyFont="1"/>
    <xf numFmtId="0" fontId="10" fillId="0" borderId="0" xfId="0" applyFont="1"/>
    <xf numFmtId="0" fontId="9" fillId="0" borderId="10" xfId="0" applyFont="1" applyBorder="1" applyAlignment="1">
      <alignment horizontal="center"/>
    </xf>
    <xf numFmtId="0" fontId="18" fillId="0" borderId="0" xfId="0" applyFont="1" applyAlignment="1">
      <alignment vertical="center" textRotation="90"/>
    </xf>
    <xf numFmtId="0" fontId="15" fillId="0" borderId="0" xfId="0" applyFont="1" applyAlignment="1">
      <alignment vertical="center" textRotation="90"/>
    </xf>
    <xf numFmtId="0" fontId="23" fillId="0" borderId="22" xfId="0" applyFont="1" applyBorder="1" applyAlignment="1">
      <alignment horizontal="center"/>
    </xf>
    <xf numFmtId="0" fontId="17" fillId="0" borderId="19" xfId="0" applyFont="1" applyBorder="1" applyAlignment="1">
      <alignment horizontal="center"/>
    </xf>
    <xf numFmtId="0" fontId="17" fillId="0" borderId="1" xfId="0" applyFont="1" applyBorder="1" applyAlignment="1">
      <alignment horizontal="center"/>
    </xf>
    <xf numFmtId="0" fontId="13" fillId="0" borderId="6" xfId="0" applyFont="1" applyBorder="1" applyAlignment="1">
      <alignment horizontal="center"/>
    </xf>
    <xf numFmtId="0" fontId="13" fillId="0" borderId="2" xfId="0" applyFont="1" applyBorder="1" applyAlignment="1">
      <alignment horizontal="center"/>
    </xf>
    <xf numFmtId="0" fontId="0" fillId="0" borderId="25" xfId="0" applyBorder="1" applyAlignment="1">
      <alignment horizontal="center"/>
    </xf>
    <xf numFmtId="0" fontId="9" fillId="0" borderId="23" xfId="0" applyFont="1" applyBorder="1" applyAlignment="1">
      <alignment horizontal="center"/>
    </xf>
    <xf numFmtId="0" fontId="9" fillId="0" borderId="26" xfId="0" applyFont="1" applyBorder="1" applyAlignment="1">
      <alignment horizontal="center"/>
    </xf>
    <xf numFmtId="0" fontId="10" fillId="0" borderId="0" xfId="0" applyFont="1" applyAlignment="1">
      <alignment vertical="center"/>
    </xf>
    <xf numFmtId="0" fontId="8" fillId="0" borderId="0" xfId="0" applyFont="1" applyAlignment="1">
      <alignment horizontal="center"/>
    </xf>
    <xf numFmtId="0" fontId="9" fillId="0" borderId="21" xfId="0" applyFont="1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9" borderId="0" xfId="0" applyFill="1" applyAlignment="1">
      <alignment horizontal="center"/>
    </xf>
    <xf numFmtId="11" fontId="13" fillId="0" borderId="0" xfId="0" applyNumberFormat="1" applyFont="1" applyAlignment="1">
      <alignment horizontal="center"/>
    </xf>
    <xf numFmtId="0" fontId="9" fillId="9" borderId="0" xfId="0" applyFont="1" applyFill="1" applyAlignment="1">
      <alignment horizontal="center"/>
    </xf>
    <xf numFmtId="0" fontId="9" fillId="0" borderId="7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0" fillId="10" borderId="0" xfId="0" applyFill="1" applyAlignment="1">
      <alignment horizontal="center"/>
    </xf>
    <xf numFmtId="0" fontId="0" fillId="0" borderId="2" xfId="0" applyBorder="1" applyAlignment="1">
      <alignment vertical="center"/>
    </xf>
    <xf numFmtId="0" fontId="9" fillId="0" borderId="16" xfId="0" applyFont="1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0" xfId="0" applyFill="1" applyAlignment="1">
      <alignment horizontal="center"/>
    </xf>
    <xf numFmtId="0" fontId="9" fillId="11" borderId="6" xfId="0" applyFont="1" applyFill="1" applyBorder="1" applyAlignment="1">
      <alignment horizontal="center"/>
    </xf>
    <xf numFmtId="0" fontId="0" fillId="11" borderId="16" xfId="0" applyFill="1" applyBorder="1" applyAlignment="1">
      <alignment horizontal="center"/>
    </xf>
    <xf numFmtId="0" fontId="0" fillId="11" borderId="6" xfId="0" applyFill="1" applyBorder="1" applyAlignment="1">
      <alignment horizontal="center"/>
    </xf>
    <xf numFmtId="0" fontId="9" fillId="10" borderId="6" xfId="0" applyFont="1" applyFill="1" applyBorder="1" applyAlignment="1">
      <alignment horizontal="center"/>
    </xf>
    <xf numFmtId="0" fontId="0" fillId="10" borderId="16" xfId="0" applyFill="1" applyBorder="1" applyAlignment="1">
      <alignment horizontal="center"/>
    </xf>
    <xf numFmtId="0" fontId="13" fillId="0" borderId="6" xfId="0" applyFont="1" applyBorder="1" applyAlignment="1">
      <alignment horizontal="center" wrapText="1"/>
    </xf>
    <xf numFmtId="0" fontId="13" fillId="0" borderId="30" xfId="0" applyFont="1" applyBorder="1" applyAlignment="1">
      <alignment horizontal="center"/>
    </xf>
    <xf numFmtId="0" fontId="9" fillId="10" borderId="16" xfId="0" applyFont="1" applyFill="1" applyBorder="1" applyAlignment="1">
      <alignment horizontal="center"/>
    </xf>
    <xf numFmtId="0" fontId="8" fillId="0" borderId="6" xfId="0" applyFont="1" applyBorder="1" applyAlignment="1">
      <alignment horizontal="center"/>
    </xf>
    <xf numFmtId="0" fontId="9" fillId="11" borderId="16" xfId="0" applyFont="1" applyFill="1" applyBorder="1" applyAlignment="1">
      <alignment horizontal="center"/>
    </xf>
    <xf numFmtId="0" fontId="13" fillId="0" borderId="1" xfId="0" applyFont="1" applyBorder="1" applyAlignment="1">
      <alignment horizontal="center"/>
    </xf>
    <xf numFmtId="0" fontId="0" fillId="0" borderId="17" xfId="0" applyBorder="1" applyAlignment="1">
      <alignment horizontal="center"/>
    </xf>
    <xf numFmtId="0" fontId="13" fillId="0" borderId="17" xfId="0" applyFont="1" applyBorder="1" applyAlignment="1">
      <alignment horizontal="center"/>
    </xf>
    <xf numFmtId="0" fontId="35" fillId="0" borderId="0" xfId="0" applyFont="1" applyAlignment="1">
      <alignment horizontal="center"/>
    </xf>
    <xf numFmtId="0" fontId="0" fillId="0" borderId="30" xfId="0" applyBorder="1" applyAlignment="1">
      <alignment horizontal="center"/>
    </xf>
    <xf numFmtId="0" fontId="13" fillId="0" borderId="5" xfId="0" applyFont="1" applyBorder="1" applyAlignment="1">
      <alignment horizontal="center"/>
    </xf>
    <xf numFmtId="0" fontId="24" fillId="0" borderId="7" xfId="0" applyFont="1" applyBorder="1" applyAlignment="1">
      <alignment horizontal="center"/>
    </xf>
    <xf numFmtId="0" fontId="13" fillId="0" borderId="9" xfId="0" applyFont="1" applyBorder="1" applyAlignment="1">
      <alignment horizontal="center"/>
    </xf>
    <xf numFmtId="0" fontId="9" fillId="0" borderId="3" xfId="0" applyFont="1" applyBorder="1" applyAlignment="1">
      <alignment horizontal="center"/>
    </xf>
    <xf numFmtId="0" fontId="13" fillId="0" borderId="4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36" fillId="0" borderId="18" xfId="0" applyFont="1" applyBorder="1" applyAlignment="1">
      <alignment horizontal="center"/>
    </xf>
    <xf numFmtId="0" fontId="13" fillId="0" borderId="18" xfId="0" applyFont="1" applyBorder="1" applyAlignment="1">
      <alignment horizontal="center"/>
    </xf>
    <xf numFmtId="0" fontId="16" fillId="0" borderId="26" xfId="0" applyFont="1" applyBorder="1" applyAlignment="1">
      <alignment horizontal="center"/>
    </xf>
    <xf numFmtId="0" fontId="16" fillId="0" borderId="23" xfId="0" applyFont="1" applyBorder="1" applyAlignment="1">
      <alignment horizontal="center"/>
    </xf>
    <xf numFmtId="0" fontId="39" fillId="0" borderId="3" xfId="0" applyFont="1" applyBorder="1" applyAlignment="1">
      <alignment horizontal="center"/>
    </xf>
    <xf numFmtId="0" fontId="16" fillId="0" borderId="3" xfId="0" applyFont="1" applyBorder="1" applyAlignment="1">
      <alignment horizontal="center"/>
    </xf>
    <xf numFmtId="0" fontId="16" fillId="0" borderId="4" xfId="0" applyFont="1" applyBorder="1" applyAlignment="1">
      <alignment horizontal="center"/>
    </xf>
    <xf numFmtId="0" fontId="16" fillId="5" borderId="17" xfId="0" applyFont="1" applyFill="1" applyBorder="1" applyAlignment="1">
      <alignment horizontal="center"/>
    </xf>
    <xf numFmtId="0" fontId="41" fillId="0" borderId="0" xfId="0" applyFont="1" applyAlignment="1">
      <alignment horizontal="center"/>
    </xf>
    <xf numFmtId="0" fontId="41" fillId="0" borderId="6" xfId="0" applyFont="1" applyBorder="1" applyAlignment="1">
      <alignment horizontal="center"/>
    </xf>
    <xf numFmtId="0" fontId="41" fillId="0" borderId="18" xfId="0" applyFont="1" applyBorder="1" applyAlignment="1">
      <alignment horizontal="center"/>
    </xf>
    <xf numFmtId="0" fontId="43" fillId="0" borderId="0" xfId="1" applyFont="1" applyAlignment="1">
      <alignment horizontal="center"/>
    </xf>
    <xf numFmtId="0" fontId="16" fillId="0" borderId="6" xfId="0" applyFont="1" applyBorder="1" applyAlignment="1">
      <alignment horizontal="center" wrapText="1"/>
    </xf>
    <xf numFmtId="0" fontId="41" fillId="0" borderId="25" xfId="0" applyFont="1" applyBorder="1" applyAlignment="1">
      <alignment horizontal="center"/>
    </xf>
    <xf numFmtId="0" fontId="44" fillId="0" borderId="22" xfId="0" applyFont="1" applyBorder="1" applyAlignment="1">
      <alignment horizontal="center"/>
    </xf>
    <xf numFmtId="0" fontId="45" fillId="0" borderId="0" xfId="0" applyFont="1" applyAlignment="1">
      <alignment horizontal="center" vertical="center"/>
    </xf>
    <xf numFmtId="0" fontId="45" fillId="0" borderId="0" xfId="0" applyFont="1" applyAlignment="1">
      <alignment horizontal="center" vertical="center" wrapText="1"/>
    </xf>
    <xf numFmtId="0" fontId="41" fillId="0" borderId="27" xfId="0" applyFont="1" applyBorder="1" applyAlignment="1">
      <alignment horizontal="center"/>
    </xf>
    <xf numFmtId="0" fontId="41" fillId="0" borderId="24" xfId="0" applyFont="1" applyBorder="1" applyAlignment="1">
      <alignment horizontal="center"/>
    </xf>
    <xf numFmtId="0" fontId="16" fillId="0" borderId="5" xfId="0" applyFont="1" applyBorder="1" applyAlignment="1">
      <alignment horizontal="center"/>
    </xf>
    <xf numFmtId="0" fontId="41" fillId="0" borderId="17" xfId="0" applyFont="1" applyBorder="1" applyAlignment="1">
      <alignment horizontal="center"/>
    </xf>
    <xf numFmtId="0" fontId="41" fillId="0" borderId="2" xfId="0" applyFont="1" applyBorder="1" applyAlignment="1">
      <alignment horizontal="center"/>
    </xf>
    <xf numFmtId="165" fontId="0" fillId="0" borderId="0" xfId="0" applyNumberFormat="1" applyAlignment="1">
      <alignment horizontal="center"/>
    </xf>
    <xf numFmtId="0" fontId="36" fillId="0" borderId="6" xfId="0" applyFont="1" applyBorder="1" applyAlignment="1">
      <alignment horizontal="center"/>
    </xf>
    <xf numFmtId="167" fontId="0" fillId="0" borderId="2" xfId="0" applyNumberFormat="1" applyBorder="1" applyAlignment="1">
      <alignment horizontal="center"/>
    </xf>
    <xf numFmtId="166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0" fontId="36" fillId="0" borderId="0" xfId="0" applyFont="1" applyAlignment="1">
      <alignment horizontal="center"/>
    </xf>
    <xf numFmtId="0" fontId="41" fillId="0" borderId="4" xfId="0" applyFont="1" applyBorder="1" applyAlignment="1">
      <alignment horizontal="center"/>
    </xf>
    <xf numFmtId="0" fontId="41" fillId="0" borderId="5" xfId="0" applyFont="1" applyBorder="1" applyAlignment="1">
      <alignment horizontal="center"/>
    </xf>
    <xf numFmtId="0" fontId="9" fillId="0" borderId="3" xfId="0" applyFont="1" applyBorder="1" applyAlignment="1">
      <alignment horizontal="center" wrapText="1"/>
    </xf>
    <xf numFmtId="0" fontId="13" fillId="0" borderId="23" xfId="0" applyFont="1" applyBorder="1" applyAlignment="1">
      <alignment horizontal="center"/>
    </xf>
    <xf numFmtId="0" fontId="13" fillId="0" borderId="24" xfId="0" applyFont="1" applyBorder="1" applyAlignment="1">
      <alignment horizontal="center"/>
    </xf>
    <xf numFmtId="0" fontId="9" fillId="0" borderId="22" xfId="0" applyFont="1" applyBorder="1" applyAlignment="1">
      <alignment horizontal="center"/>
    </xf>
    <xf numFmtId="0" fontId="13" fillId="0" borderId="31" xfId="0" applyFont="1" applyBorder="1" applyAlignment="1">
      <alignment horizontal="center"/>
    </xf>
    <xf numFmtId="0" fontId="13" fillId="0" borderId="32" xfId="0" applyFont="1" applyBorder="1" applyAlignment="1">
      <alignment horizontal="center"/>
    </xf>
    <xf numFmtId="0" fontId="0" fillId="0" borderId="15" xfId="0" applyBorder="1" applyAlignment="1">
      <alignment horizontal="center"/>
    </xf>
    <xf numFmtId="0" fontId="18" fillId="0" borderId="30" xfId="0" applyFont="1" applyBorder="1" applyAlignment="1">
      <alignment horizontal="center" vertical="center" textRotation="90"/>
    </xf>
    <xf numFmtId="0" fontId="9" fillId="0" borderId="30" xfId="0" applyFont="1" applyBorder="1" applyAlignment="1">
      <alignment horizontal="center"/>
    </xf>
    <xf numFmtId="168" fontId="0" fillId="0" borderId="0" xfId="0" applyNumberFormat="1" applyAlignment="1">
      <alignment horizontal="center"/>
    </xf>
    <xf numFmtId="168" fontId="9" fillId="0" borderId="0" xfId="0" applyNumberFormat="1" applyFont="1" applyAlignment="1">
      <alignment horizontal="center"/>
    </xf>
    <xf numFmtId="168" fontId="0" fillId="0" borderId="2" xfId="0" applyNumberFormat="1" applyBorder="1" applyAlignment="1">
      <alignment horizontal="center"/>
    </xf>
    <xf numFmtId="0" fontId="0" fillId="11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16" borderId="18" xfId="0" applyFill="1" applyBorder="1" applyAlignment="1">
      <alignment horizontal="center"/>
    </xf>
    <xf numFmtId="0" fontId="0" fillId="16" borderId="15" xfId="0" applyFill="1" applyBorder="1" applyAlignment="1">
      <alignment horizontal="center"/>
    </xf>
    <xf numFmtId="0" fontId="0" fillId="9" borderId="18" xfId="0" applyFill="1" applyBorder="1" applyAlignment="1">
      <alignment horizontal="center"/>
    </xf>
    <xf numFmtId="0" fontId="0" fillId="9" borderId="17" xfId="0" applyFill="1" applyBorder="1" applyAlignment="1">
      <alignment horizontal="center"/>
    </xf>
    <xf numFmtId="0" fontId="0" fillId="9" borderId="15" xfId="0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19" borderId="6" xfId="0" applyFill="1" applyBorder="1" applyAlignment="1">
      <alignment horizontal="center"/>
    </xf>
    <xf numFmtId="0" fontId="0" fillId="0" borderId="41" xfId="0" applyBorder="1" applyAlignment="1">
      <alignment horizontal="center"/>
    </xf>
    <xf numFmtId="0" fontId="0" fillId="0" borderId="42" xfId="0" applyBorder="1" applyAlignment="1">
      <alignment horizontal="center"/>
    </xf>
    <xf numFmtId="0" fontId="16" fillId="0" borderId="25" xfId="0" applyFont="1" applyBorder="1" applyAlignment="1">
      <alignment horizontal="center"/>
    </xf>
    <xf numFmtId="0" fontId="41" fillId="0" borderId="26" xfId="0" applyFont="1" applyBorder="1" applyAlignment="1">
      <alignment horizontal="center"/>
    </xf>
    <xf numFmtId="0" fontId="36" fillId="0" borderId="15" xfId="0" applyFont="1" applyBorder="1" applyAlignment="1">
      <alignment horizontal="center"/>
    </xf>
    <xf numFmtId="0" fontId="23" fillId="0" borderId="43" xfId="0" applyFont="1" applyBorder="1" applyAlignment="1">
      <alignment horizontal="center"/>
    </xf>
    <xf numFmtId="0" fontId="41" fillId="19" borderId="6" xfId="0" applyFont="1" applyFill="1" applyBorder="1" applyAlignment="1">
      <alignment horizontal="center"/>
    </xf>
    <xf numFmtId="0" fontId="9" fillId="19" borderId="6" xfId="0" applyFont="1" applyFill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5" borderId="0" xfId="0" applyFill="1"/>
    <xf numFmtId="2" fontId="0" fillId="0" borderId="0" xfId="0" applyNumberFormat="1" applyAlignment="1">
      <alignment horizontal="center"/>
    </xf>
    <xf numFmtId="0" fontId="0" fillId="5" borderId="0" xfId="0" applyFill="1" applyAlignment="1">
      <alignment horizontal="center"/>
    </xf>
    <xf numFmtId="0" fontId="49" fillId="0" borderId="6" xfId="0" applyFont="1" applyBorder="1" applyAlignment="1">
      <alignment horizontal="center"/>
    </xf>
    <xf numFmtId="169" fontId="0" fillId="0" borderId="17" xfId="0" applyNumberFormat="1" applyBorder="1" applyAlignment="1">
      <alignment horizontal="center"/>
    </xf>
    <xf numFmtId="0" fontId="50" fillId="0" borderId="0" xfId="0" applyFont="1" applyAlignment="1">
      <alignment horizontal="center"/>
    </xf>
    <xf numFmtId="0" fontId="13" fillId="4" borderId="2" xfId="0" applyFont="1" applyFill="1" applyBorder="1" applyAlignment="1">
      <alignment horizontal="center"/>
    </xf>
    <xf numFmtId="2" fontId="0" fillId="0" borderId="27" xfId="0" applyNumberFormat="1" applyBorder="1" applyAlignment="1">
      <alignment horizontal="center"/>
    </xf>
    <xf numFmtId="2" fontId="0" fillId="0" borderId="24" xfId="0" applyNumberFormat="1" applyBorder="1" applyAlignment="1">
      <alignment horizontal="center"/>
    </xf>
    <xf numFmtId="169" fontId="0" fillId="0" borderId="2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2" fontId="9" fillId="0" borderId="2" xfId="0" applyNumberFormat="1" applyFont="1" applyBorder="1" applyAlignment="1">
      <alignment horizontal="center"/>
    </xf>
    <xf numFmtId="169" fontId="0" fillId="0" borderId="0" xfId="0" applyNumberFormat="1" applyAlignment="1">
      <alignment horizontal="center"/>
    </xf>
    <xf numFmtId="2" fontId="9" fillId="0" borderId="0" xfId="0" applyNumberFormat="1" applyFont="1" applyAlignment="1">
      <alignment horizontal="center"/>
    </xf>
    <xf numFmtId="169" fontId="9" fillId="0" borderId="0" xfId="0" applyNumberFormat="1" applyFont="1" applyAlignment="1">
      <alignment horizontal="center"/>
    </xf>
    <xf numFmtId="2" fontId="13" fillId="0" borderId="0" xfId="0" applyNumberFormat="1" applyFont="1" applyAlignment="1">
      <alignment horizontal="center"/>
    </xf>
    <xf numFmtId="2" fontId="0" fillId="0" borderId="25" xfId="0" applyNumberFormat="1" applyBorder="1" applyAlignment="1">
      <alignment horizontal="center"/>
    </xf>
    <xf numFmtId="2" fontId="23" fillId="0" borderId="22" xfId="0" applyNumberFormat="1" applyFont="1" applyBorder="1" applyAlignment="1">
      <alignment horizontal="center"/>
    </xf>
    <xf numFmtId="2" fontId="9" fillId="0" borderId="26" xfId="0" applyNumberFormat="1" applyFont="1" applyBorder="1" applyAlignment="1">
      <alignment horizontal="center"/>
    </xf>
    <xf numFmtId="2" fontId="9" fillId="0" borderId="23" xfId="0" applyNumberFormat="1" applyFont="1" applyBorder="1" applyAlignment="1">
      <alignment horizontal="center"/>
    </xf>
    <xf numFmtId="169" fontId="9" fillId="0" borderId="1" xfId="0" applyNumberFormat="1" applyFont="1" applyBorder="1" applyAlignment="1">
      <alignment horizontal="center"/>
    </xf>
    <xf numFmtId="2" fontId="9" fillId="0" borderId="1" xfId="0" applyNumberFormat="1" applyFont="1" applyBorder="1" applyAlignment="1">
      <alignment horizontal="center"/>
    </xf>
    <xf numFmtId="169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53" fillId="0" borderId="0" xfId="0" applyFont="1" applyAlignment="1">
      <alignment horizontal="center"/>
    </xf>
    <xf numFmtId="0" fontId="13" fillId="0" borderId="44" xfId="0" applyFont="1" applyBorder="1" applyAlignment="1">
      <alignment horizontal="center"/>
    </xf>
    <xf numFmtId="0" fontId="36" fillId="0" borderId="45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0" fillId="0" borderId="32" xfId="0" applyBorder="1" applyAlignment="1">
      <alignment horizontal="center"/>
    </xf>
    <xf numFmtId="0" fontId="0" fillId="21" borderId="6" xfId="0" applyFill="1" applyBorder="1" applyAlignment="1">
      <alignment horizontal="center"/>
    </xf>
    <xf numFmtId="0" fontId="0" fillId="9" borderId="6" xfId="0" applyFill="1" applyBorder="1" applyAlignment="1">
      <alignment horizontal="center"/>
    </xf>
    <xf numFmtId="0" fontId="0" fillId="16" borderId="6" xfId="0" applyFill="1" applyBorder="1" applyAlignment="1">
      <alignment horizontal="center"/>
    </xf>
    <xf numFmtId="0" fontId="44" fillId="0" borderId="0" xfId="0" applyFont="1" applyAlignment="1">
      <alignment horizontal="center"/>
    </xf>
    <xf numFmtId="0" fontId="49" fillId="0" borderId="0" xfId="0" applyFont="1" applyAlignment="1">
      <alignment horizontal="center"/>
    </xf>
    <xf numFmtId="170" fontId="13" fillId="0" borderId="2" xfId="0" applyNumberFormat="1" applyFont="1" applyBorder="1" applyAlignment="1">
      <alignment horizontal="center"/>
    </xf>
    <xf numFmtId="0" fontId="14" fillId="0" borderId="0" xfId="0" applyFont="1" applyAlignment="1">
      <alignment horizontal="center"/>
    </xf>
    <xf numFmtId="0" fontId="0" fillId="5" borderId="2" xfId="0" applyFill="1" applyBorder="1" applyAlignment="1">
      <alignment horizontal="center"/>
    </xf>
    <xf numFmtId="0" fontId="36" fillId="5" borderId="0" xfId="0" applyFont="1" applyFill="1" applyAlignment="1">
      <alignment horizontal="center"/>
    </xf>
    <xf numFmtId="0" fontId="0" fillId="0" borderId="0" xfId="0" applyAlignment="1">
      <alignment horizontal="right"/>
    </xf>
    <xf numFmtId="0" fontId="9" fillId="0" borderId="0" xfId="0" applyFont="1" applyAlignment="1">
      <alignment horizontal="right"/>
    </xf>
    <xf numFmtId="0" fontId="13" fillId="0" borderId="0" xfId="0" applyFont="1" applyAlignment="1">
      <alignment horizontal="right"/>
    </xf>
    <xf numFmtId="0" fontId="0" fillId="0" borderId="0" xfId="0" applyAlignment="1">
      <alignment horizontal="center" textRotation="90"/>
    </xf>
    <xf numFmtId="0" fontId="0" fillId="17" borderId="0" xfId="0" applyFill="1"/>
    <xf numFmtId="0" fontId="9" fillId="0" borderId="0" xfId="0" applyFont="1" applyAlignment="1">
      <alignment horizontal="center" textRotation="90"/>
    </xf>
    <xf numFmtId="0" fontId="13" fillId="0" borderId="0" xfId="0" applyFont="1" applyAlignment="1">
      <alignment horizontal="center" textRotation="90"/>
    </xf>
    <xf numFmtId="0" fontId="30" fillId="0" borderId="0" xfId="0" applyFont="1" applyAlignment="1">
      <alignment horizontal="center" vertical="center"/>
    </xf>
    <xf numFmtId="0" fontId="57" fillId="0" borderId="0" xfId="0" applyFont="1" applyAlignment="1">
      <alignment horizontal="center"/>
    </xf>
    <xf numFmtId="0" fontId="0" fillId="0" borderId="4" xfId="0" applyBorder="1" applyAlignment="1">
      <alignment horizontal="center"/>
    </xf>
    <xf numFmtId="0" fontId="59" fillId="0" borderId="0" xfId="0" applyFont="1"/>
    <xf numFmtId="0" fontId="59" fillId="23" borderId="7" xfId="0" applyFont="1" applyFill="1" applyBorder="1" applyAlignment="1">
      <alignment horizontal="center"/>
    </xf>
    <xf numFmtId="0" fontId="59" fillId="23" borderId="38" xfId="0" applyFont="1" applyFill="1" applyBorder="1" applyAlignment="1">
      <alignment horizontal="center"/>
    </xf>
    <xf numFmtId="0" fontId="59" fillId="23" borderId="36" xfId="0" applyFont="1" applyFill="1" applyBorder="1" applyAlignment="1">
      <alignment horizontal="center"/>
    </xf>
    <xf numFmtId="0" fontId="59" fillId="21" borderId="43" xfId="0" applyFont="1" applyFill="1" applyBorder="1" applyAlignment="1">
      <alignment horizontal="center"/>
    </xf>
    <xf numFmtId="0" fontId="59" fillId="21" borderId="39" xfId="0" applyFont="1" applyFill="1" applyBorder="1" applyAlignment="1">
      <alignment horizontal="center"/>
    </xf>
    <xf numFmtId="0" fontId="59" fillId="21" borderId="6" xfId="0" applyFont="1" applyFill="1" applyBorder="1" applyAlignment="1">
      <alignment horizontal="center"/>
    </xf>
    <xf numFmtId="0" fontId="59" fillId="18" borderId="22" xfId="0" applyFont="1" applyFill="1" applyBorder="1" applyAlignment="1">
      <alignment horizontal="center"/>
    </xf>
    <xf numFmtId="0" fontId="51" fillId="0" borderId="0" xfId="0" applyFont="1" applyAlignment="1">
      <alignment horizontal="center"/>
    </xf>
    <xf numFmtId="0" fontId="0" fillId="24" borderId="0" xfId="0" applyFill="1"/>
    <xf numFmtId="0" fontId="23" fillId="21" borderId="0" xfId="0" applyFont="1" applyFill="1" applyAlignment="1">
      <alignment horizontal="center" vertical="center"/>
    </xf>
    <xf numFmtId="0" fontId="23" fillId="9" borderId="0" xfId="0" applyFont="1" applyFill="1" applyAlignment="1">
      <alignment horizontal="center" vertical="center"/>
    </xf>
    <xf numFmtId="0" fontId="23" fillId="16" borderId="0" xfId="0" applyFont="1" applyFill="1" applyAlignment="1">
      <alignment horizontal="center" vertical="center"/>
    </xf>
    <xf numFmtId="0" fontId="23" fillId="19" borderId="0" xfId="0" applyFont="1" applyFill="1" applyAlignment="1">
      <alignment horizontal="center" vertical="center"/>
    </xf>
    <xf numFmtId="0" fontId="0" fillId="0" borderId="46" xfId="0" applyBorder="1" applyAlignment="1">
      <alignment horizontal="center"/>
    </xf>
    <xf numFmtId="2" fontId="0" fillId="17" borderId="0" xfId="0" applyNumberFormat="1" applyFill="1"/>
    <xf numFmtId="0" fontId="0" fillId="24" borderId="0" xfId="0" applyFill="1" applyAlignment="1">
      <alignment horizontal="center"/>
    </xf>
    <xf numFmtId="2" fontId="0" fillId="24" borderId="0" xfId="0" applyNumberFormat="1" applyFill="1"/>
    <xf numFmtId="0" fontId="16" fillId="0" borderId="0" xfId="0" applyFont="1" applyAlignment="1">
      <alignment horizontal="center" textRotation="90"/>
    </xf>
    <xf numFmtId="0" fontId="30" fillId="0" borderId="0" xfId="0" applyFont="1" applyAlignment="1">
      <alignment horizontal="center"/>
    </xf>
    <xf numFmtId="0" fontId="30" fillId="0" borderId="0" xfId="0" applyFont="1"/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5" fillId="0" borderId="6" xfId="0" applyFont="1" applyBorder="1" applyAlignment="1">
      <alignment horizontal="center"/>
    </xf>
    <xf numFmtId="0" fontId="5" fillId="0" borderId="18" xfId="0" applyFont="1" applyBorder="1" applyAlignment="1">
      <alignment horizontal="center"/>
    </xf>
    <xf numFmtId="0" fontId="5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4" fillId="0" borderId="6" xfId="0" applyFont="1" applyBorder="1" applyAlignment="1">
      <alignment horizontal="center"/>
    </xf>
    <xf numFmtId="0" fontId="4" fillId="0" borderId="18" xfId="0" applyFont="1" applyBorder="1" applyAlignment="1">
      <alignment horizontal="center"/>
    </xf>
    <xf numFmtId="2" fontId="0" fillId="24" borderId="0" xfId="0" applyNumberFormat="1" applyFill="1" applyAlignment="1">
      <alignment horizontal="center"/>
    </xf>
    <xf numFmtId="0" fontId="0" fillId="17" borderId="0" xfId="0" applyFill="1" applyAlignment="1">
      <alignment horizontal="center"/>
    </xf>
    <xf numFmtId="0" fontId="23" fillId="0" borderId="0" xfId="0" applyFont="1"/>
    <xf numFmtId="0" fontId="22" fillId="0" borderId="0" xfId="0" applyFont="1" applyAlignment="1">
      <alignment horizontal="right"/>
    </xf>
    <xf numFmtId="0" fontId="23" fillId="24" borderId="0" xfId="0" applyFont="1" applyFill="1" applyAlignment="1">
      <alignment horizontal="center"/>
    </xf>
    <xf numFmtId="0" fontId="23" fillId="17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2" fontId="0" fillId="17" borderId="0" xfId="0" applyNumberFormat="1" applyFill="1" applyAlignment="1">
      <alignment horizontal="center"/>
    </xf>
    <xf numFmtId="0" fontId="55" fillId="0" borderId="0" xfId="0" applyFont="1" applyAlignment="1">
      <alignment vertical="center" textRotation="90"/>
    </xf>
    <xf numFmtId="0" fontId="0" fillId="25" borderId="0" xfId="0" applyFill="1" applyAlignment="1">
      <alignment horizontal="center"/>
    </xf>
    <xf numFmtId="0" fontId="16" fillId="0" borderId="0" xfId="0" applyFont="1" applyAlignment="1">
      <alignment horizontal="right"/>
    </xf>
    <xf numFmtId="0" fontId="0" fillId="0" borderId="0" xfId="0" quotePrefix="1" applyAlignment="1">
      <alignment horizontal="center"/>
    </xf>
    <xf numFmtId="0" fontId="67" fillId="0" borderId="0" xfId="0" applyFont="1" applyAlignment="1">
      <alignment horizontal="center"/>
    </xf>
    <xf numFmtId="0" fontId="68" fillId="0" borderId="0" xfId="0" applyFont="1" applyAlignment="1">
      <alignment horizontal="center"/>
    </xf>
    <xf numFmtId="0" fontId="36" fillId="0" borderId="44" xfId="0" applyFont="1" applyBorder="1" applyAlignment="1">
      <alignment horizontal="center"/>
    </xf>
    <xf numFmtId="0" fontId="0" fillId="0" borderId="44" xfId="0" applyBorder="1" applyAlignment="1">
      <alignment horizontal="center"/>
    </xf>
    <xf numFmtId="0" fontId="50" fillId="0" borderId="0" xfId="0" quotePrefix="1" applyFont="1" applyAlignment="1">
      <alignment horizontal="center"/>
    </xf>
    <xf numFmtId="0" fontId="0" fillId="0" borderId="0" xfId="0" applyAlignment="1">
      <alignment horizontal="center" vertical="center" wrapText="1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0" fontId="50" fillId="0" borderId="18" xfId="0" applyFont="1" applyBorder="1" applyAlignment="1">
      <alignment horizontal="center"/>
    </xf>
    <xf numFmtId="0" fontId="50" fillId="0" borderId="6" xfId="0" applyFont="1" applyBorder="1" applyAlignment="1">
      <alignment horizontal="center"/>
    </xf>
    <xf numFmtId="0" fontId="50" fillId="0" borderId="46" xfId="0" applyFont="1" applyBorder="1" applyAlignment="1">
      <alignment horizontal="center"/>
    </xf>
    <xf numFmtId="0" fontId="51" fillId="0" borderId="0" xfId="0" applyFont="1" applyAlignment="1">
      <alignment vertical="center" textRotation="90"/>
    </xf>
    <xf numFmtId="171" fontId="0" fillId="0" borderId="1" xfId="0" applyNumberFormat="1" applyBorder="1" applyAlignment="1">
      <alignment horizontal="center"/>
    </xf>
    <xf numFmtId="0" fontId="16" fillId="0" borderId="18" xfId="0" applyFont="1" applyBorder="1" applyAlignment="1">
      <alignment horizontal="center"/>
    </xf>
    <xf numFmtId="0" fontId="16" fillId="0" borderId="16" xfId="0" applyFont="1" applyBorder="1" applyAlignment="1">
      <alignment horizontal="center"/>
    </xf>
    <xf numFmtId="0" fontId="16" fillId="0" borderId="46" xfId="0" applyFont="1" applyBorder="1" applyAlignment="1">
      <alignment horizontal="center"/>
    </xf>
    <xf numFmtId="0" fontId="13" fillId="0" borderId="0" xfId="0" applyFont="1"/>
    <xf numFmtId="0" fontId="17" fillId="0" borderId="17" xfId="0" applyFont="1" applyBorder="1" applyAlignment="1">
      <alignment horizontal="center"/>
    </xf>
    <xf numFmtId="0" fontId="59" fillId="23" borderId="8" xfId="0" applyFont="1" applyFill="1" applyBorder="1" applyAlignment="1">
      <alignment horizontal="center"/>
    </xf>
    <xf numFmtId="0" fontId="59" fillId="21" borderId="0" xfId="0" applyFont="1" applyFill="1" applyAlignment="1">
      <alignment horizontal="center"/>
    </xf>
    <xf numFmtId="0" fontId="59" fillId="18" borderId="23" xfId="0" applyFont="1" applyFill="1" applyBorder="1" applyAlignment="1">
      <alignment horizontal="center"/>
    </xf>
    <xf numFmtId="0" fontId="59" fillId="18" borderId="6" xfId="0" applyFont="1" applyFill="1" applyBorder="1" applyAlignment="1">
      <alignment horizontal="center"/>
    </xf>
    <xf numFmtId="0" fontId="61" fillId="21" borderId="6" xfId="0" applyFont="1" applyFill="1" applyBorder="1" applyAlignment="1">
      <alignment horizontal="center"/>
    </xf>
    <xf numFmtId="0" fontId="61" fillId="18" borderId="37" xfId="0" applyFont="1" applyFill="1" applyBorder="1" applyAlignment="1">
      <alignment horizontal="center"/>
    </xf>
    <xf numFmtId="0" fontId="59" fillId="18" borderId="39" xfId="0" applyFont="1" applyFill="1" applyBorder="1" applyAlignment="1">
      <alignment horizontal="center"/>
    </xf>
    <xf numFmtId="2" fontId="0" fillId="0" borderId="32" xfId="0" applyNumberFormat="1" applyBorder="1" applyAlignment="1">
      <alignment horizontal="center"/>
    </xf>
    <xf numFmtId="2" fontId="13" fillId="0" borderId="5" xfId="0" applyNumberFormat="1" applyFont="1" applyBorder="1" applyAlignment="1">
      <alignment horizontal="center"/>
    </xf>
    <xf numFmtId="0" fontId="51" fillId="0" borderId="0" xfId="0" applyFont="1" applyAlignment="1">
      <alignment horizontal="right"/>
    </xf>
    <xf numFmtId="0" fontId="52" fillId="0" borderId="0" xfId="0" applyFont="1" applyAlignment="1">
      <alignment horizontal="right"/>
    </xf>
    <xf numFmtId="0" fontId="0" fillId="19" borderId="0" xfId="0" applyFill="1" applyAlignment="1">
      <alignment horizontal="center"/>
    </xf>
    <xf numFmtId="0" fontId="52" fillId="0" borderId="0" xfId="0" applyFont="1" applyAlignment="1">
      <alignment horizontal="center" vertical="center"/>
    </xf>
    <xf numFmtId="0" fontId="13" fillId="11" borderId="0" xfId="0" applyFont="1" applyFill="1" applyAlignment="1">
      <alignment horizontal="center"/>
    </xf>
    <xf numFmtId="0" fontId="52" fillId="11" borderId="0" xfId="0" applyFont="1" applyFill="1" applyAlignment="1">
      <alignment horizontal="center"/>
    </xf>
    <xf numFmtId="0" fontId="9" fillId="11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0" fontId="3" fillId="0" borderId="1" xfId="0" applyFont="1" applyBorder="1" applyAlignment="1">
      <alignment horizontal="center"/>
    </xf>
    <xf numFmtId="2" fontId="0" fillId="11" borderId="0" xfId="0" applyNumberFormat="1" applyFill="1" applyAlignment="1">
      <alignment horizontal="center"/>
    </xf>
    <xf numFmtId="0" fontId="9" fillId="0" borderId="0" xfId="0" applyFont="1" applyAlignment="1">
      <alignment horizontal="center" wrapText="1"/>
    </xf>
    <xf numFmtId="0" fontId="36" fillId="0" borderId="0" xfId="0" applyFont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9" fillId="0" borderId="6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 wrapText="1"/>
    </xf>
    <xf numFmtId="0" fontId="70" fillId="0" borderId="0" xfId="0" applyFont="1" applyAlignment="1">
      <alignment horizontal="center"/>
    </xf>
    <xf numFmtId="0" fontId="0" fillId="23" borderId="0" xfId="0" applyFill="1" applyAlignment="1">
      <alignment horizontal="center"/>
    </xf>
    <xf numFmtId="0" fontId="0" fillId="0" borderId="48" xfId="0" applyBorder="1" applyAlignment="1">
      <alignment horizontal="center"/>
    </xf>
    <xf numFmtId="0" fontId="2" fillId="0" borderId="16" xfId="0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0" fillId="0" borderId="0" xfId="0" applyAlignment="1">
      <alignment horizontal="center" wrapText="1"/>
    </xf>
    <xf numFmtId="0" fontId="50" fillId="0" borderId="13" xfId="0" applyFont="1" applyBorder="1" applyAlignment="1">
      <alignment horizontal="center"/>
    </xf>
    <xf numFmtId="0" fontId="37" fillId="0" borderId="0" xfId="0" applyFont="1" applyAlignment="1">
      <alignment horizontal="center" vertical="center"/>
    </xf>
    <xf numFmtId="0" fontId="36" fillId="0" borderId="0" xfId="0" applyFont="1" applyAlignment="1">
      <alignment horizontal="right"/>
    </xf>
    <xf numFmtId="0" fontId="36" fillId="27" borderId="0" xfId="0" applyFont="1" applyFill="1" applyAlignment="1">
      <alignment horizontal="center"/>
    </xf>
    <xf numFmtId="0" fontId="73" fillId="0" borderId="0" xfId="0" applyFont="1" applyAlignment="1">
      <alignment horizontal="center"/>
    </xf>
    <xf numFmtId="0" fontId="0" fillId="28" borderId="0" xfId="0" applyFill="1" applyAlignment="1">
      <alignment horizontal="center"/>
    </xf>
    <xf numFmtId="0" fontId="0" fillId="0" borderId="18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2" xfId="0" applyBorder="1" applyAlignment="1">
      <alignment horizontal="center" vertical="center" wrapText="1"/>
    </xf>
    <xf numFmtId="0" fontId="0" fillId="0" borderId="12" xfId="0" applyBorder="1" applyAlignment="1">
      <alignment horizontal="center" vertical="top" wrapText="1"/>
    </xf>
    <xf numFmtId="0" fontId="4" fillId="0" borderId="6" xfId="0" applyFont="1" applyBorder="1" applyAlignment="1">
      <alignment horizontal="center"/>
    </xf>
    <xf numFmtId="0" fontId="17" fillId="0" borderId="6" xfId="0" applyFont="1" applyBorder="1" applyAlignment="1">
      <alignment horizontal="center"/>
    </xf>
    <xf numFmtId="0" fontId="55" fillId="0" borderId="43" xfId="0" applyFont="1" applyBorder="1" applyAlignment="1">
      <alignment horizontal="center" vertical="center"/>
    </xf>
    <xf numFmtId="0" fontId="55" fillId="0" borderId="0" xfId="0" applyFont="1" applyAlignment="1">
      <alignment horizontal="center" vertical="center"/>
    </xf>
    <xf numFmtId="0" fontId="55" fillId="0" borderId="14" xfId="0" applyFont="1" applyBorder="1" applyAlignment="1">
      <alignment horizontal="center" vertical="center"/>
    </xf>
    <xf numFmtId="0" fontId="55" fillId="0" borderId="2" xfId="0" applyFont="1" applyBorder="1" applyAlignment="1">
      <alignment horizontal="center" vertical="center"/>
    </xf>
    <xf numFmtId="0" fontId="55" fillId="0" borderId="13" xfId="0" applyFont="1" applyBorder="1" applyAlignment="1">
      <alignment horizontal="center" vertical="center"/>
    </xf>
    <xf numFmtId="0" fontId="63" fillId="0" borderId="43" xfId="0" applyFont="1" applyBorder="1" applyAlignment="1">
      <alignment horizontal="center"/>
    </xf>
    <xf numFmtId="0" fontId="63" fillId="0" borderId="0" xfId="0" applyFont="1" applyAlignment="1">
      <alignment horizontal="center"/>
    </xf>
    <xf numFmtId="0" fontId="13" fillId="0" borderId="2" xfId="0" applyFont="1" applyBorder="1" applyAlignment="1">
      <alignment horizontal="center"/>
    </xf>
    <xf numFmtId="0" fontId="0" fillId="0" borderId="12" xfId="0" applyBorder="1" applyAlignment="1">
      <alignment horizontal="center" wrapText="1"/>
    </xf>
    <xf numFmtId="0" fontId="0" fillId="0" borderId="6" xfId="0" applyBorder="1" applyAlignment="1">
      <alignment horizontal="center" wrapText="1"/>
    </xf>
    <xf numFmtId="0" fontId="8" fillId="0" borderId="6" xfId="0" applyFont="1" applyBorder="1" applyAlignment="1">
      <alignment horizontal="center"/>
    </xf>
    <xf numFmtId="0" fontId="0" fillId="10" borderId="16" xfId="0" applyFill="1" applyBorder="1" applyAlignment="1">
      <alignment horizontal="center" vertical="center"/>
    </xf>
    <xf numFmtId="0" fontId="0" fillId="10" borderId="21" xfId="0" applyFill="1" applyBorder="1" applyAlignment="1">
      <alignment horizontal="center" vertical="center"/>
    </xf>
    <xf numFmtId="0" fontId="0" fillId="10" borderId="20" xfId="0" applyFill="1" applyBorder="1" applyAlignment="1">
      <alignment horizontal="center" vertical="center"/>
    </xf>
    <xf numFmtId="0" fontId="0" fillId="11" borderId="10" xfId="0" applyFill="1" applyBorder="1" applyAlignment="1">
      <alignment horizontal="center" vertical="center"/>
    </xf>
    <xf numFmtId="0" fontId="0" fillId="11" borderId="11" xfId="0" applyFill="1" applyBorder="1" applyAlignment="1">
      <alignment horizontal="center" vertical="center"/>
    </xf>
    <xf numFmtId="0" fontId="0" fillId="10" borderId="6" xfId="0" applyFill="1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0" borderId="6" xfId="0" applyBorder="1" applyAlignment="1">
      <alignment horizontal="center" vertical="center" wrapText="1"/>
    </xf>
    <xf numFmtId="0" fontId="0" fillId="0" borderId="2" xfId="0" applyBorder="1" applyAlignment="1">
      <alignment horizontal="center"/>
    </xf>
    <xf numFmtId="0" fontId="0" fillId="0" borderId="16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63" fillId="0" borderId="1" xfId="0" applyFont="1" applyBorder="1" applyAlignment="1">
      <alignment horizontal="center"/>
    </xf>
    <xf numFmtId="0" fontId="21" fillId="0" borderId="12" xfId="1" applyBorder="1" applyAlignment="1">
      <alignment horizontal="center" wrapText="1"/>
    </xf>
    <xf numFmtId="0" fontId="0" fillId="3" borderId="0" xfId="0" applyFill="1" applyAlignment="1">
      <alignment horizontal="center" vertical="center" textRotation="90"/>
    </xf>
    <xf numFmtId="0" fontId="0" fillId="0" borderId="12" xfId="0" applyBorder="1" applyAlignment="1">
      <alignment horizontal="center" vertical="center" textRotation="90" wrapText="1"/>
    </xf>
    <xf numFmtId="0" fontId="10" fillId="17" borderId="0" xfId="0" applyFont="1" applyFill="1" applyAlignment="1">
      <alignment horizontal="center" vertical="center"/>
    </xf>
    <xf numFmtId="0" fontId="69" fillId="26" borderId="0" xfId="0" applyFont="1" applyFill="1" applyAlignment="1">
      <alignment horizontal="center" vertical="center"/>
    </xf>
    <xf numFmtId="0" fontId="69" fillId="26" borderId="1" xfId="0" applyFont="1" applyFill="1" applyBorder="1" applyAlignment="1">
      <alignment horizontal="center" vertical="center"/>
    </xf>
    <xf numFmtId="0" fontId="51" fillId="0" borderId="0" xfId="0" applyFont="1" applyAlignment="1">
      <alignment horizontal="center" vertical="center" textRotation="90" wrapText="1"/>
    </xf>
    <xf numFmtId="0" fontId="9" fillId="0" borderId="3" xfId="0" applyFont="1" applyBorder="1" applyAlignment="1">
      <alignment horizontal="center" vertical="center"/>
    </xf>
    <xf numFmtId="0" fontId="9" fillId="0" borderId="47" xfId="0" applyFont="1" applyBorder="1" applyAlignment="1">
      <alignment horizontal="center" vertical="center"/>
    </xf>
    <xf numFmtId="0" fontId="51" fillId="0" borderId="0" xfId="0" applyFont="1" applyAlignment="1">
      <alignment horizontal="center" vertical="center" wrapText="1"/>
    </xf>
    <xf numFmtId="0" fontId="51" fillId="0" borderId="0" xfId="0" applyFont="1" applyAlignment="1">
      <alignment horizontal="center" textRotation="90" wrapText="1"/>
    </xf>
    <xf numFmtId="0" fontId="64" fillId="17" borderId="0" xfId="0" applyFont="1" applyFill="1" applyAlignment="1">
      <alignment horizontal="center" vertical="center"/>
    </xf>
    <xf numFmtId="0" fontId="65" fillId="17" borderId="0" xfId="0" applyFont="1" applyFill="1" applyAlignment="1">
      <alignment horizontal="center" vertical="center"/>
    </xf>
    <xf numFmtId="0" fontId="13" fillId="12" borderId="1" xfId="0" applyFont="1" applyFill="1" applyBorder="1" applyAlignment="1">
      <alignment horizontal="center"/>
    </xf>
    <xf numFmtId="0" fontId="13" fillId="0" borderId="0" xfId="0" applyFont="1" applyAlignment="1">
      <alignment horizontal="center"/>
    </xf>
    <xf numFmtId="0" fontId="50" fillId="17" borderId="0" xfId="0" applyFont="1" applyFill="1" applyAlignment="1">
      <alignment horizontal="center" vertical="center"/>
    </xf>
    <xf numFmtId="0" fontId="9" fillId="0" borderId="3" xfId="0" applyFont="1" applyBorder="1" applyAlignment="1">
      <alignment horizontal="center" vertical="center" wrapText="1"/>
    </xf>
    <xf numFmtId="0" fontId="9" fillId="0" borderId="4" xfId="0" applyFont="1" applyBorder="1" applyAlignment="1">
      <alignment horizontal="center" vertical="center" wrapText="1"/>
    </xf>
    <xf numFmtId="0" fontId="37" fillId="15" borderId="0" xfId="0" applyFont="1" applyFill="1" applyAlignment="1">
      <alignment horizontal="center" vertical="center"/>
    </xf>
    <xf numFmtId="0" fontId="30" fillId="0" borderId="0" xfId="0" applyFont="1" applyAlignment="1">
      <alignment horizontal="center" vertical="center" textRotation="90"/>
    </xf>
    <xf numFmtId="0" fontId="55" fillId="19" borderId="0" xfId="0" applyFont="1" applyFill="1" applyAlignment="1">
      <alignment horizontal="center" vertical="center"/>
    </xf>
    <xf numFmtId="0" fontId="55" fillId="19" borderId="30" xfId="0" applyFont="1" applyFill="1" applyBorder="1" applyAlignment="1">
      <alignment horizontal="center" vertical="center"/>
    </xf>
    <xf numFmtId="0" fontId="50" fillId="0" borderId="18" xfId="0" applyFont="1" applyBorder="1" applyAlignment="1">
      <alignment horizontal="center"/>
    </xf>
    <xf numFmtId="0" fontId="50" fillId="0" borderId="15" xfId="0" applyFont="1" applyBorder="1" applyAlignment="1">
      <alignment horizontal="center"/>
    </xf>
    <xf numFmtId="0" fontId="51" fillId="0" borderId="0" xfId="0" applyFont="1" applyAlignment="1">
      <alignment horizontal="center" vertical="center" textRotation="90"/>
    </xf>
    <xf numFmtId="0" fontId="37" fillId="13" borderId="0" xfId="0" applyFont="1" applyFill="1" applyAlignment="1">
      <alignment horizontal="center" vertical="center"/>
    </xf>
    <xf numFmtId="0" fontId="37" fillId="13" borderId="30" xfId="0" applyFont="1" applyFill="1" applyBorder="1" applyAlignment="1">
      <alignment horizontal="center" vertical="center"/>
    </xf>
    <xf numFmtId="0" fontId="48" fillId="9" borderId="0" xfId="0" applyFont="1" applyFill="1" applyAlignment="1">
      <alignment horizontal="center" vertical="center"/>
    </xf>
    <xf numFmtId="0" fontId="48" fillId="9" borderId="30" xfId="0" applyFont="1" applyFill="1" applyBorder="1" applyAlignment="1">
      <alignment horizontal="center" vertical="center"/>
    </xf>
    <xf numFmtId="0" fontId="16" fillId="12" borderId="1" xfId="0" applyFont="1" applyFill="1" applyBorder="1" applyAlignment="1">
      <alignment horizontal="center"/>
    </xf>
    <xf numFmtId="0" fontId="39" fillId="14" borderId="0" xfId="0" applyFont="1" applyFill="1" applyAlignment="1">
      <alignment horizontal="center" vertical="center"/>
    </xf>
    <xf numFmtId="0" fontId="39" fillId="14" borderId="30" xfId="0" applyFont="1" applyFill="1" applyBorder="1" applyAlignment="1">
      <alignment horizontal="center" vertical="center"/>
    </xf>
    <xf numFmtId="0" fontId="37" fillId="15" borderId="30" xfId="0" applyFont="1" applyFill="1" applyBorder="1" applyAlignment="1">
      <alignment horizontal="center" vertical="center"/>
    </xf>
    <xf numFmtId="0" fontId="9" fillId="0" borderId="47" xfId="0" applyFont="1" applyBorder="1" applyAlignment="1">
      <alignment horizontal="center" vertical="center" wrapText="1"/>
    </xf>
    <xf numFmtId="0" fontId="10" fillId="18" borderId="0" xfId="0" applyFont="1" applyFill="1" applyAlignment="1">
      <alignment horizontal="center" vertical="center"/>
    </xf>
    <xf numFmtId="0" fontId="9" fillId="0" borderId="3" xfId="0" applyFont="1" applyBorder="1" applyAlignment="1">
      <alignment horizontal="center" wrapText="1"/>
    </xf>
    <xf numFmtId="0" fontId="9" fillId="0" borderId="4" xfId="0" applyFont="1" applyBorder="1" applyAlignment="1">
      <alignment horizontal="center" wrapText="1"/>
    </xf>
    <xf numFmtId="0" fontId="48" fillId="16" borderId="0" xfId="0" applyFont="1" applyFill="1" applyAlignment="1">
      <alignment horizontal="center" vertical="center"/>
    </xf>
    <xf numFmtId="0" fontId="48" fillId="16" borderId="30" xfId="0" applyFont="1" applyFill="1" applyBorder="1" applyAlignment="1">
      <alignment horizontal="center" vertical="center"/>
    </xf>
    <xf numFmtId="0" fontId="16" fillId="12" borderId="19" xfId="0" applyFont="1" applyFill="1" applyBorder="1" applyAlignment="1">
      <alignment horizontal="center"/>
    </xf>
    <xf numFmtId="0" fontId="9" fillId="0" borderId="22" xfId="0" applyFont="1" applyBorder="1" applyAlignment="1">
      <alignment horizontal="center" vertical="center" wrapText="1"/>
    </xf>
    <xf numFmtId="0" fontId="9" fillId="0" borderId="23" xfId="0" applyFont="1" applyBorder="1" applyAlignment="1">
      <alignment horizontal="center" vertical="center" wrapText="1"/>
    </xf>
    <xf numFmtId="0" fontId="60" fillId="9" borderId="7" xfId="0" applyFont="1" applyFill="1" applyBorder="1" applyAlignment="1">
      <alignment horizontal="center" vertical="center"/>
    </xf>
    <xf numFmtId="0" fontId="60" fillId="9" borderId="9" xfId="0" applyFont="1" applyFill="1" applyBorder="1" applyAlignment="1">
      <alignment horizontal="center" vertical="center"/>
    </xf>
    <xf numFmtId="0" fontId="60" fillId="16" borderId="7" xfId="0" applyFont="1" applyFill="1" applyBorder="1" applyAlignment="1">
      <alignment horizontal="center" vertical="center"/>
    </xf>
    <xf numFmtId="0" fontId="60" fillId="16" borderId="8" xfId="0" applyFont="1" applyFill="1" applyBorder="1" applyAlignment="1">
      <alignment horizontal="center" vertical="center"/>
    </xf>
    <xf numFmtId="0" fontId="60" fillId="16" borderId="9" xfId="0" applyFont="1" applyFill="1" applyBorder="1" applyAlignment="1">
      <alignment horizontal="center" vertical="center"/>
    </xf>
    <xf numFmtId="0" fontId="60" fillId="20" borderId="7" xfId="0" applyFont="1" applyFill="1" applyBorder="1" applyAlignment="1">
      <alignment horizontal="center" vertical="center"/>
    </xf>
    <xf numFmtId="0" fontId="60" fillId="20" borderId="8" xfId="0" applyFont="1" applyFill="1" applyBorder="1" applyAlignment="1">
      <alignment horizontal="center" vertical="center"/>
    </xf>
    <xf numFmtId="0" fontId="60" fillId="20" borderId="9" xfId="0" applyFont="1" applyFill="1" applyBorder="1" applyAlignment="1">
      <alignment horizontal="center" vertical="center"/>
    </xf>
    <xf numFmtId="0" fontId="60" fillId="22" borderId="4" xfId="0" applyFont="1" applyFill="1" applyBorder="1" applyAlignment="1">
      <alignment horizontal="center" vertical="center"/>
    </xf>
    <xf numFmtId="0" fontId="60" fillId="22" borderId="5" xfId="0" applyFont="1" applyFill="1" applyBorder="1" applyAlignment="1">
      <alignment horizontal="center" vertical="center"/>
    </xf>
    <xf numFmtId="0" fontId="23" fillId="0" borderId="0" xfId="0" applyFont="1" applyAlignment="1">
      <alignment horizontal="center"/>
    </xf>
    <xf numFmtId="0" fontId="30" fillId="0" borderId="0" xfId="0" applyFont="1" applyAlignment="1">
      <alignment horizontal="center"/>
    </xf>
    <xf numFmtId="0" fontId="8" fillId="0" borderId="6" xfId="0" applyFont="1" applyBorder="1" applyAlignment="1">
      <alignment horizontal="center" vertical="center" wrapText="1"/>
    </xf>
    <xf numFmtId="0" fontId="8" fillId="0" borderId="16" xfId="0" applyFont="1" applyBorder="1" applyAlignment="1">
      <alignment horizontal="center" vertical="center" wrapText="1"/>
    </xf>
    <xf numFmtId="0" fontId="23" fillId="16" borderId="0" xfId="0" applyFont="1" applyFill="1" applyAlignment="1">
      <alignment horizontal="center" vertical="center" textRotation="90"/>
    </xf>
    <xf numFmtId="0" fontId="23" fillId="9" borderId="0" xfId="0" applyFont="1" applyFill="1" applyAlignment="1">
      <alignment horizontal="center" vertical="center" textRotation="90"/>
    </xf>
    <xf numFmtId="0" fontId="47" fillId="3" borderId="34" xfId="0" applyFont="1" applyFill="1" applyBorder="1" applyAlignment="1">
      <alignment horizontal="center" vertical="center"/>
    </xf>
    <xf numFmtId="0" fontId="47" fillId="3" borderId="35" xfId="0" applyFont="1" applyFill="1" applyBorder="1" applyAlignment="1">
      <alignment horizontal="center" vertical="center"/>
    </xf>
    <xf numFmtId="0" fontId="47" fillId="3" borderId="6" xfId="0" applyFont="1" applyFill="1" applyBorder="1" applyAlignment="1">
      <alignment horizontal="center" vertical="center"/>
    </xf>
    <xf numFmtId="0" fontId="47" fillId="3" borderId="37" xfId="0" applyFont="1" applyFill="1" applyBorder="1" applyAlignment="1">
      <alignment horizontal="center" vertical="center"/>
    </xf>
    <xf numFmtId="0" fontId="47" fillId="8" borderId="6" xfId="0" applyFont="1" applyFill="1" applyBorder="1" applyAlignment="1">
      <alignment horizontal="center" vertical="center"/>
    </xf>
    <xf numFmtId="0" fontId="47" fillId="8" borderId="37" xfId="0" applyFont="1" applyFill="1" applyBorder="1" applyAlignment="1">
      <alignment horizontal="center" vertical="center"/>
    </xf>
    <xf numFmtId="0" fontId="47" fillId="8" borderId="39" xfId="0" applyFont="1" applyFill="1" applyBorder="1" applyAlignment="1">
      <alignment horizontal="center" vertical="center"/>
    </xf>
    <xf numFmtId="0" fontId="47" fillId="8" borderId="40" xfId="0" applyFont="1" applyFill="1" applyBorder="1" applyAlignment="1">
      <alignment horizontal="center" vertical="center"/>
    </xf>
    <xf numFmtId="0" fontId="47" fillId="0" borderId="36" xfId="0" applyFont="1" applyBorder="1" applyAlignment="1">
      <alignment horizontal="center" vertical="center"/>
    </xf>
    <xf numFmtId="0" fontId="47" fillId="0" borderId="6" xfId="0" applyFont="1" applyBorder="1" applyAlignment="1">
      <alignment horizontal="center" vertical="center"/>
    </xf>
    <xf numFmtId="0" fontId="47" fillId="0" borderId="38" xfId="0" applyFont="1" applyBorder="1" applyAlignment="1">
      <alignment horizontal="center" vertical="center"/>
    </xf>
    <xf numFmtId="0" fontId="47" fillId="0" borderId="39" xfId="0" applyFont="1" applyBorder="1" applyAlignment="1">
      <alignment horizontal="center" vertical="center"/>
    </xf>
    <xf numFmtId="0" fontId="8" fillId="0" borderId="18" xfId="0" applyFont="1" applyBorder="1" applyAlignment="1">
      <alignment horizontal="center" vertical="center" wrapText="1"/>
    </xf>
    <xf numFmtId="0" fontId="7" fillId="0" borderId="6" xfId="0" applyFont="1" applyBorder="1" applyAlignment="1">
      <alignment horizontal="center" vertical="center" wrapText="1"/>
    </xf>
    <xf numFmtId="0" fontId="47" fillId="11" borderId="33" xfId="0" applyFont="1" applyFill="1" applyBorder="1" applyAlignment="1">
      <alignment horizontal="center" vertical="center"/>
    </xf>
    <xf numFmtId="0" fontId="47" fillId="11" borderId="34" xfId="0" applyFont="1" applyFill="1" applyBorder="1" applyAlignment="1">
      <alignment horizontal="center" vertical="center"/>
    </xf>
    <xf numFmtId="0" fontId="47" fillId="11" borderId="36" xfId="0" applyFont="1" applyFill="1" applyBorder="1" applyAlignment="1">
      <alignment horizontal="center" vertical="center"/>
    </xf>
    <xf numFmtId="0" fontId="47" fillId="11" borderId="6" xfId="0" applyFont="1" applyFill="1" applyBorder="1" applyAlignment="1">
      <alignment horizontal="center" vertical="center"/>
    </xf>
    <xf numFmtId="0" fontId="23" fillId="21" borderId="0" xfId="0" applyFont="1" applyFill="1" applyAlignment="1">
      <alignment horizontal="center" vertical="center" textRotation="90"/>
    </xf>
    <xf numFmtId="0" fontId="0" fillId="0" borderId="1" xfId="0" applyBorder="1" applyAlignment="1">
      <alignment horizontal="center"/>
    </xf>
    <xf numFmtId="0" fontId="23" fillId="19" borderId="0" xfId="0" applyFont="1" applyFill="1" applyAlignment="1">
      <alignment horizontal="center" vertical="center" textRotation="90"/>
    </xf>
    <xf numFmtId="0" fontId="50" fillId="0" borderId="0" xfId="0" applyFont="1" applyAlignment="1">
      <alignment horizontal="center"/>
    </xf>
    <xf numFmtId="0" fontId="33" fillId="8" borderId="0" xfId="0" applyFont="1" applyFill="1" applyAlignment="1">
      <alignment horizontal="center"/>
    </xf>
    <xf numFmtId="0" fontId="32" fillId="8" borderId="0" xfId="0" applyFont="1" applyFill="1" applyAlignment="1">
      <alignment horizontal="center"/>
    </xf>
    <xf numFmtId="0" fontId="18" fillId="3" borderId="0" xfId="0" applyFont="1" applyFill="1" applyAlignment="1">
      <alignment horizontal="center" vertical="center" textRotation="90" wrapText="1"/>
    </xf>
    <xf numFmtId="0" fontId="15" fillId="7" borderId="0" xfId="0" applyFont="1" applyFill="1" applyAlignment="1">
      <alignment horizontal="center" vertical="center" textRotation="90"/>
    </xf>
    <xf numFmtId="0" fontId="12" fillId="6" borderId="0" xfId="0" applyFont="1" applyFill="1" applyAlignment="1">
      <alignment horizontal="center" vertical="center"/>
    </xf>
    <xf numFmtId="0" fontId="18" fillId="3" borderId="0" xfId="0" applyFont="1" applyFill="1" applyAlignment="1">
      <alignment horizontal="center" vertical="center" textRotation="90"/>
    </xf>
    <xf numFmtId="0" fontId="33" fillId="10" borderId="0" xfId="0" applyFont="1" applyFill="1" applyAlignment="1">
      <alignment horizontal="center" vertical="center"/>
    </xf>
    <xf numFmtId="0" fontId="10" fillId="2" borderId="0" xfId="0" applyFont="1" applyFill="1" applyAlignment="1">
      <alignment horizontal="center" vertical="center"/>
    </xf>
    <xf numFmtId="0" fontId="6" fillId="0" borderId="6" xfId="0" applyFont="1" applyBorder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36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D9D9D9"/>
      <color rgb="FFFFF6CE"/>
      <color rgb="FFEDE995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13" Type="http://schemas.openxmlformats.org/officeDocument/2006/relationships/image" Target="../media/image20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12" Type="http://schemas.openxmlformats.org/officeDocument/2006/relationships/image" Target="../media/image19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11" Type="http://schemas.openxmlformats.org/officeDocument/2006/relationships/image" Target="../media/image18.png"/><Relationship Id="rId5" Type="http://schemas.openxmlformats.org/officeDocument/2006/relationships/image" Target="../media/image12.png"/><Relationship Id="rId10" Type="http://schemas.openxmlformats.org/officeDocument/2006/relationships/image" Target="../media/image17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378302</xdr:colOff>
      <xdr:row>10</xdr:row>
      <xdr:rowOff>116114</xdr:rowOff>
    </xdr:from>
    <xdr:to>
      <xdr:col>18</xdr:col>
      <xdr:colOff>240669</xdr:colOff>
      <xdr:row>10</xdr:row>
      <xdr:rowOff>121557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9461BE9-5815-4DC4-8D54-4C255DB16F53}"/>
            </a:ext>
          </a:extLst>
        </xdr:cNvPr>
        <xdr:cNvCxnSpPr/>
      </xdr:nvCxnSpPr>
      <xdr:spPr>
        <a:xfrm flipV="1">
          <a:off x="12280411" y="1954853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396618</xdr:colOff>
      <xdr:row>11</xdr:row>
      <xdr:rowOff>123372</xdr:rowOff>
    </xdr:from>
    <xdr:to>
      <xdr:col>18</xdr:col>
      <xdr:colOff>258985</xdr:colOff>
      <xdr:row>11</xdr:row>
      <xdr:rowOff>128815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AF179916-4509-44B4-B10C-7B118B6B9874}"/>
            </a:ext>
          </a:extLst>
        </xdr:cNvPr>
        <xdr:cNvCxnSpPr/>
      </xdr:nvCxnSpPr>
      <xdr:spPr>
        <a:xfrm flipV="1">
          <a:off x="12298727" y="2202307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394867</xdr:colOff>
      <xdr:row>12</xdr:row>
      <xdr:rowOff>124396</xdr:rowOff>
    </xdr:from>
    <xdr:to>
      <xdr:col>18</xdr:col>
      <xdr:colOff>257234</xdr:colOff>
      <xdr:row>12</xdr:row>
      <xdr:rowOff>129839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3589BAF7-7D73-4913-BE38-FC034BA26EF1}"/>
            </a:ext>
          </a:extLst>
        </xdr:cNvPr>
        <xdr:cNvCxnSpPr/>
      </xdr:nvCxnSpPr>
      <xdr:spPr>
        <a:xfrm flipV="1">
          <a:off x="12296976" y="244352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371770</xdr:colOff>
      <xdr:row>13</xdr:row>
      <xdr:rowOff>115090</xdr:rowOff>
    </xdr:from>
    <xdr:to>
      <xdr:col>18</xdr:col>
      <xdr:colOff>234137</xdr:colOff>
      <xdr:row>13</xdr:row>
      <xdr:rowOff>120533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607AE967-7674-4596-B77A-B06FAC70BBCB}"/>
            </a:ext>
          </a:extLst>
        </xdr:cNvPr>
        <xdr:cNvCxnSpPr/>
      </xdr:nvCxnSpPr>
      <xdr:spPr>
        <a:xfrm flipV="1">
          <a:off x="12273879" y="267441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14</xdr:row>
      <xdr:rowOff>115090</xdr:rowOff>
    </xdr:from>
    <xdr:to>
      <xdr:col>18</xdr:col>
      <xdr:colOff>225855</xdr:colOff>
      <xdr:row>14</xdr:row>
      <xdr:rowOff>120533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A8357F6B-AEBA-46C3-990D-F434187BC139}"/>
            </a:ext>
          </a:extLst>
        </xdr:cNvPr>
        <xdr:cNvCxnSpPr/>
      </xdr:nvCxnSpPr>
      <xdr:spPr>
        <a:xfrm flipV="1">
          <a:off x="12265597" y="2873199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17</xdr:row>
      <xdr:rowOff>115090</xdr:rowOff>
    </xdr:from>
    <xdr:to>
      <xdr:col>18</xdr:col>
      <xdr:colOff>225855</xdr:colOff>
      <xdr:row>17</xdr:row>
      <xdr:rowOff>120533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3C767BBF-02F2-4216-BDDC-8B7C80B58562}"/>
            </a:ext>
          </a:extLst>
        </xdr:cNvPr>
        <xdr:cNvCxnSpPr/>
      </xdr:nvCxnSpPr>
      <xdr:spPr>
        <a:xfrm flipV="1">
          <a:off x="12474892" y="2884667"/>
          <a:ext cx="463175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137160</xdr:colOff>
      <xdr:row>48</xdr:row>
      <xdr:rowOff>108857</xdr:rowOff>
    </xdr:from>
    <xdr:to>
      <xdr:col>10</xdr:col>
      <xdr:colOff>794657</xdr:colOff>
      <xdr:row>48</xdr:row>
      <xdr:rowOff>114300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F7145F4-C484-4DAD-878D-400DCE8BF258}"/>
            </a:ext>
          </a:extLst>
        </xdr:cNvPr>
        <xdr:cNvCxnSpPr/>
      </xdr:nvCxnSpPr>
      <xdr:spPr>
        <a:xfrm flipV="1">
          <a:off x="7299960" y="47461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1082787</xdr:colOff>
      <xdr:row>126</xdr:row>
      <xdr:rowOff>15355</xdr:rowOff>
    </xdr:from>
    <xdr:to>
      <xdr:col>15</xdr:col>
      <xdr:colOff>24</xdr:colOff>
      <xdr:row>142</xdr:row>
      <xdr:rowOff>145408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FFF98F8-CA49-03D5-41B7-7B188EF85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3160" y="25912312"/>
          <a:ext cx="3719573" cy="3159121"/>
        </a:xfrm>
        <a:prstGeom prst="rect">
          <a:avLst/>
        </a:prstGeom>
      </xdr:spPr>
    </xdr:pic>
    <xdr:clientData/>
  </xdr:twoCellAnchor>
  <xdr:twoCellAnchor editAs="oneCell">
    <xdr:from>
      <xdr:col>4</xdr:col>
      <xdr:colOff>982723</xdr:colOff>
      <xdr:row>125</xdr:row>
      <xdr:rowOff>52694</xdr:rowOff>
    </xdr:from>
    <xdr:to>
      <xdr:col>10</xdr:col>
      <xdr:colOff>708095</xdr:colOff>
      <xdr:row>139</xdr:row>
      <xdr:rowOff>152421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3001111-2BF4-78DA-3C2F-86FBE7292C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32909" y="22589278"/>
          <a:ext cx="4955248" cy="2750162"/>
        </a:xfrm>
        <a:prstGeom prst="rect">
          <a:avLst/>
        </a:prstGeom>
      </xdr:spPr>
    </xdr:pic>
    <xdr:clientData/>
  </xdr:twoCellAnchor>
  <xdr:twoCellAnchor editAs="oneCell">
    <xdr:from>
      <xdr:col>15</xdr:col>
      <xdr:colOff>626781</xdr:colOff>
      <xdr:row>126</xdr:row>
      <xdr:rowOff>117322</xdr:rowOff>
    </xdr:from>
    <xdr:to>
      <xdr:col>22</xdr:col>
      <xdr:colOff>146352</xdr:colOff>
      <xdr:row>135</xdr:row>
      <xdr:rowOff>123016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9FCAD78-43CF-905E-DAE7-944DC6519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696895" y="22469322"/>
          <a:ext cx="4737457" cy="1703865"/>
        </a:xfrm>
        <a:prstGeom prst="rect">
          <a:avLst/>
        </a:prstGeom>
      </xdr:spPr>
    </xdr:pic>
    <xdr:clientData/>
  </xdr:twoCellAnchor>
  <xdr:oneCellAnchor>
    <xdr:from>
      <xdr:col>5</xdr:col>
      <xdr:colOff>674914</xdr:colOff>
      <xdr:row>84</xdr:row>
      <xdr:rowOff>152400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48077C0-D8DD-B454-8B99-241634532E1D}"/>
            </a:ext>
          </a:extLst>
        </xdr:cNvPr>
        <xdr:cNvSpPr txBox="1"/>
      </xdr:nvSpPr>
      <xdr:spPr>
        <a:xfrm>
          <a:off x="4644571" y="17438914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0</xdr:col>
      <xdr:colOff>0</xdr:colOff>
      <xdr:row>127</xdr:row>
      <xdr:rowOff>70994</xdr:rowOff>
    </xdr:from>
    <xdr:to>
      <xdr:col>4</xdr:col>
      <xdr:colOff>549690</xdr:colOff>
      <xdr:row>138</xdr:row>
      <xdr:rowOff>29264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7FB0C44-73ED-A762-60A7-FCF223D63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2986211"/>
          <a:ext cx="3760187" cy="2040755"/>
        </a:xfrm>
        <a:prstGeom prst="rect">
          <a:avLst/>
        </a:prstGeom>
      </xdr:spPr>
    </xdr:pic>
    <xdr:clientData/>
  </xdr:twoCellAnchor>
  <xdr:twoCellAnchor editAs="oneCell">
    <xdr:from>
      <xdr:col>24</xdr:col>
      <xdr:colOff>393341</xdr:colOff>
      <xdr:row>104</xdr:row>
      <xdr:rowOff>87717</xdr:rowOff>
    </xdr:from>
    <xdr:to>
      <xdr:col>38</xdr:col>
      <xdr:colOff>204165</xdr:colOff>
      <xdr:row>114</xdr:row>
      <xdr:rowOff>84440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978CFDF-B825-A446-92A0-5C58DC57E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170541" y="21753917"/>
          <a:ext cx="9297724" cy="20795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1</xdr:col>
      <xdr:colOff>304800</xdr:colOff>
      <xdr:row>99</xdr:row>
      <xdr:rowOff>88899</xdr:rowOff>
    </xdr:to>
    <xdr:sp macro="" textlink="">
      <xdr:nvSpPr>
        <xdr:cNvPr id="1037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0883594-14B3-1F2E-F41A-511B16EB57BF}"/>
            </a:ext>
          </a:extLst>
        </xdr:cNvPr>
        <xdr:cNvSpPr>
          <a:spLocks noChangeAspect="1" noChangeArrowheads="1"/>
        </xdr:cNvSpPr>
      </xdr:nvSpPr>
      <xdr:spPr bwMode="auto">
        <a:xfrm>
          <a:off x="673100" y="20383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528509</xdr:colOff>
      <xdr:row>127</xdr:row>
      <xdr:rowOff>94660</xdr:rowOff>
    </xdr:from>
    <xdr:to>
      <xdr:col>5</xdr:col>
      <xdr:colOff>291863</xdr:colOff>
      <xdr:row>143</xdr:row>
      <xdr:rowOff>81276</xdr:rowOff>
    </xdr:to>
    <xdr:sp macro="" textlink="">
      <xdr:nvSpPr>
        <xdr:cNvPr id="1038" name="AutoShape 14" descr="Chemical composition of Coke, Coal and Charcoal used in the BF simulation.">
          <a:extLst>
            <a:ext uri="{FF2B5EF4-FFF2-40B4-BE49-F238E27FC236}">
              <a16:creationId xmlns:a16="http://schemas.microsoft.com/office/drawing/2014/main" id="{A8688825-9C58-9ED2-EEC1-C239DA8A3640}"/>
            </a:ext>
          </a:extLst>
        </xdr:cNvPr>
        <xdr:cNvSpPr>
          <a:spLocks noChangeAspect="1" noChangeArrowheads="1"/>
        </xdr:cNvSpPr>
      </xdr:nvSpPr>
      <xdr:spPr bwMode="auto">
        <a:xfrm>
          <a:off x="1199006" y="26180933"/>
          <a:ext cx="3044845" cy="30156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15</xdr:col>
      <xdr:colOff>418075</xdr:colOff>
      <xdr:row>86</xdr:row>
      <xdr:rowOff>34968</xdr:rowOff>
    </xdr:from>
    <xdr:to>
      <xdr:col>20</xdr:col>
      <xdr:colOff>386522</xdr:colOff>
      <xdr:row>102</xdr:row>
      <xdr:rowOff>170860</xdr:rowOff>
    </xdr:to>
    <xdr:sp macro="" textlink="">
      <xdr:nvSpPr>
        <xdr:cNvPr id="1039" name="AutoShape 15" descr="Chemical composition of Coke, Coal and Charcoal used in the BF simulation.">
          <a:extLst>
            <a:ext uri="{FF2B5EF4-FFF2-40B4-BE49-F238E27FC236}">
              <a16:creationId xmlns:a16="http://schemas.microsoft.com/office/drawing/2014/main" id="{5F3B83FC-C40A-BA93-C51C-7A9B572F4779}"/>
            </a:ext>
          </a:extLst>
        </xdr:cNvPr>
        <xdr:cNvSpPr>
          <a:spLocks noChangeAspect="1" noChangeArrowheads="1"/>
        </xdr:cNvSpPr>
      </xdr:nvSpPr>
      <xdr:spPr bwMode="auto">
        <a:xfrm>
          <a:off x="13662361" y="17862297"/>
          <a:ext cx="3478696" cy="34804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108</xdr:row>
      <xdr:rowOff>0</xdr:rowOff>
    </xdr:from>
    <xdr:ext cx="304800" cy="301881"/>
    <xdr:sp macro="" textlink="">
      <xdr:nvSpPr>
        <xdr:cNvPr id="13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4856FE8-5508-BC44-8069-D69F499BAD7D}"/>
            </a:ext>
          </a:extLst>
        </xdr:cNvPr>
        <xdr:cNvSpPr>
          <a:spLocks noChangeAspect="1" noChangeArrowheads="1"/>
        </xdr:cNvSpPr>
      </xdr:nvSpPr>
      <xdr:spPr bwMode="auto">
        <a:xfrm>
          <a:off x="670497" y="2031211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114</xdr:row>
      <xdr:rowOff>0</xdr:rowOff>
    </xdr:from>
    <xdr:ext cx="304800" cy="301881"/>
    <xdr:sp macro="" textlink="">
      <xdr:nvSpPr>
        <xdr:cNvPr id="14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B51AFF91-9937-9D48-8ABF-23827A3CA64E}"/>
            </a:ext>
          </a:extLst>
        </xdr:cNvPr>
        <xdr:cNvSpPr>
          <a:spLocks noChangeAspect="1" noChangeArrowheads="1"/>
        </xdr:cNvSpPr>
      </xdr:nvSpPr>
      <xdr:spPr bwMode="auto">
        <a:xfrm>
          <a:off x="670497" y="2237093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>
    <xdr:from>
      <xdr:col>12</xdr:col>
      <xdr:colOff>137160</xdr:colOff>
      <xdr:row>215</xdr:row>
      <xdr:rowOff>108857</xdr:rowOff>
    </xdr:from>
    <xdr:to>
      <xdr:col>12</xdr:col>
      <xdr:colOff>794657</xdr:colOff>
      <xdr:row>215</xdr:row>
      <xdr:rowOff>114300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E500D02-02DB-5D48-A059-E49EDC5478A3}"/>
            </a:ext>
          </a:extLst>
        </xdr:cNvPr>
        <xdr:cNvCxnSpPr/>
      </xdr:nvCxnSpPr>
      <xdr:spPr>
        <a:xfrm flipV="1">
          <a:off x="8317222" y="987444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240</xdr:row>
      <xdr:rowOff>108857</xdr:rowOff>
    </xdr:from>
    <xdr:to>
      <xdr:col>12</xdr:col>
      <xdr:colOff>794657</xdr:colOff>
      <xdr:row>240</xdr:row>
      <xdr:rowOff>114300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36E00D46-7725-3E43-8FAA-465E6D70D6AB}"/>
            </a:ext>
          </a:extLst>
        </xdr:cNvPr>
        <xdr:cNvCxnSpPr/>
      </xdr:nvCxnSpPr>
      <xdr:spPr>
        <a:xfrm flipV="1">
          <a:off x="10691570" y="43935689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257</xdr:row>
      <xdr:rowOff>108857</xdr:rowOff>
    </xdr:from>
    <xdr:to>
      <xdr:col>12</xdr:col>
      <xdr:colOff>794657</xdr:colOff>
      <xdr:row>257</xdr:row>
      <xdr:rowOff>114300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C0F4D8C4-B12A-0043-A1C4-8F2EFF887F94}"/>
            </a:ext>
          </a:extLst>
        </xdr:cNvPr>
        <xdr:cNvCxnSpPr/>
      </xdr:nvCxnSpPr>
      <xdr:spPr>
        <a:xfrm flipV="1">
          <a:off x="10691570" y="4898413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273</xdr:row>
      <xdr:rowOff>108857</xdr:rowOff>
    </xdr:from>
    <xdr:to>
      <xdr:col>12</xdr:col>
      <xdr:colOff>794657</xdr:colOff>
      <xdr:row>273</xdr:row>
      <xdr:rowOff>114300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8CCBAD61-8FB7-8340-9BEF-8FD198BE395E}"/>
            </a:ext>
          </a:extLst>
        </xdr:cNvPr>
        <xdr:cNvCxnSpPr/>
      </xdr:nvCxnSpPr>
      <xdr:spPr>
        <a:xfrm flipV="1">
          <a:off x="10691570" y="52439168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0</xdr:colOff>
      <xdr:row>230</xdr:row>
      <xdr:rowOff>146010</xdr:rowOff>
    </xdr:from>
    <xdr:to>
      <xdr:col>13</xdr:col>
      <xdr:colOff>118323</xdr:colOff>
      <xdr:row>237</xdr:row>
      <xdr:rowOff>85998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72B833-1206-284D-551B-5FA747100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46460" y="47033463"/>
          <a:ext cx="4496273" cy="1304647"/>
        </a:xfrm>
        <a:prstGeom prst="rect">
          <a:avLst/>
        </a:prstGeom>
      </xdr:spPr>
    </xdr:pic>
    <xdr:clientData/>
  </xdr:twoCellAnchor>
  <xdr:twoCellAnchor>
    <xdr:from>
      <xdr:col>4</xdr:col>
      <xdr:colOff>993913</xdr:colOff>
      <xdr:row>64</xdr:row>
      <xdr:rowOff>7888</xdr:rowOff>
    </xdr:from>
    <xdr:to>
      <xdr:col>9</xdr:col>
      <xdr:colOff>725714</xdr:colOff>
      <xdr:row>64</xdr:row>
      <xdr:rowOff>94658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B9BAF259-0A05-E76C-B819-2F9165F5B3C8}"/>
            </a:ext>
          </a:extLst>
        </xdr:cNvPr>
        <xdr:cNvCxnSpPr/>
      </xdr:nvCxnSpPr>
      <xdr:spPr>
        <a:xfrm>
          <a:off x="3944099" y="13133851"/>
          <a:ext cx="4228075" cy="8677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38</xdr:col>
      <xdr:colOff>364436</xdr:colOff>
      <xdr:row>104</xdr:row>
      <xdr:rowOff>66261</xdr:rowOff>
    </xdr:from>
    <xdr:to>
      <xdr:col>50</xdr:col>
      <xdr:colOff>53010</xdr:colOff>
      <xdr:row>115</xdr:row>
      <xdr:rowOff>29685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118FB58-9D8D-8BD0-35EB-DEC4DCAC3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0667740" y="21766696"/>
          <a:ext cx="7772400" cy="227151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37</xdr:col>
      <xdr:colOff>247223</xdr:colOff>
      <xdr:row>6</xdr:row>
      <xdr:rowOff>79554</xdr:rowOff>
    </xdr:from>
    <xdr:to>
      <xdr:col>44</xdr:col>
      <xdr:colOff>288666</xdr:colOff>
      <xdr:row>20</xdr:row>
      <xdr:rowOff>78755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8D30FD-6327-C124-F03A-01D807270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01341" y="1155319"/>
          <a:ext cx="7571656" cy="2509318"/>
        </a:xfrm>
        <a:prstGeom prst="rect">
          <a:avLst/>
        </a:prstGeom>
      </xdr:spPr>
    </xdr:pic>
    <xdr:clientData/>
  </xdr:twoCellAnchor>
  <xdr:twoCellAnchor>
    <xdr:from>
      <xdr:col>43</xdr:col>
      <xdr:colOff>112509</xdr:colOff>
      <xdr:row>28</xdr:row>
      <xdr:rowOff>118983</xdr:rowOff>
    </xdr:from>
    <xdr:to>
      <xdr:col>43</xdr:col>
      <xdr:colOff>132331</xdr:colOff>
      <xdr:row>40</xdr:row>
      <xdr:rowOff>237576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D038F63-BD19-4B9D-8A9A-67E8E319FBE5}"/>
            </a:ext>
          </a:extLst>
        </xdr:cNvPr>
        <xdr:cNvCxnSpPr/>
      </xdr:nvCxnSpPr>
      <xdr:spPr>
        <a:xfrm flipH="1">
          <a:off x="16065871" y="5128728"/>
          <a:ext cx="19822" cy="227489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16037</xdr:colOff>
      <xdr:row>35</xdr:row>
      <xdr:rowOff>78154</xdr:rowOff>
    </xdr:from>
    <xdr:to>
      <xdr:col>62</xdr:col>
      <xdr:colOff>19538</xdr:colOff>
      <xdr:row>41</xdr:row>
      <xdr:rowOff>31736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F6BFAC0A-060A-44E6-8D85-EC901A3E5DE7}"/>
            </a:ext>
          </a:extLst>
        </xdr:cNvPr>
        <xdr:cNvCxnSpPr/>
      </xdr:nvCxnSpPr>
      <xdr:spPr>
        <a:xfrm flipH="1">
          <a:off x="56697114" y="6994769"/>
          <a:ext cx="3501" cy="1164967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312171</xdr:colOff>
      <xdr:row>190</xdr:row>
      <xdr:rowOff>41569</xdr:rowOff>
    </xdr:from>
    <xdr:to>
      <xdr:col>44</xdr:col>
      <xdr:colOff>320830</xdr:colOff>
      <xdr:row>204</xdr:row>
      <xdr:rowOff>208903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7D2DA7E-44E9-461E-A9F9-83029A504F92}"/>
            </a:ext>
          </a:extLst>
        </xdr:cNvPr>
        <xdr:cNvCxnSpPr/>
      </xdr:nvCxnSpPr>
      <xdr:spPr>
        <a:xfrm flipH="1">
          <a:off x="31367470" y="34765757"/>
          <a:ext cx="8659" cy="29787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73841</xdr:colOff>
      <xdr:row>252</xdr:row>
      <xdr:rowOff>106101</xdr:rowOff>
    </xdr:from>
    <xdr:to>
      <xdr:col>23</xdr:col>
      <xdr:colOff>376797</xdr:colOff>
      <xdr:row>272</xdr:row>
      <xdr:rowOff>117600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12865F6-0B82-B6B4-F0D2-EBF388138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902267" y="54386842"/>
          <a:ext cx="4242308" cy="4091962"/>
        </a:xfrm>
        <a:prstGeom prst="rect">
          <a:avLst/>
        </a:prstGeom>
      </xdr:spPr>
    </xdr:pic>
    <xdr:clientData/>
  </xdr:twoCellAnchor>
  <xdr:twoCellAnchor>
    <xdr:from>
      <xdr:col>24</xdr:col>
      <xdr:colOff>647099</xdr:colOff>
      <xdr:row>195</xdr:row>
      <xdr:rowOff>25400</xdr:rowOff>
    </xdr:from>
    <xdr:to>
      <xdr:col>24</xdr:col>
      <xdr:colOff>660400</xdr:colOff>
      <xdr:row>204</xdr:row>
      <xdr:rowOff>204733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E97CE65-9437-469F-9FA3-DE068A53E1DA}"/>
            </a:ext>
          </a:extLst>
        </xdr:cNvPr>
        <xdr:cNvCxnSpPr/>
      </xdr:nvCxnSpPr>
      <xdr:spPr>
        <a:xfrm flipH="1">
          <a:off x="20738499" y="43865800"/>
          <a:ext cx="13301" cy="200813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65</xdr:col>
      <xdr:colOff>258660</xdr:colOff>
      <xdr:row>184</xdr:row>
      <xdr:rowOff>33834</xdr:rowOff>
    </xdr:from>
    <xdr:to>
      <xdr:col>70</xdr:col>
      <xdr:colOff>547385</xdr:colOff>
      <xdr:row>196</xdr:row>
      <xdr:rowOff>53870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AA62925-6F9B-EC6D-55B4-D6686CD1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414731" y="32382548"/>
          <a:ext cx="4240770" cy="2542426"/>
        </a:xfrm>
        <a:prstGeom prst="rect">
          <a:avLst/>
        </a:prstGeom>
      </xdr:spPr>
    </xdr:pic>
    <xdr:clientData/>
  </xdr:twoCellAnchor>
  <xdr:twoCellAnchor>
    <xdr:from>
      <xdr:col>62</xdr:col>
      <xdr:colOff>338829</xdr:colOff>
      <xdr:row>195</xdr:row>
      <xdr:rowOff>42342</xdr:rowOff>
    </xdr:from>
    <xdr:to>
      <xdr:col>62</xdr:col>
      <xdr:colOff>347605</xdr:colOff>
      <xdr:row>204</xdr:row>
      <xdr:rowOff>182067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F7263425-C51A-42BA-98B3-D1D0B9B041B1}"/>
            </a:ext>
          </a:extLst>
        </xdr:cNvPr>
        <xdr:cNvCxnSpPr/>
      </xdr:nvCxnSpPr>
      <xdr:spPr>
        <a:xfrm flipH="1">
          <a:off x="48551352" y="35056361"/>
          <a:ext cx="8776" cy="186075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326530</xdr:colOff>
      <xdr:row>113</xdr:row>
      <xdr:rowOff>58616</xdr:rowOff>
    </xdr:from>
    <xdr:to>
      <xdr:col>44</xdr:col>
      <xdr:colOff>332154</xdr:colOff>
      <xdr:row>124</xdr:row>
      <xdr:rowOff>217439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5AF3CCF3-AA24-40C4-9995-5DEBE9E82283}"/>
            </a:ext>
          </a:extLst>
        </xdr:cNvPr>
        <xdr:cNvCxnSpPr/>
      </xdr:nvCxnSpPr>
      <xdr:spPr>
        <a:xfrm flipH="1">
          <a:off x="39852838" y="24286308"/>
          <a:ext cx="5624" cy="260113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346576</xdr:colOff>
      <xdr:row>159</xdr:row>
      <xdr:rowOff>23305</xdr:rowOff>
    </xdr:from>
    <xdr:to>
      <xdr:col>4</xdr:col>
      <xdr:colOff>49967</xdr:colOff>
      <xdr:row>170</xdr:row>
      <xdr:rowOff>61444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42D286E-90ED-AA07-764E-C62507836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6576" y="34313305"/>
          <a:ext cx="2384502" cy="2425269"/>
        </a:xfrm>
        <a:prstGeom prst="rect">
          <a:avLst/>
        </a:prstGeom>
      </xdr:spPr>
    </xdr:pic>
    <xdr:clientData/>
  </xdr:twoCellAnchor>
  <xdr:twoCellAnchor editAs="oneCell">
    <xdr:from>
      <xdr:col>57</xdr:col>
      <xdr:colOff>116514</xdr:colOff>
      <xdr:row>84</xdr:row>
      <xdr:rowOff>144288</xdr:rowOff>
    </xdr:from>
    <xdr:to>
      <xdr:col>64</xdr:col>
      <xdr:colOff>575382</xdr:colOff>
      <xdr:row>102</xdr:row>
      <xdr:rowOff>11327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713309-8EEE-A43D-D82B-A142C3E3A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604423" y="14604970"/>
          <a:ext cx="6370358" cy="3819363"/>
        </a:xfrm>
        <a:prstGeom prst="rect">
          <a:avLst/>
        </a:prstGeom>
      </xdr:spPr>
    </xdr:pic>
    <xdr:clientData/>
  </xdr:twoCellAnchor>
  <xdr:twoCellAnchor>
    <xdr:from>
      <xdr:col>63</xdr:col>
      <xdr:colOff>519206</xdr:colOff>
      <xdr:row>115</xdr:row>
      <xdr:rowOff>251258</xdr:rowOff>
    </xdr:from>
    <xdr:to>
      <xdr:col>63</xdr:col>
      <xdr:colOff>544399</xdr:colOff>
      <xdr:row>124</xdr:row>
      <xdr:rowOff>224478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78BA4461-A648-4DC6-AEEE-BA0112A755BF}"/>
            </a:ext>
          </a:extLst>
        </xdr:cNvPr>
        <xdr:cNvCxnSpPr/>
      </xdr:nvCxnSpPr>
      <xdr:spPr>
        <a:xfrm>
          <a:off x="49795206" y="23009658"/>
          <a:ext cx="25193" cy="225922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618903</xdr:colOff>
      <xdr:row>45</xdr:row>
      <xdr:rowOff>37353</xdr:rowOff>
    </xdr:from>
    <xdr:to>
      <xdr:col>5</xdr:col>
      <xdr:colOff>668918</xdr:colOff>
      <xdr:row>58</xdr:row>
      <xdr:rowOff>110427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34D61DF-DB0D-D80C-17B3-98C3344B4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8903" y="8759265"/>
          <a:ext cx="3411780" cy="2911897"/>
        </a:xfrm>
        <a:prstGeom prst="rect">
          <a:avLst/>
        </a:prstGeom>
      </xdr:spPr>
    </xdr:pic>
    <xdr:clientData/>
  </xdr:twoCellAnchor>
  <xdr:twoCellAnchor editAs="oneCell">
    <xdr:from>
      <xdr:col>56</xdr:col>
      <xdr:colOff>453329</xdr:colOff>
      <xdr:row>1</xdr:row>
      <xdr:rowOff>135587</xdr:rowOff>
    </xdr:from>
    <xdr:to>
      <xdr:col>62</xdr:col>
      <xdr:colOff>188210</xdr:colOff>
      <xdr:row>21</xdr:row>
      <xdr:rowOff>147683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08556FD-952B-74B6-450A-467E63A85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339662" y="326087"/>
          <a:ext cx="5289731" cy="3822096"/>
        </a:xfrm>
        <a:prstGeom prst="rect">
          <a:avLst/>
        </a:prstGeom>
      </xdr:spPr>
    </xdr:pic>
    <xdr:clientData/>
  </xdr:twoCellAnchor>
  <xdr:twoCellAnchor>
    <xdr:from>
      <xdr:col>150</xdr:col>
      <xdr:colOff>58616</xdr:colOff>
      <xdr:row>126</xdr:row>
      <xdr:rowOff>136769</xdr:rowOff>
    </xdr:from>
    <xdr:to>
      <xdr:col>169</xdr:col>
      <xdr:colOff>58615</xdr:colOff>
      <xdr:row>126</xdr:row>
      <xdr:rowOff>175846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368B1D8-DA54-4551-8302-787E52D80671}"/>
            </a:ext>
          </a:extLst>
        </xdr:cNvPr>
        <xdr:cNvCxnSpPr/>
      </xdr:nvCxnSpPr>
      <xdr:spPr>
        <a:xfrm>
          <a:off x="126726462" y="27236615"/>
          <a:ext cx="12817230" cy="39077"/>
        </a:xfrm>
        <a:prstGeom prst="straightConnector1">
          <a:avLst/>
        </a:prstGeom>
        <a:ln w="101600"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488462</xdr:colOff>
      <xdr:row>141</xdr:row>
      <xdr:rowOff>195385</xdr:rowOff>
    </xdr:from>
    <xdr:to>
      <xdr:col>169</xdr:col>
      <xdr:colOff>82191</xdr:colOff>
      <xdr:row>141</xdr:row>
      <xdr:rowOff>214326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0C83EAF-D207-4DB3-85C7-346F6C3355B3}"/>
            </a:ext>
          </a:extLst>
        </xdr:cNvPr>
        <xdr:cNvCxnSpPr/>
      </xdr:nvCxnSpPr>
      <xdr:spPr>
        <a:xfrm>
          <a:off x="129149231" y="30734000"/>
          <a:ext cx="10418037" cy="18941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586154</xdr:colOff>
      <xdr:row>104</xdr:row>
      <xdr:rowOff>195385</xdr:rowOff>
    </xdr:from>
    <xdr:to>
      <xdr:col>169</xdr:col>
      <xdr:colOff>156308</xdr:colOff>
      <xdr:row>104</xdr:row>
      <xdr:rowOff>195385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0482DE0A-FF30-45D7-9CF3-691DE21F7BD9}"/>
            </a:ext>
          </a:extLst>
        </xdr:cNvPr>
        <xdr:cNvCxnSpPr/>
      </xdr:nvCxnSpPr>
      <xdr:spPr>
        <a:xfrm>
          <a:off x="129246923" y="22332462"/>
          <a:ext cx="10394462" cy="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126</xdr:row>
      <xdr:rowOff>117231</xdr:rowOff>
    </xdr:from>
    <xdr:to>
      <xdr:col>143</xdr:col>
      <xdr:colOff>0</xdr:colOff>
      <xdr:row>126</xdr:row>
      <xdr:rowOff>136769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967ED56-FEFA-429C-9601-940E24549186}"/>
            </a:ext>
          </a:extLst>
        </xdr:cNvPr>
        <xdr:cNvCxnSpPr/>
      </xdr:nvCxnSpPr>
      <xdr:spPr>
        <a:xfrm>
          <a:off x="109141846" y="27217077"/>
          <a:ext cx="11977077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580352</xdr:colOff>
      <xdr:row>30</xdr:row>
      <xdr:rowOff>168209</xdr:rowOff>
    </xdr:from>
    <xdr:to>
      <xdr:col>14</xdr:col>
      <xdr:colOff>467188</xdr:colOff>
      <xdr:row>41</xdr:row>
      <xdr:rowOff>49986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4F1E1F6-56FF-EAAD-048D-89E3CC7AA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37685" y="5999626"/>
          <a:ext cx="4905453" cy="2030193"/>
        </a:xfrm>
        <a:prstGeom prst="rect">
          <a:avLst/>
        </a:prstGeom>
      </xdr:spPr>
    </xdr:pic>
    <xdr:clientData/>
  </xdr:twoCellAnchor>
  <xdr:twoCellAnchor>
    <xdr:from>
      <xdr:col>23</xdr:col>
      <xdr:colOff>2142</xdr:colOff>
      <xdr:row>207</xdr:row>
      <xdr:rowOff>41794</xdr:rowOff>
    </xdr:from>
    <xdr:to>
      <xdr:col>23</xdr:col>
      <xdr:colOff>11759</xdr:colOff>
      <xdr:row>214</xdr:row>
      <xdr:rowOff>211667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4E4300FD-8D3E-48E9-AD07-9BC116EEB54C}"/>
            </a:ext>
          </a:extLst>
        </xdr:cNvPr>
        <xdr:cNvCxnSpPr/>
      </xdr:nvCxnSpPr>
      <xdr:spPr>
        <a:xfrm>
          <a:off x="10985290" y="37365683"/>
          <a:ext cx="9617" cy="1733854"/>
        </a:xfrm>
        <a:prstGeom prst="straightConnector1">
          <a:avLst/>
        </a:prstGeom>
        <a:ln w="508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9677</xdr:colOff>
      <xdr:row>215</xdr:row>
      <xdr:rowOff>0</xdr:rowOff>
    </xdr:from>
    <xdr:to>
      <xdr:col>28</xdr:col>
      <xdr:colOff>63500</xdr:colOff>
      <xdr:row>215</xdr:row>
      <xdr:rowOff>1478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D0DDE2EB-362C-43DC-ADFD-F97F8505782C}"/>
            </a:ext>
          </a:extLst>
        </xdr:cNvPr>
        <xdr:cNvCxnSpPr/>
      </xdr:nvCxnSpPr>
      <xdr:spPr>
        <a:xfrm flipV="1">
          <a:off x="22647427" y="46630167"/>
          <a:ext cx="773490" cy="1478"/>
        </a:xfrm>
        <a:prstGeom prst="straightConnector1">
          <a:avLst/>
        </a:prstGeom>
        <a:ln w="508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351692</xdr:colOff>
      <xdr:row>138</xdr:row>
      <xdr:rowOff>195384</xdr:rowOff>
    </xdr:from>
    <xdr:to>
      <xdr:col>101</xdr:col>
      <xdr:colOff>166553</xdr:colOff>
      <xdr:row>138</xdr:row>
      <xdr:rowOff>202530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C58F2D34-7472-4895-A50E-DAD917CD22F5}"/>
            </a:ext>
          </a:extLst>
        </xdr:cNvPr>
        <xdr:cNvCxnSpPr/>
      </xdr:nvCxnSpPr>
      <xdr:spPr>
        <a:xfrm>
          <a:off x="77470000" y="30030615"/>
          <a:ext cx="12436707" cy="714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8382</xdr:colOff>
      <xdr:row>126</xdr:row>
      <xdr:rowOff>83589</xdr:rowOff>
    </xdr:from>
    <xdr:to>
      <xdr:col>121</xdr:col>
      <xdr:colOff>605529</xdr:colOff>
      <xdr:row>126</xdr:row>
      <xdr:rowOff>142130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12A78C0F-E8A5-4279-A8C3-437143CCC952}"/>
            </a:ext>
          </a:extLst>
        </xdr:cNvPr>
        <xdr:cNvCxnSpPr/>
      </xdr:nvCxnSpPr>
      <xdr:spPr>
        <a:xfrm>
          <a:off x="76152353" y="26660207"/>
          <a:ext cx="28070235" cy="5854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19539</xdr:colOff>
      <xdr:row>42</xdr:row>
      <xdr:rowOff>152400</xdr:rowOff>
    </xdr:from>
    <xdr:to>
      <xdr:col>111</xdr:col>
      <xdr:colOff>237066</xdr:colOff>
      <xdr:row>42</xdr:row>
      <xdr:rowOff>175846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48D3B2CA-6254-4224-B3D2-C4F7C3292266}"/>
            </a:ext>
          </a:extLst>
        </xdr:cNvPr>
        <xdr:cNvCxnSpPr/>
      </xdr:nvCxnSpPr>
      <xdr:spPr>
        <a:xfrm flipV="1">
          <a:off x="59123385" y="8475785"/>
          <a:ext cx="37692296" cy="2344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508001</xdr:colOff>
      <xdr:row>105</xdr:row>
      <xdr:rowOff>19539</xdr:rowOff>
    </xdr:from>
    <xdr:to>
      <xdr:col>153</xdr:col>
      <xdr:colOff>547077</xdr:colOff>
      <xdr:row>127</xdr:row>
      <xdr:rowOff>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A5990A73-DD41-40B9-8EB0-C8AC2508AB5C}"/>
            </a:ext>
          </a:extLst>
        </xdr:cNvPr>
        <xdr:cNvCxnSpPr/>
      </xdr:nvCxnSpPr>
      <xdr:spPr>
        <a:xfrm flipV="1">
          <a:off x="129168770" y="22391077"/>
          <a:ext cx="39076" cy="49041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781539</xdr:colOff>
      <xdr:row>126</xdr:row>
      <xdr:rowOff>156308</xdr:rowOff>
    </xdr:from>
    <xdr:to>
      <xdr:col>80</xdr:col>
      <xdr:colOff>13677</xdr:colOff>
      <xdr:row>126</xdr:row>
      <xdr:rowOff>175846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48745E08-2DBF-4D74-AD28-BD3D8578505F}"/>
            </a:ext>
          </a:extLst>
        </xdr:cNvPr>
        <xdr:cNvCxnSpPr/>
      </xdr:nvCxnSpPr>
      <xdr:spPr>
        <a:xfrm>
          <a:off x="59885385" y="27256154"/>
          <a:ext cx="11932138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0</xdr:colOff>
      <xdr:row>126</xdr:row>
      <xdr:rowOff>175846</xdr:rowOff>
    </xdr:from>
    <xdr:to>
      <xdr:col>61</xdr:col>
      <xdr:colOff>23726</xdr:colOff>
      <xdr:row>126</xdr:row>
      <xdr:rowOff>181080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3F130352-836C-4556-8FCB-5314C4F11B7F}"/>
            </a:ext>
          </a:extLst>
        </xdr:cNvPr>
        <xdr:cNvCxnSpPr/>
      </xdr:nvCxnSpPr>
      <xdr:spPr>
        <a:xfrm>
          <a:off x="42066308" y="27275692"/>
          <a:ext cx="13856956" cy="523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97693</xdr:colOff>
      <xdr:row>126</xdr:row>
      <xdr:rowOff>168609</xdr:rowOff>
    </xdr:from>
    <xdr:to>
      <xdr:col>42</xdr:col>
      <xdr:colOff>26775</xdr:colOff>
      <xdr:row>126</xdr:row>
      <xdr:rowOff>175846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3000E941-8CAC-4E7A-BE48-0FD01F9243C2}"/>
            </a:ext>
          </a:extLst>
        </xdr:cNvPr>
        <xdr:cNvCxnSpPr/>
      </xdr:nvCxnSpPr>
      <xdr:spPr>
        <a:xfrm flipV="1">
          <a:off x="22723231" y="27268455"/>
          <a:ext cx="14797852" cy="723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78153</xdr:colOff>
      <xdr:row>64</xdr:row>
      <xdr:rowOff>0</xdr:rowOff>
    </xdr:from>
    <xdr:to>
      <xdr:col>41</xdr:col>
      <xdr:colOff>13952</xdr:colOff>
      <xdr:row>64</xdr:row>
      <xdr:rowOff>28373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3D45D01C-0811-4A53-9074-F35EAB1D9A9D}"/>
            </a:ext>
          </a:extLst>
        </xdr:cNvPr>
        <xdr:cNvCxnSpPr/>
      </xdr:nvCxnSpPr>
      <xdr:spPr>
        <a:xfrm>
          <a:off x="23426615" y="13364308"/>
          <a:ext cx="12948414" cy="2837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97693</xdr:colOff>
      <xdr:row>42</xdr:row>
      <xdr:rowOff>175846</xdr:rowOff>
    </xdr:from>
    <xdr:to>
      <xdr:col>59</xdr:col>
      <xdr:colOff>937846</xdr:colOff>
      <xdr:row>42</xdr:row>
      <xdr:rowOff>175846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902F5471-EFAB-48E0-A568-B31CC59022F2}"/>
            </a:ext>
          </a:extLst>
        </xdr:cNvPr>
        <xdr:cNvCxnSpPr/>
      </xdr:nvCxnSpPr>
      <xdr:spPr>
        <a:xfrm>
          <a:off x="41050308" y="8499231"/>
          <a:ext cx="13618307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50800</xdr:colOff>
      <xdr:row>206</xdr:row>
      <xdr:rowOff>173264</xdr:rowOff>
    </xdr:from>
    <xdr:to>
      <xdr:col>41</xdr:col>
      <xdr:colOff>1069620</xdr:colOff>
      <xdr:row>206</xdr:row>
      <xdr:rowOff>177800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E163E06F-5899-4CEB-AF5F-486ACBC1D97C}"/>
            </a:ext>
          </a:extLst>
        </xdr:cNvPr>
        <xdr:cNvCxnSpPr/>
      </xdr:nvCxnSpPr>
      <xdr:spPr>
        <a:xfrm flipV="1">
          <a:off x="23622000" y="46274264"/>
          <a:ext cx="14125220" cy="45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1094154</xdr:colOff>
      <xdr:row>206</xdr:row>
      <xdr:rowOff>136769</xdr:rowOff>
    </xdr:from>
    <xdr:to>
      <xdr:col>61</xdr:col>
      <xdr:colOff>19539</xdr:colOff>
      <xdr:row>206</xdr:row>
      <xdr:rowOff>175846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6B585425-575D-4AFC-AA11-5C21403C461F}"/>
            </a:ext>
          </a:extLst>
        </xdr:cNvPr>
        <xdr:cNvCxnSpPr/>
      </xdr:nvCxnSpPr>
      <xdr:spPr>
        <a:xfrm>
          <a:off x="42046769" y="44762615"/>
          <a:ext cx="13872308" cy="390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76200</xdr:colOff>
      <xdr:row>206</xdr:row>
      <xdr:rowOff>127000</xdr:rowOff>
    </xdr:from>
    <xdr:to>
      <xdr:col>111</xdr:col>
      <xdr:colOff>453571</xdr:colOff>
      <xdr:row>207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9BBF25B8-2F4C-4E0E-961E-06B3ABFFE2BF}"/>
            </a:ext>
          </a:extLst>
        </xdr:cNvPr>
        <xdr:cNvCxnSpPr/>
      </xdr:nvCxnSpPr>
      <xdr:spPr>
        <a:xfrm>
          <a:off x="80993343" y="45847000"/>
          <a:ext cx="20969514" cy="54429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21525</xdr:colOff>
      <xdr:row>217</xdr:row>
      <xdr:rowOff>157112</xdr:rowOff>
    </xdr:from>
    <xdr:to>
      <xdr:col>101</xdr:col>
      <xdr:colOff>266352</xdr:colOff>
      <xdr:row>217</xdr:row>
      <xdr:rowOff>172204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B49C4035-C261-40EF-8AEB-BF439AA25C07}"/>
            </a:ext>
          </a:extLst>
        </xdr:cNvPr>
        <xdr:cNvCxnSpPr/>
      </xdr:nvCxnSpPr>
      <xdr:spPr>
        <a:xfrm flipV="1">
          <a:off x="77125593" y="47261914"/>
          <a:ext cx="11280194" cy="1509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14199</xdr:colOff>
      <xdr:row>206</xdr:row>
      <xdr:rowOff>182217</xdr:rowOff>
    </xdr:from>
    <xdr:to>
      <xdr:col>88</xdr:col>
      <xdr:colOff>81529</xdr:colOff>
      <xdr:row>251</xdr:row>
      <xdr:rowOff>2368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395DAE08-CE46-5503-2903-79BC03A5976F}"/>
            </a:ext>
          </a:extLst>
        </xdr:cNvPr>
        <xdr:cNvCxnSpPr/>
      </xdr:nvCxnSpPr>
      <xdr:spPr>
        <a:xfrm flipH="1">
          <a:off x="83220133" y="44576393"/>
          <a:ext cx="67330" cy="984059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722182</xdr:colOff>
      <xdr:row>127</xdr:row>
      <xdr:rowOff>28872</xdr:rowOff>
    </xdr:from>
    <xdr:to>
      <xdr:col>28</xdr:col>
      <xdr:colOff>0</xdr:colOff>
      <xdr:row>143</xdr:row>
      <xdr:rowOff>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E55E4D08-0945-40D0-ABD1-6AB279C425F5}"/>
            </a:ext>
          </a:extLst>
        </xdr:cNvPr>
        <xdr:cNvCxnSpPr/>
      </xdr:nvCxnSpPr>
      <xdr:spPr>
        <a:xfrm>
          <a:off x="23347720" y="27324103"/>
          <a:ext cx="742" cy="368343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4383</xdr:colOff>
      <xdr:row>43</xdr:row>
      <xdr:rowOff>7824</xdr:rowOff>
    </xdr:from>
    <xdr:to>
      <xdr:col>66</xdr:col>
      <xdr:colOff>19538</xdr:colOff>
      <xdr:row>56</xdr:row>
      <xdr:rowOff>39076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B916C46A-BE2E-431D-859E-DE32BEC144A3}"/>
            </a:ext>
          </a:extLst>
        </xdr:cNvPr>
        <xdr:cNvCxnSpPr/>
      </xdr:nvCxnSpPr>
      <xdr:spPr>
        <a:xfrm>
          <a:off x="59928845" y="8526593"/>
          <a:ext cx="15155" cy="292294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55</xdr:row>
      <xdr:rowOff>195385</xdr:rowOff>
    </xdr:from>
    <xdr:to>
      <xdr:col>79</xdr:col>
      <xdr:colOff>136769</xdr:colOff>
      <xdr:row>56</xdr:row>
      <xdr:rowOff>0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EBDD4EC9-713D-40F6-BB60-9461B776E6EC}"/>
            </a:ext>
          </a:extLst>
        </xdr:cNvPr>
        <xdr:cNvCxnSpPr/>
      </xdr:nvCxnSpPr>
      <xdr:spPr>
        <a:xfrm flipV="1">
          <a:off x="59924462" y="11390923"/>
          <a:ext cx="11195538" cy="19539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429846</xdr:colOff>
      <xdr:row>128</xdr:row>
      <xdr:rowOff>133685</xdr:rowOff>
    </xdr:from>
    <xdr:to>
      <xdr:col>121</xdr:col>
      <xdr:colOff>483558</xdr:colOff>
      <xdr:row>206</xdr:row>
      <xdr:rowOff>97693</xdr:rowOff>
    </xdr:to>
    <xdr:cxnSp macro="">
      <xdr:nvCxnSpPr>
        <xdr:cNvPr id="58" name="Connector: Elbow 57">
          <a:extLst>
            <a:ext uri="{FF2B5EF4-FFF2-40B4-BE49-F238E27FC236}">
              <a16:creationId xmlns:a16="http://schemas.microsoft.com/office/drawing/2014/main" id="{4EFB6B54-0C4C-3E9A-4D49-6AF967EA7909}"/>
            </a:ext>
          </a:extLst>
        </xdr:cNvPr>
        <xdr:cNvCxnSpPr/>
      </xdr:nvCxnSpPr>
      <xdr:spPr>
        <a:xfrm rot="5400000" flipH="1" flipV="1">
          <a:off x="91895160" y="32776678"/>
          <a:ext cx="17060162" cy="6833559"/>
        </a:xfrm>
        <a:prstGeom prst="bentConnector3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312062</xdr:colOff>
      <xdr:row>43</xdr:row>
      <xdr:rowOff>141517</xdr:rowOff>
    </xdr:from>
    <xdr:to>
      <xdr:col>121</xdr:col>
      <xdr:colOff>406404</xdr:colOff>
      <xdr:row>124</xdr:row>
      <xdr:rowOff>228602</xdr:rowOff>
    </xdr:to>
    <xdr:cxnSp macro="">
      <xdr:nvCxnSpPr>
        <xdr:cNvPr id="60" name="Connector: Elbow 59">
          <a:extLst>
            <a:ext uri="{FF2B5EF4-FFF2-40B4-BE49-F238E27FC236}">
              <a16:creationId xmlns:a16="http://schemas.microsoft.com/office/drawing/2014/main" id="{BA2CCD2F-3C1D-251C-C672-9BAF37030301}"/>
            </a:ext>
          </a:extLst>
        </xdr:cNvPr>
        <xdr:cNvCxnSpPr/>
      </xdr:nvCxnSpPr>
      <xdr:spPr>
        <a:xfrm rot="16200000" flipH="1">
          <a:off x="83068890" y="13472889"/>
          <a:ext cx="15987485" cy="6952342"/>
        </a:xfrm>
        <a:prstGeom prst="bentConnector3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508000</xdr:colOff>
      <xdr:row>127</xdr:row>
      <xdr:rowOff>0</xdr:rowOff>
    </xdr:from>
    <xdr:to>
      <xdr:col>153</xdr:col>
      <xdr:colOff>508000</xdr:colOff>
      <xdr:row>141</xdr:row>
      <xdr:rowOff>214923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B2079042-C9F1-4377-8086-64DF088B5457}"/>
            </a:ext>
          </a:extLst>
        </xdr:cNvPr>
        <xdr:cNvCxnSpPr/>
      </xdr:nvCxnSpPr>
      <xdr:spPr>
        <a:xfrm>
          <a:off x="129168769" y="27295231"/>
          <a:ext cx="0" cy="345830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32</xdr:col>
      <xdr:colOff>5899</xdr:colOff>
      <xdr:row>118</xdr:row>
      <xdr:rowOff>58979</xdr:rowOff>
    </xdr:from>
    <xdr:to>
      <xdr:col>37</xdr:col>
      <xdr:colOff>174676</xdr:colOff>
      <xdr:row>121</xdr:row>
      <xdr:rowOff>161358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3F2F2D87-5F03-ABE0-6B5B-9686028C9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7049428" y="24936038"/>
          <a:ext cx="5169173" cy="793408"/>
        </a:xfrm>
        <a:prstGeom prst="rect">
          <a:avLst/>
        </a:prstGeom>
      </xdr:spPr>
    </xdr:pic>
    <xdr:clientData/>
  </xdr:twoCellAnchor>
  <xdr:twoCellAnchor>
    <xdr:from>
      <xdr:col>86</xdr:col>
      <xdr:colOff>332154</xdr:colOff>
      <xdr:row>114</xdr:row>
      <xdr:rowOff>175847</xdr:rowOff>
    </xdr:from>
    <xdr:to>
      <xdr:col>101</xdr:col>
      <xdr:colOff>146075</xdr:colOff>
      <xdr:row>114</xdr:row>
      <xdr:rowOff>177902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411274AD-BDA7-4488-A498-2C2C99CED4F1}"/>
            </a:ext>
          </a:extLst>
        </xdr:cNvPr>
        <xdr:cNvCxnSpPr/>
      </xdr:nvCxnSpPr>
      <xdr:spPr>
        <a:xfrm>
          <a:off x="77450462" y="24618462"/>
          <a:ext cx="12435767" cy="205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169754</xdr:colOff>
      <xdr:row>128</xdr:row>
      <xdr:rowOff>56891</xdr:rowOff>
    </xdr:from>
    <xdr:to>
      <xdr:col>143</xdr:col>
      <xdr:colOff>178272</xdr:colOff>
      <xdr:row>152</xdr:row>
      <xdr:rowOff>219418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9D37214E-B063-4A7C-B029-7271E92F35E8}"/>
            </a:ext>
          </a:extLst>
        </xdr:cNvPr>
        <xdr:cNvCxnSpPr/>
      </xdr:nvCxnSpPr>
      <xdr:spPr>
        <a:xfrm flipH="1" flipV="1">
          <a:off x="127538054" y="27311091"/>
          <a:ext cx="8518" cy="58394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140</xdr:row>
      <xdr:rowOff>156308</xdr:rowOff>
    </xdr:from>
    <xdr:to>
      <xdr:col>143</xdr:col>
      <xdr:colOff>92363</xdr:colOff>
      <xdr:row>140</xdr:row>
      <xdr:rowOff>184728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33914D13-886F-4E22-A7F9-37E22FD92048}"/>
            </a:ext>
          </a:extLst>
        </xdr:cNvPr>
        <xdr:cNvCxnSpPr/>
      </xdr:nvCxnSpPr>
      <xdr:spPr>
        <a:xfrm>
          <a:off x="109141846" y="30460462"/>
          <a:ext cx="12069440" cy="2842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801077</xdr:colOff>
      <xdr:row>140</xdr:row>
      <xdr:rowOff>214923</xdr:rowOff>
    </xdr:from>
    <xdr:to>
      <xdr:col>80</xdr:col>
      <xdr:colOff>97692</xdr:colOff>
      <xdr:row>141</xdr:row>
      <xdr:rowOff>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A7B9CE41-5E1C-48F8-BE88-3DEAA66FA064}"/>
            </a:ext>
          </a:extLst>
        </xdr:cNvPr>
        <xdr:cNvCxnSpPr/>
      </xdr:nvCxnSpPr>
      <xdr:spPr>
        <a:xfrm>
          <a:off x="59904923" y="30519077"/>
          <a:ext cx="11996615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161335</xdr:colOff>
      <xdr:row>129</xdr:row>
      <xdr:rowOff>234318</xdr:rowOff>
    </xdr:from>
    <xdr:to>
      <xdr:col>80</xdr:col>
      <xdr:colOff>180012</xdr:colOff>
      <xdr:row>153</xdr:row>
      <xdr:rowOff>18534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88048BA0-CFCE-4EF7-8502-5729AD872B05}"/>
            </a:ext>
          </a:extLst>
        </xdr:cNvPr>
        <xdr:cNvCxnSpPr/>
      </xdr:nvCxnSpPr>
      <xdr:spPr>
        <a:xfrm flipV="1">
          <a:off x="71965181" y="27998472"/>
          <a:ext cx="18677" cy="539175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19538</xdr:colOff>
      <xdr:row>153</xdr:row>
      <xdr:rowOff>0</xdr:rowOff>
    </xdr:from>
    <xdr:to>
      <xdr:col>80</xdr:col>
      <xdr:colOff>175846</xdr:colOff>
      <xdr:row>153</xdr:row>
      <xdr:rowOff>0</xdr:rowOff>
    </xdr:to>
    <xdr:cxnSp macro="">
      <xdr:nvCxnSpPr>
        <xdr:cNvPr id="30" name="Straight Arrow Connector 20">
          <a:extLst>
            <a:ext uri="{FF2B5EF4-FFF2-40B4-BE49-F238E27FC236}">
              <a16:creationId xmlns:a16="http://schemas.microsoft.com/office/drawing/2014/main" id="{89267B8D-774B-46D3-A4C7-5F2BD7A2989F}"/>
            </a:ext>
          </a:extLst>
        </xdr:cNvPr>
        <xdr:cNvCxnSpPr/>
      </xdr:nvCxnSpPr>
      <xdr:spPr>
        <a:xfrm>
          <a:off x="59944000" y="33371692"/>
          <a:ext cx="12035692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143</xdr:col>
      <xdr:colOff>807256</xdr:colOff>
      <xdr:row>94</xdr:row>
      <xdr:rowOff>7013</xdr:rowOff>
    </xdr:from>
    <xdr:to>
      <xdr:col>152</xdr:col>
      <xdr:colOff>44938</xdr:colOff>
      <xdr:row>108</xdr:row>
      <xdr:rowOff>143521</xdr:rowOff>
    </xdr:to>
    <xdr:pic>
      <xdr:nvPicPr>
        <xdr:cNvPr id="111" name="Picture 33">
          <a:extLst>
            <a:ext uri="{FF2B5EF4-FFF2-40B4-BE49-F238E27FC236}">
              <a16:creationId xmlns:a16="http://schemas.microsoft.com/office/drawing/2014/main" id="{0217C902-F614-AEAA-A23C-5DB64469BF04}"/>
            </a:ext>
            <a:ext uri="{147F2762-F138-4A5C-976F-8EAC2B608ADB}">
              <a16:predDERef xmlns:a16="http://schemas.microsoft.com/office/drawing/2014/main" pred="{89267B8D-774B-46D3-A4C7-5F2BD7A29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2297697" y="19150395"/>
          <a:ext cx="6398948" cy="3535626"/>
        </a:xfrm>
        <a:prstGeom prst="rect">
          <a:avLst/>
        </a:prstGeom>
      </xdr:spPr>
    </xdr:pic>
    <xdr:clientData/>
  </xdr:twoCellAnchor>
  <xdr:twoCellAnchor>
    <xdr:from>
      <xdr:col>146</xdr:col>
      <xdr:colOff>351692</xdr:colOff>
      <xdr:row>117</xdr:row>
      <xdr:rowOff>58615</xdr:rowOff>
    </xdr:from>
    <xdr:to>
      <xdr:col>146</xdr:col>
      <xdr:colOff>367011</xdr:colOff>
      <xdr:row>124</xdr:row>
      <xdr:rowOff>203567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D5328F86-529E-5CB0-B804-94A4987BAF36}"/>
            </a:ext>
          </a:extLst>
        </xdr:cNvPr>
        <xdr:cNvCxnSpPr/>
      </xdr:nvCxnSpPr>
      <xdr:spPr>
        <a:xfrm>
          <a:off x="124088769" y="25185077"/>
          <a:ext cx="15319" cy="168849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39077</xdr:colOff>
      <xdr:row>42</xdr:row>
      <xdr:rowOff>97692</xdr:rowOff>
    </xdr:from>
    <xdr:to>
      <xdr:col>21</xdr:col>
      <xdr:colOff>1113996</xdr:colOff>
      <xdr:row>42</xdr:row>
      <xdr:rowOff>168605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5B455099-69E3-AC40-B830-584C563412C8}"/>
            </a:ext>
          </a:extLst>
        </xdr:cNvPr>
        <xdr:cNvCxnSpPr/>
      </xdr:nvCxnSpPr>
      <xdr:spPr>
        <a:xfrm>
          <a:off x="5744308" y="8421077"/>
          <a:ext cx="12329073" cy="7091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58615</xdr:colOff>
      <xdr:row>126</xdr:row>
      <xdr:rowOff>175846</xdr:rowOff>
    </xdr:from>
    <xdr:to>
      <xdr:col>21</xdr:col>
      <xdr:colOff>1111312</xdr:colOff>
      <xdr:row>126</xdr:row>
      <xdr:rowOff>187012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20FD05D5-1D4D-534B-A06F-15D450F5F3BC}"/>
            </a:ext>
          </a:extLst>
        </xdr:cNvPr>
        <xdr:cNvCxnSpPr/>
      </xdr:nvCxnSpPr>
      <xdr:spPr>
        <a:xfrm>
          <a:off x="5763846" y="27275692"/>
          <a:ext cx="12306851" cy="1116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107</xdr:col>
      <xdr:colOff>0</xdr:colOff>
      <xdr:row>233</xdr:row>
      <xdr:rowOff>175846</xdr:rowOff>
    </xdr:from>
    <xdr:to>
      <xdr:col>163</xdr:col>
      <xdr:colOff>660400</xdr:colOff>
      <xdr:row>233</xdr:row>
      <xdr:rowOff>177800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88B97511-A166-CF49-A433-CC4E147FA4A9}"/>
            </a:ext>
          </a:extLst>
        </xdr:cNvPr>
        <xdr:cNvCxnSpPr/>
      </xdr:nvCxnSpPr>
      <xdr:spPr>
        <a:xfrm>
          <a:off x="92495077" y="50839077"/>
          <a:ext cx="34833169" cy="19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206</xdr:row>
      <xdr:rowOff>136769</xdr:rowOff>
    </xdr:from>
    <xdr:to>
      <xdr:col>21</xdr:col>
      <xdr:colOff>1094153</xdr:colOff>
      <xdr:row>207</xdr:row>
      <xdr:rowOff>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E31BA7E-4AD8-3548-B848-9A6936EBD0BC}"/>
            </a:ext>
          </a:extLst>
        </xdr:cNvPr>
        <xdr:cNvCxnSpPr/>
      </xdr:nvCxnSpPr>
      <xdr:spPr>
        <a:xfrm>
          <a:off x="5724769" y="44762615"/>
          <a:ext cx="12328769" cy="5861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74</xdr:col>
      <xdr:colOff>577802</xdr:colOff>
      <xdr:row>85</xdr:row>
      <xdr:rowOff>88900</xdr:rowOff>
    </xdr:from>
    <xdr:to>
      <xdr:col>80</xdr:col>
      <xdr:colOff>226963</xdr:colOff>
      <xdr:row>97</xdr:row>
      <xdr:rowOff>108699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C2FC3C17-CCD9-A4D1-24FF-D949091DD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1047602" y="14846300"/>
          <a:ext cx="5568997" cy="2407399"/>
        </a:xfrm>
        <a:prstGeom prst="rect">
          <a:avLst/>
        </a:prstGeom>
      </xdr:spPr>
    </xdr:pic>
    <xdr:clientData/>
  </xdr:twoCellAnchor>
  <xdr:twoCellAnchor>
    <xdr:from>
      <xdr:col>142</xdr:col>
      <xdr:colOff>431800</xdr:colOff>
      <xdr:row>233</xdr:row>
      <xdr:rowOff>212250</xdr:rowOff>
    </xdr:from>
    <xdr:to>
      <xdr:col>142</xdr:col>
      <xdr:colOff>457504</xdr:colOff>
      <xdr:row>270</xdr:row>
      <xdr:rowOff>76200</xdr:rowOff>
    </xdr:to>
    <xdr:cxnSp macro="">
      <xdr:nvCxnSpPr>
        <xdr:cNvPr id="61" name="Straight Arrow Connector 60">
          <a:extLst>
            <a:ext uri="{FF2B5EF4-FFF2-40B4-BE49-F238E27FC236}">
              <a16:creationId xmlns:a16="http://schemas.microsoft.com/office/drawing/2014/main" id="{7746F54D-88C5-714D-87B4-C57F3A6882EE}"/>
            </a:ext>
          </a:extLst>
        </xdr:cNvPr>
        <xdr:cNvCxnSpPr/>
      </xdr:nvCxnSpPr>
      <xdr:spPr>
        <a:xfrm flipH="1">
          <a:off x="127736600" y="52282250"/>
          <a:ext cx="25704" cy="811895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709245</xdr:colOff>
      <xdr:row>152</xdr:row>
      <xdr:rowOff>187305</xdr:rowOff>
    </xdr:from>
    <xdr:to>
      <xdr:col>130</xdr:col>
      <xdr:colOff>23905</xdr:colOff>
      <xdr:row>233</xdr:row>
      <xdr:rowOff>75578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9637F37B-A0D9-CC40-B451-F05E4F7A5B64}"/>
            </a:ext>
          </a:extLst>
        </xdr:cNvPr>
        <xdr:cNvCxnSpPr/>
      </xdr:nvCxnSpPr>
      <xdr:spPr>
        <a:xfrm flipV="1">
          <a:off x="115796645" y="34350305"/>
          <a:ext cx="25860" cy="17795273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765260</xdr:colOff>
      <xdr:row>225</xdr:row>
      <xdr:rowOff>197283</xdr:rowOff>
    </xdr:from>
    <xdr:to>
      <xdr:col>67</xdr:col>
      <xdr:colOff>32307</xdr:colOff>
      <xdr:row>269</xdr:row>
      <xdr:rowOff>173785</xdr:rowOff>
    </xdr:to>
    <xdr:cxnSp macro="">
      <xdr:nvCxnSpPr>
        <xdr:cNvPr id="109" name="Straight Arrow Connector 64">
          <a:extLst>
            <a:ext uri="{FF2B5EF4-FFF2-40B4-BE49-F238E27FC236}">
              <a16:creationId xmlns:a16="http://schemas.microsoft.com/office/drawing/2014/main" id="{ABBFA037-C30F-AF40-AC83-CEF11C779574}"/>
            </a:ext>
            <a:ext uri="{147F2762-F138-4A5C-976F-8EAC2B608ADB}">
              <a16:predDERef xmlns:a16="http://schemas.microsoft.com/office/drawing/2014/main" pred="{9637F37B-A0D9-CC40-B451-F05E4F7A5B64}"/>
            </a:ext>
          </a:extLst>
        </xdr:cNvPr>
        <xdr:cNvCxnSpPr>
          <a:cxnSpLocks/>
        </xdr:cNvCxnSpPr>
      </xdr:nvCxnSpPr>
      <xdr:spPr>
        <a:xfrm flipV="1">
          <a:off x="60557981" y="48616033"/>
          <a:ext cx="32782" cy="955753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742461</xdr:colOff>
      <xdr:row>269</xdr:row>
      <xdr:rowOff>177800</xdr:rowOff>
    </xdr:from>
    <xdr:to>
      <xdr:col>142</xdr:col>
      <xdr:colOff>355600</xdr:colOff>
      <xdr:row>270</xdr:row>
      <xdr:rowOff>19538</xdr:rowOff>
    </xdr:to>
    <xdr:cxnSp macro="">
      <xdr:nvCxnSpPr>
        <xdr:cNvPr id="87" name="Straight Arrow Connector 86">
          <a:extLst>
            <a:ext uri="{FF2B5EF4-FFF2-40B4-BE49-F238E27FC236}">
              <a16:creationId xmlns:a16="http://schemas.microsoft.com/office/drawing/2014/main" id="{63CD5872-5837-4E42-B227-E8D903285C30}"/>
            </a:ext>
          </a:extLst>
        </xdr:cNvPr>
        <xdr:cNvCxnSpPr/>
      </xdr:nvCxnSpPr>
      <xdr:spPr>
        <a:xfrm flipH="1">
          <a:off x="64217061" y="60299600"/>
          <a:ext cx="63443339" cy="44938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635000</xdr:colOff>
      <xdr:row>152</xdr:row>
      <xdr:rowOff>177800</xdr:rowOff>
    </xdr:from>
    <xdr:to>
      <xdr:col>143</xdr:col>
      <xdr:colOff>161636</xdr:colOff>
      <xdr:row>152</xdr:row>
      <xdr:rowOff>184727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1BDB2986-5AE8-164C-B361-2FE7CA27EFD7}"/>
            </a:ext>
          </a:extLst>
        </xdr:cNvPr>
        <xdr:cNvCxnSpPr/>
      </xdr:nvCxnSpPr>
      <xdr:spPr>
        <a:xfrm>
          <a:off x="115722400" y="34340800"/>
          <a:ext cx="12760036" cy="69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102</xdr:col>
      <xdr:colOff>59345</xdr:colOff>
      <xdr:row>218</xdr:row>
      <xdr:rowOff>116361</xdr:rowOff>
    </xdr:from>
    <xdr:to>
      <xdr:col>110</xdr:col>
      <xdr:colOff>258915</xdr:colOff>
      <xdr:row>223</xdr:row>
      <xdr:rowOff>30068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CAC6CFEB-57C3-7126-FB84-6CDCB86A8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034111" y="39878043"/>
          <a:ext cx="5697197" cy="992693"/>
        </a:xfrm>
        <a:prstGeom prst="rect">
          <a:avLst/>
        </a:prstGeom>
      </xdr:spPr>
    </xdr:pic>
    <xdr:clientData/>
  </xdr:twoCellAnchor>
  <xdr:twoCellAnchor>
    <xdr:from>
      <xdr:col>104</xdr:col>
      <xdr:colOff>178037</xdr:colOff>
      <xdr:row>229</xdr:row>
      <xdr:rowOff>0</xdr:rowOff>
    </xdr:from>
    <xdr:to>
      <xdr:col>104</xdr:col>
      <xdr:colOff>178038</xdr:colOff>
      <xdr:row>231</xdr:row>
      <xdr:rowOff>199070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30FF7D2C-950C-1846-9AF8-8BABE1148EB8}"/>
            </a:ext>
          </a:extLst>
        </xdr:cNvPr>
        <xdr:cNvCxnSpPr/>
      </xdr:nvCxnSpPr>
      <xdr:spPr>
        <a:xfrm>
          <a:off x="65980654" y="42099907"/>
          <a:ext cx="1" cy="59075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18676</xdr:colOff>
      <xdr:row>225</xdr:row>
      <xdr:rowOff>130735</xdr:rowOff>
    </xdr:from>
    <xdr:to>
      <xdr:col>80</xdr:col>
      <xdr:colOff>233630</xdr:colOff>
      <xdr:row>225</xdr:row>
      <xdr:rowOff>194318</xdr:rowOff>
    </xdr:to>
    <xdr:cxnSp macro="">
      <xdr:nvCxnSpPr>
        <xdr:cNvPr id="76" name="Straight Arrow Connector 75">
          <a:extLst>
            <a:ext uri="{FF2B5EF4-FFF2-40B4-BE49-F238E27FC236}">
              <a16:creationId xmlns:a16="http://schemas.microsoft.com/office/drawing/2014/main" id="{25F9568F-1E54-364B-AAE5-B5B324A91FD9}"/>
            </a:ext>
          </a:extLst>
        </xdr:cNvPr>
        <xdr:cNvCxnSpPr/>
      </xdr:nvCxnSpPr>
      <xdr:spPr>
        <a:xfrm>
          <a:off x="60577132" y="48549485"/>
          <a:ext cx="11318116" cy="6358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206</xdr:row>
      <xdr:rowOff>136769</xdr:rowOff>
    </xdr:from>
    <xdr:to>
      <xdr:col>80</xdr:col>
      <xdr:colOff>990600</xdr:colOff>
      <xdr:row>206</xdr:row>
      <xdr:rowOff>177800</xdr:rowOff>
    </xdr:to>
    <xdr:cxnSp macro="">
      <xdr:nvCxnSpPr>
        <xdr:cNvPr id="79" name="Straight Arrow Connector 78">
          <a:extLst>
            <a:ext uri="{FF2B5EF4-FFF2-40B4-BE49-F238E27FC236}">
              <a16:creationId xmlns:a16="http://schemas.microsoft.com/office/drawing/2014/main" id="{24854BD5-205C-704C-ABF2-7095AA1600DA}"/>
            </a:ext>
          </a:extLst>
        </xdr:cNvPr>
        <xdr:cNvCxnSpPr/>
      </xdr:nvCxnSpPr>
      <xdr:spPr>
        <a:xfrm>
          <a:off x="63030100" y="44523269"/>
          <a:ext cx="13843000" cy="4103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233</xdr:row>
      <xdr:rowOff>165028</xdr:rowOff>
    </xdr:from>
    <xdr:to>
      <xdr:col>101</xdr:col>
      <xdr:colOff>710339</xdr:colOff>
      <xdr:row>233</xdr:row>
      <xdr:rowOff>186554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8EA41703-1525-5142-9482-DD7B2289F27E}"/>
            </a:ext>
          </a:extLst>
        </xdr:cNvPr>
        <xdr:cNvCxnSpPr/>
      </xdr:nvCxnSpPr>
      <xdr:spPr>
        <a:xfrm>
          <a:off x="77104068" y="50921977"/>
          <a:ext cx="11745706" cy="2152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242</xdr:row>
      <xdr:rowOff>201083</xdr:rowOff>
    </xdr:from>
    <xdr:to>
      <xdr:col>80</xdr:col>
      <xdr:colOff>136769</xdr:colOff>
      <xdr:row>242</xdr:row>
      <xdr:rowOff>214923</xdr:rowOff>
    </xdr:to>
    <xdr:cxnSp macro="">
      <xdr:nvCxnSpPr>
        <xdr:cNvPr id="96" name="Straight Arrow Connector 95">
          <a:extLst>
            <a:ext uri="{FF2B5EF4-FFF2-40B4-BE49-F238E27FC236}">
              <a16:creationId xmlns:a16="http://schemas.microsoft.com/office/drawing/2014/main" id="{CDD1FF99-BEF6-B540-B824-555D960D85D0}"/>
            </a:ext>
          </a:extLst>
        </xdr:cNvPr>
        <xdr:cNvCxnSpPr/>
      </xdr:nvCxnSpPr>
      <xdr:spPr>
        <a:xfrm>
          <a:off x="59924462" y="52974468"/>
          <a:ext cx="12016153" cy="1384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681639</xdr:colOff>
      <xdr:row>250</xdr:row>
      <xdr:rowOff>157023</xdr:rowOff>
    </xdr:from>
    <xdr:to>
      <xdr:col>101</xdr:col>
      <xdr:colOff>389643</xdr:colOff>
      <xdr:row>250</xdr:row>
      <xdr:rowOff>165028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4588CB67-A243-C44E-883B-738509FB81DD}"/>
            </a:ext>
          </a:extLst>
        </xdr:cNvPr>
        <xdr:cNvCxnSpPr/>
      </xdr:nvCxnSpPr>
      <xdr:spPr>
        <a:xfrm flipV="1">
          <a:off x="77096893" y="54810074"/>
          <a:ext cx="11432185" cy="8005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55</xdr:col>
      <xdr:colOff>853437</xdr:colOff>
      <xdr:row>251</xdr:row>
      <xdr:rowOff>179973</xdr:rowOff>
    </xdr:from>
    <xdr:to>
      <xdr:col>59</xdr:col>
      <xdr:colOff>585528</xdr:colOff>
      <xdr:row>266</xdr:row>
      <xdr:rowOff>2843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4AE2113A-FFF2-73DC-89E4-59B9127D8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0327408" y="54603208"/>
          <a:ext cx="3975551" cy="3006990"/>
        </a:xfrm>
        <a:prstGeom prst="rect">
          <a:avLst/>
        </a:prstGeom>
      </xdr:spPr>
    </xdr:pic>
    <xdr:clientData/>
  </xdr:twoCellAnchor>
  <xdr:twoCellAnchor>
    <xdr:from>
      <xdr:col>80</xdr:col>
      <xdr:colOff>195385</xdr:colOff>
      <xdr:row>207</xdr:row>
      <xdr:rowOff>0</xdr:rowOff>
    </xdr:from>
    <xdr:to>
      <xdr:col>80</xdr:col>
      <xdr:colOff>234462</xdr:colOff>
      <xdr:row>255</xdr:row>
      <xdr:rowOff>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904D88DC-C343-5043-A411-00BF7149F464}"/>
            </a:ext>
          </a:extLst>
        </xdr:cNvPr>
        <xdr:cNvCxnSpPr/>
      </xdr:nvCxnSpPr>
      <xdr:spPr>
        <a:xfrm flipH="1" flipV="1">
          <a:off x="76116264" y="44589560"/>
          <a:ext cx="39077" cy="1078802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89</xdr:col>
      <xdr:colOff>0</xdr:colOff>
      <xdr:row>194</xdr:row>
      <xdr:rowOff>0</xdr:rowOff>
    </xdr:from>
    <xdr:to>
      <xdr:col>89</xdr:col>
      <xdr:colOff>304800</xdr:colOff>
      <xdr:row>195</xdr:row>
      <xdr:rowOff>101600</xdr:rowOff>
    </xdr:to>
    <xdr:sp macro="" textlink="">
      <xdr:nvSpPr>
        <xdr:cNvPr id="2049" name="AutoShape 1" descr="Chemical composition of Coke, Coal and Charcoal used in the BF simulation.">
          <a:extLst>
            <a:ext uri="{FF2B5EF4-FFF2-40B4-BE49-F238E27FC236}">
              <a16:creationId xmlns:a16="http://schemas.microsoft.com/office/drawing/2014/main" id="{297131A4-2C0C-8E0D-F671-5115239E8BB8}"/>
            </a:ext>
          </a:extLst>
        </xdr:cNvPr>
        <xdr:cNvSpPr>
          <a:spLocks noChangeAspect="1" noChangeArrowheads="1"/>
        </xdr:cNvSpPr>
      </xdr:nvSpPr>
      <xdr:spPr bwMode="auto">
        <a:xfrm>
          <a:off x="71818500" y="3510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77787</xdr:colOff>
      <xdr:row>222</xdr:row>
      <xdr:rowOff>146050</xdr:rowOff>
    </xdr:from>
    <xdr:to>
      <xdr:col>22</xdr:col>
      <xdr:colOff>96716</xdr:colOff>
      <xdr:row>222</xdr:row>
      <xdr:rowOff>163146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4F5C5BAC-9FEB-E948-9EF5-6F84EFFB0EC1}"/>
            </a:ext>
          </a:extLst>
        </xdr:cNvPr>
        <xdr:cNvCxnSpPr/>
      </xdr:nvCxnSpPr>
      <xdr:spPr>
        <a:xfrm>
          <a:off x="5818187" y="48164750"/>
          <a:ext cx="13506329" cy="1709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813594</xdr:colOff>
      <xdr:row>237</xdr:row>
      <xdr:rowOff>0</xdr:rowOff>
    </xdr:from>
    <xdr:to>
      <xdr:col>21</xdr:col>
      <xdr:colOff>1113692</xdr:colOff>
      <xdr:row>237</xdr:row>
      <xdr:rowOff>19844</xdr:rowOff>
    </xdr:to>
    <xdr:cxnSp macro="">
      <xdr:nvCxnSpPr>
        <xdr:cNvPr id="124" name="Straight Arrow Connector 123">
          <a:extLst>
            <a:ext uri="{FF2B5EF4-FFF2-40B4-BE49-F238E27FC236}">
              <a16:creationId xmlns:a16="http://schemas.microsoft.com/office/drawing/2014/main" id="{DBB5E471-7728-CC4D-934E-C47805B0ABB7}"/>
            </a:ext>
          </a:extLst>
        </xdr:cNvPr>
        <xdr:cNvCxnSpPr/>
      </xdr:nvCxnSpPr>
      <xdr:spPr>
        <a:xfrm flipV="1">
          <a:off x="5659132" y="51601077"/>
          <a:ext cx="12413945" cy="1984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59</xdr:row>
      <xdr:rowOff>195385</xdr:rowOff>
    </xdr:from>
    <xdr:to>
      <xdr:col>22</xdr:col>
      <xdr:colOff>97693</xdr:colOff>
      <xdr:row>59</xdr:row>
      <xdr:rowOff>195385</xdr:rowOff>
    </xdr:to>
    <xdr:cxnSp macro="">
      <xdr:nvCxnSpPr>
        <xdr:cNvPr id="2050" name="Straight Arrow Connector 2049">
          <a:extLst>
            <a:ext uri="{FF2B5EF4-FFF2-40B4-BE49-F238E27FC236}">
              <a16:creationId xmlns:a16="http://schemas.microsoft.com/office/drawing/2014/main" id="{4B3A97EC-DC1C-6449-A422-3822C2805B51}"/>
            </a:ext>
          </a:extLst>
        </xdr:cNvPr>
        <xdr:cNvCxnSpPr/>
      </xdr:nvCxnSpPr>
      <xdr:spPr>
        <a:xfrm>
          <a:off x="5724769" y="12387385"/>
          <a:ext cx="12465539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72</xdr:row>
      <xdr:rowOff>161440</xdr:rowOff>
    </xdr:from>
    <xdr:to>
      <xdr:col>22</xdr:col>
      <xdr:colOff>93420</xdr:colOff>
      <xdr:row>72</xdr:row>
      <xdr:rowOff>175846</xdr:rowOff>
    </xdr:to>
    <xdr:cxnSp macro="">
      <xdr:nvCxnSpPr>
        <xdr:cNvPr id="2051" name="Straight Arrow Connector 2050">
          <a:extLst>
            <a:ext uri="{FF2B5EF4-FFF2-40B4-BE49-F238E27FC236}">
              <a16:creationId xmlns:a16="http://schemas.microsoft.com/office/drawing/2014/main" id="{3942DE6A-CBFA-784E-9C62-DA5AAF0CC439}"/>
            </a:ext>
          </a:extLst>
        </xdr:cNvPr>
        <xdr:cNvCxnSpPr/>
      </xdr:nvCxnSpPr>
      <xdr:spPr>
        <a:xfrm flipV="1">
          <a:off x="5666154" y="15284209"/>
          <a:ext cx="12519881" cy="1440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97692</xdr:colOff>
      <xdr:row>42</xdr:row>
      <xdr:rowOff>156308</xdr:rowOff>
    </xdr:from>
    <xdr:to>
      <xdr:col>28</xdr:col>
      <xdr:colOff>98608</xdr:colOff>
      <xdr:row>64</xdr:row>
      <xdr:rowOff>0</xdr:rowOff>
    </xdr:to>
    <xdr:cxnSp macro="">
      <xdr:nvCxnSpPr>
        <xdr:cNvPr id="2055" name="Straight Arrow Connector 2054">
          <a:extLst>
            <a:ext uri="{FF2B5EF4-FFF2-40B4-BE49-F238E27FC236}">
              <a16:creationId xmlns:a16="http://schemas.microsoft.com/office/drawing/2014/main" id="{5228D78E-65A6-DE49-826C-8EC19FFB146F}"/>
            </a:ext>
          </a:extLst>
        </xdr:cNvPr>
        <xdr:cNvCxnSpPr/>
      </xdr:nvCxnSpPr>
      <xdr:spPr>
        <a:xfrm flipH="1">
          <a:off x="23446154" y="8479693"/>
          <a:ext cx="916" cy="4884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39077</xdr:colOff>
      <xdr:row>42</xdr:row>
      <xdr:rowOff>136769</xdr:rowOff>
    </xdr:from>
    <xdr:to>
      <xdr:col>40</xdr:col>
      <xdr:colOff>1320800</xdr:colOff>
      <xdr:row>43</xdr:row>
      <xdr:rowOff>0</xdr:rowOff>
    </xdr:to>
    <xdr:cxnSp macro="">
      <xdr:nvCxnSpPr>
        <xdr:cNvPr id="2057" name="Straight Arrow Connector 2056">
          <a:extLst>
            <a:ext uri="{FF2B5EF4-FFF2-40B4-BE49-F238E27FC236}">
              <a16:creationId xmlns:a16="http://schemas.microsoft.com/office/drawing/2014/main" id="{4EE5AA49-3F45-FC43-A469-0AC7D3ED5D46}"/>
            </a:ext>
          </a:extLst>
        </xdr:cNvPr>
        <xdr:cNvCxnSpPr/>
      </xdr:nvCxnSpPr>
      <xdr:spPr>
        <a:xfrm>
          <a:off x="22664615" y="8460154"/>
          <a:ext cx="13630031" cy="58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136770</xdr:colOff>
      <xdr:row>46</xdr:row>
      <xdr:rowOff>58615</xdr:rowOff>
    </xdr:from>
    <xdr:to>
      <xdr:col>22</xdr:col>
      <xdr:colOff>136770</xdr:colOff>
      <xdr:row>73</xdr:row>
      <xdr:rowOff>58615</xdr:rowOff>
    </xdr:to>
    <xdr:cxnSp macro="">
      <xdr:nvCxnSpPr>
        <xdr:cNvPr id="2058" name="Straight Arrow Connector 2057">
          <a:extLst>
            <a:ext uri="{FF2B5EF4-FFF2-40B4-BE49-F238E27FC236}">
              <a16:creationId xmlns:a16="http://schemas.microsoft.com/office/drawing/2014/main" id="{57253E77-F690-0D46-8734-BA8B0B0CF57D}"/>
            </a:ext>
          </a:extLst>
        </xdr:cNvPr>
        <xdr:cNvCxnSpPr/>
      </xdr:nvCxnSpPr>
      <xdr:spPr>
        <a:xfrm flipV="1">
          <a:off x="18229385" y="9280769"/>
          <a:ext cx="0" cy="609600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140</xdr:row>
      <xdr:rowOff>175846</xdr:rowOff>
    </xdr:from>
    <xdr:to>
      <xdr:col>22</xdr:col>
      <xdr:colOff>97693</xdr:colOff>
      <xdr:row>140</xdr:row>
      <xdr:rowOff>175846</xdr:rowOff>
    </xdr:to>
    <xdr:cxnSp macro="">
      <xdr:nvCxnSpPr>
        <xdr:cNvPr id="2063" name="Straight Arrow Connector 2062">
          <a:extLst>
            <a:ext uri="{FF2B5EF4-FFF2-40B4-BE49-F238E27FC236}">
              <a16:creationId xmlns:a16="http://schemas.microsoft.com/office/drawing/2014/main" id="{568BC12B-2640-6541-80E2-2CD161592FE7}"/>
            </a:ext>
          </a:extLst>
        </xdr:cNvPr>
        <xdr:cNvCxnSpPr/>
      </xdr:nvCxnSpPr>
      <xdr:spPr>
        <a:xfrm>
          <a:off x="5666154" y="30480000"/>
          <a:ext cx="12524154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163</xdr:row>
      <xdr:rowOff>156307</xdr:rowOff>
    </xdr:from>
    <xdr:to>
      <xdr:col>22</xdr:col>
      <xdr:colOff>78154</xdr:colOff>
      <xdr:row>164</xdr:row>
      <xdr:rowOff>0</xdr:rowOff>
    </xdr:to>
    <xdr:cxnSp macro="">
      <xdr:nvCxnSpPr>
        <xdr:cNvPr id="2064" name="Straight Arrow Connector 2063">
          <a:extLst>
            <a:ext uri="{FF2B5EF4-FFF2-40B4-BE49-F238E27FC236}">
              <a16:creationId xmlns:a16="http://schemas.microsoft.com/office/drawing/2014/main" id="{67D34070-A4B0-8D44-957A-AC6AB56D0F8C}"/>
            </a:ext>
          </a:extLst>
        </xdr:cNvPr>
        <xdr:cNvCxnSpPr/>
      </xdr:nvCxnSpPr>
      <xdr:spPr>
        <a:xfrm>
          <a:off x="5666154" y="35833538"/>
          <a:ext cx="12504615" cy="3907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840154</xdr:colOff>
      <xdr:row>151</xdr:row>
      <xdr:rowOff>195384</xdr:rowOff>
    </xdr:from>
    <xdr:to>
      <xdr:col>22</xdr:col>
      <xdr:colOff>58616</xdr:colOff>
      <xdr:row>151</xdr:row>
      <xdr:rowOff>195384</xdr:rowOff>
    </xdr:to>
    <xdr:cxnSp macro="">
      <xdr:nvCxnSpPr>
        <xdr:cNvPr id="2065" name="Straight Arrow Connector 2064">
          <a:extLst>
            <a:ext uri="{FF2B5EF4-FFF2-40B4-BE49-F238E27FC236}">
              <a16:creationId xmlns:a16="http://schemas.microsoft.com/office/drawing/2014/main" id="{162921F4-9A4B-2845-976F-9FEAB3F1DEFD}"/>
            </a:ext>
          </a:extLst>
        </xdr:cNvPr>
        <xdr:cNvCxnSpPr/>
      </xdr:nvCxnSpPr>
      <xdr:spPr>
        <a:xfrm>
          <a:off x="5685692" y="33117692"/>
          <a:ext cx="12465539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58615</xdr:colOff>
      <xdr:row>142</xdr:row>
      <xdr:rowOff>214923</xdr:rowOff>
    </xdr:from>
    <xdr:to>
      <xdr:col>42</xdr:col>
      <xdr:colOff>78154</xdr:colOff>
      <xdr:row>142</xdr:row>
      <xdr:rowOff>214923</xdr:rowOff>
    </xdr:to>
    <xdr:cxnSp macro="">
      <xdr:nvCxnSpPr>
        <xdr:cNvPr id="2066" name="Straight Arrow Connector 2065">
          <a:extLst>
            <a:ext uri="{FF2B5EF4-FFF2-40B4-BE49-F238E27FC236}">
              <a16:creationId xmlns:a16="http://schemas.microsoft.com/office/drawing/2014/main" id="{3EE4129E-2B23-1643-ADEA-6F9F399F1724}"/>
            </a:ext>
          </a:extLst>
        </xdr:cNvPr>
        <xdr:cNvCxnSpPr/>
      </xdr:nvCxnSpPr>
      <xdr:spPr>
        <a:xfrm>
          <a:off x="23407077" y="30988000"/>
          <a:ext cx="14165385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722923</xdr:colOff>
      <xdr:row>114</xdr:row>
      <xdr:rowOff>195385</xdr:rowOff>
    </xdr:from>
    <xdr:to>
      <xdr:col>143</xdr:col>
      <xdr:colOff>214923</xdr:colOff>
      <xdr:row>115</xdr:row>
      <xdr:rowOff>0</xdr:rowOff>
    </xdr:to>
    <xdr:cxnSp macro="">
      <xdr:nvCxnSpPr>
        <xdr:cNvPr id="2072" name="Straight Arrow Connector 20">
          <a:extLst>
            <a:ext uri="{FF2B5EF4-FFF2-40B4-BE49-F238E27FC236}">
              <a16:creationId xmlns:a16="http://schemas.microsoft.com/office/drawing/2014/main" id="{EED683EE-63C2-CA4C-8A9E-C6F91565F1DC}"/>
            </a:ext>
          </a:extLst>
        </xdr:cNvPr>
        <xdr:cNvCxnSpPr/>
      </xdr:nvCxnSpPr>
      <xdr:spPr>
        <a:xfrm>
          <a:off x="109161385" y="24638000"/>
          <a:ext cx="12172461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214923</xdr:colOff>
      <xdr:row>101</xdr:row>
      <xdr:rowOff>410308</xdr:rowOff>
    </xdr:from>
    <xdr:to>
      <xdr:col>143</xdr:col>
      <xdr:colOff>214923</xdr:colOff>
      <xdr:row>125</xdr:row>
      <xdr:rowOff>19538</xdr:rowOff>
    </xdr:to>
    <xdr:cxnSp macro="">
      <xdr:nvCxnSpPr>
        <xdr:cNvPr id="2073" name="Straight Arrow Connector 2072">
          <a:extLst>
            <a:ext uri="{FF2B5EF4-FFF2-40B4-BE49-F238E27FC236}">
              <a16:creationId xmlns:a16="http://schemas.microsoft.com/office/drawing/2014/main" id="{918257BE-A868-6F40-9175-CEF3BF36592A}"/>
            </a:ext>
          </a:extLst>
        </xdr:cNvPr>
        <xdr:cNvCxnSpPr/>
      </xdr:nvCxnSpPr>
      <xdr:spPr>
        <a:xfrm>
          <a:off x="121333846" y="21590000"/>
          <a:ext cx="0" cy="533400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39077</xdr:colOff>
      <xdr:row>101</xdr:row>
      <xdr:rowOff>449385</xdr:rowOff>
    </xdr:from>
    <xdr:to>
      <xdr:col>143</xdr:col>
      <xdr:colOff>175846</xdr:colOff>
      <xdr:row>101</xdr:row>
      <xdr:rowOff>468923</xdr:rowOff>
    </xdr:to>
    <xdr:cxnSp macro="">
      <xdr:nvCxnSpPr>
        <xdr:cNvPr id="2075" name="Straight Arrow Connector 20">
          <a:extLst>
            <a:ext uri="{FF2B5EF4-FFF2-40B4-BE49-F238E27FC236}">
              <a16:creationId xmlns:a16="http://schemas.microsoft.com/office/drawing/2014/main" id="{042D6C19-B608-6840-BBCB-BAF9DE94371D}"/>
            </a:ext>
          </a:extLst>
        </xdr:cNvPr>
        <xdr:cNvCxnSpPr/>
      </xdr:nvCxnSpPr>
      <xdr:spPr>
        <a:xfrm>
          <a:off x="109220000" y="21629077"/>
          <a:ext cx="12074769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299110</xdr:colOff>
      <xdr:row>126</xdr:row>
      <xdr:rowOff>136155</xdr:rowOff>
    </xdr:from>
    <xdr:to>
      <xdr:col>86</xdr:col>
      <xdr:colOff>312615</xdr:colOff>
      <xdr:row>139</xdr:row>
      <xdr:rowOff>19539</xdr:rowOff>
    </xdr:to>
    <xdr:cxnSp macro="">
      <xdr:nvCxnSpPr>
        <xdr:cNvPr id="2089" name="Straight Arrow Connector 2088">
          <a:extLst>
            <a:ext uri="{FF2B5EF4-FFF2-40B4-BE49-F238E27FC236}">
              <a16:creationId xmlns:a16="http://schemas.microsoft.com/office/drawing/2014/main" id="{CF33C07E-F373-9B44-AED7-3B64D48A9EBC}"/>
            </a:ext>
          </a:extLst>
        </xdr:cNvPr>
        <xdr:cNvCxnSpPr/>
      </xdr:nvCxnSpPr>
      <xdr:spPr>
        <a:xfrm>
          <a:off x="77417418" y="27236001"/>
          <a:ext cx="13505" cy="285323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26592</xdr:colOff>
      <xdr:row>207</xdr:row>
      <xdr:rowOff>19538</xdr:rowOff>
    </xdr:from>
    <xdr:to>
      <xdr:col>22</xdr:col>
      <xdr:colOff>78154</xdr:colOff>
      <xdr:row>237</xdr:row>
      <xdr:rowOff>58900</xdr:rowOff>
    </xdr:to>
    <xdr:cxnSp macro="">
      <xdr:nvCxnSpPr>
        <xdr:cNvPr id="2104" name="Straight Arrow Connector 2103">
          <a:extLst>
            <a:ext uri="{FF2B5EF4-FFF2-40B4-BE49-F238E27FC236}">
              <a16:creationId xmlns:a16="http://schemas.microsoft.com/office/drawing/2014/main" id="{6358AA25-D53D-4746-A551-756136336DF9}"/>
            </a:ext>
          </a:extLst>
        </xdr:cNvPr>
        <xdr:cNvCxnSpPr/>
      </xdr:nvCxnSpPr>
      <xdr:spPr>
        <a:xfrm flipV="1">
          <a:off x="18119207" y="44840769"/>
          <a:ext cx="51562" cy="6819208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0</xdr:colOff>
      <xdr:row>228</xdr:row>
      <xdr:rowOff>0</xdr:rowOff>
    </xdr:from>
    <xdr:to>
      <xdr:col>42</xdr:col>
      <xdr:colOff>129820</xdr:colOff>
      <xdr:row>228</xdr:row>
      <xdr:rowOff>20864</xdr:rowOff>
    </xdr:to>
    <xdr:cxnSp macro="">
      <xdr:nvCxnSpPr>
        <xdr:cNvPr id="2108" name="Straight Arrow Connector 2107">
          <a:extLst>
            <a:ext uri="{FF2B5EF4-FFF2-40B4-BE49-F238E27FC236}">
              <a16:creationId xmlns:a16="http://schemas.microsoft.com/office/drawing/2014/main" id="{5A7679C6-B29E-A143-A7D0-14EAC6340040}"/>
            </a:ext>
          </a:extLst>
        </xdr:cNvPr>
        <xdr:cNvCxnSpPr/>
      </xdr:nvCxnSpPr>
      <xdr:spPr>
        <a:xfrm>
          <a:off x="24266769" y="49530000"/>
          <a:ext cx="13357359" cy="2086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21493</xdr:colOff>
      <xdr:row>207</xdr:row>
      <xdr:rowOff>0</xdr:rowOff>
    </xdr:from>
    <xdr:to>
      <xdr:col>29</xdr:col>
      <xdr:colOff>39077</xdr:colOff>
      <xdr:row>227</xdr:row>
      <xdr:rowOff>230554</xdr:rowOff>
    </xdr:to>
    <xdr:cxnSp macro="">
      <xdr:nvCxnSpPr>
        <xdr:cNvPr id="2109" name="Straight Arrow Connector 2108">
          <a:extLst>
            <a:ext uri="{FF2B5EF4-FFF2-40B4-BE49-F238E27FC236}">
              <a16:creationId xmlns:a16="http://schemas.microsoft.com/office/drawing/2014/main" id="{B25CE6C4-C9FF-7D44-95E7-27D327679B53}"/>
            </a:ext>
          </a:extLst>
        </xdr:cNvPr>
        <xdr:cNvCxnSpPr/>
      </xdr:nvCxnSpPr>
      <xdr:spPr>
        <a:xfrm flipH="1">
          <a:off x="24288262" y="44821231"/>
          <a:ext cx="17584" cy="470486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175847</xdr:colOff>
      <xdr:row>130</xdr:row>
      <xdr:rowOff>0</xdr:rowOff>
    </xdr:from>
    <xdr:to>
      <xdr:col>22</xdr:col>
      <xdr:colOff>177637</xdr:colOff>
      <xdr:row>164</xdr:row>
      <xdr:rowOff>43473</xdr:rowOff>
    </xdr:to>
    <xdr:cxnSp macro="">
      <xdr:nvCxnSpPr>
        <xdr:cNvPr id="2112" name="Straight Arrow Connector 2111">
          <a:extLst>
            <a:ext uri="{FF2B5EF4-FFF2-40B4-BE49-F238E27FC236}">
              <a16:creationId xmlns:a16="http://schemas.microsoft.com/office/drawing/2014/main" id="{8449843F-4A39-034D-AC60-0AE3425DBD34}"/>
            </a:ext>
          </a:extLst>
        </xdr:cNvPr>
        <xdr:cNvCxnSpPr/>
      </xdr:nvCxnSpPr>
      <xdr:spPr>
        <a:xfrm flipH="1" flipV="1">
          <a:off x="18268462" y="27998615"/>
          <a:ext cx="1790" cy="7917473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226101</xdr:colOff>
      <xdr:row>254</xdr:row>
      <xdr:rowOff>195781</xdr:rowOff>
    </xdr:from>
    <xdr:to>
      <xdr:col>80</xdr:col>
      <xdr:colOff>175302</xdr:colOff>
      <xdr:row>255</xdr:row>
      <xdr:rowOff>8942</xdr:rowOff>
    </xdr:to>
    <xdr:cxnSp macro="">
      <xdr:nvCxnSpPr>
        <xdr:cNvPr id="2129" name="Straight Arrow Connector 2128">
          <a:extLst>
            <a:ext uri="{FF2B5EF4-FFF2-40B4-BE49-F238E27FC236}">
              <a16:creationId xmlns:a16="http://schemas.microsoft.com/office/drawing/2014/main" id="{6F700AF5-76C6-3F42-A4C7-5BA43BE26443}"/>
            </a:ext>
          </a:extLst>
        </xdr:cNvPr>
        <xdr:cNvCxnSpPr/>
      </xdr:nvCxnSpPr>
      <xdr:spPr>
        <a:xfrm flipV="1">
          <a:off x="60002041" y="55598337"/>
          <a:ext cx="11808900" cy="4233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293077</xdr:colOff>
      <xdr:row>114</xdr:row>
      <xdr:rowOff>136770</xdr:rowOff>
    </xdr:from>
    <xdr:to>
      <xdr:col>86</xdr:col>
      <xdr:colOff>312615</xdr:colOff>
      <xdr:row>126</xdr:row>
      <xdr:rowOff>117231</xdr:rowOff>
    </xdr:to>
    <xdr:cxnSp macro="">
      <xdr:nvCxnSpPr>
        <xdr:cNvPr id="85" name="Straight Arrow Connector 84">
          <a:extLst>
            <a:ext uri="{FF2B5EF4-FFF2-40B4-BE49-F238E27FC236}">
              <a16:creationId xmlns:a16="http://schemas.microsoft.com/office/drawing/2014/main" id="{10A28910-2D2E-D944-913F-3B867F43290F}"/>
            </a:ext>
          </a:extLst>
        </xdr:cNvPr>
        <xdr:cNvCxnSpPr/>
      </xdr:nvCxnSpPr>
      <xdr:spPr>
        <a:xfrm flipV="1">
          <a:off x="77411385" y="24579385"/>
          <a:ext cx="19538" cy="2637692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19</xdr:col>
      <xdr:colOff>441113</xdr:colOff>
      <xdr:row>4</xdr:row>
      <xdr:rowOff>23706</xdr:rowOff>
    </xdr:from>
    <xdr:ext cx="365035" cy="3549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D08547C-04F4-BDAB-8E7A-6C70D81F64DA}"/>
                </a:ext>
              </a:extLst>
            </xdr:cNvPr>
            <xdr:cNvSpPr txBox="1"/>
          </xdr:nvSpPr>
          <xdr:spPr>
            <a:xfrm>
              <a:off x="13513646" y="811106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>
                      <m:f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𝑜𝑢𝑡</m:t>
                            </m:r>
                          </m:e>
                        </m:nary>
                      </m:num>
                      <m:den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𝑖𝑛</m:t>
                            </m:r>
                          </m:e>
                        </m:nary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D08547C-04F4-BDAB-8E7A-6C70D81F64DA}"/>
                </a:ext>
              </a:extLst>
            </xdr:cNvPr>
            <xdr:cNvSpPr txBox="1"/>
          </xdr:nvSpPr>
          <xdr:spPr>
            <a:xfrm>
              <a:off x="13513646" y="811106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100" i="0">
                  <a:latin typeface="Cambria Math" panose="02040503050406030204" pitchFamily="18" charset="0"/>
                </a:rPr>
                <a:t>(∑</a:t>
              </a:r>
              <a:r>
                <a:rPr lang="en-US" sz="1100" b="0" i="0">
                  <a:latin typeface="Cambria Math" panose="02040503050406030204" pitchFamily="18" charset="0"/>
                </a:rPr>
                <a:t>▒𝑜𝑢𝑡)/(∑▒𝑖𝑛)</a:t>
              </a:r>
              <a:endParaRPr lang="en-US" sz="1100"/>
            </a:p>
          </xdr:txBody>
        </xdr:sp>
      </mc:Fallback>
    </mc:AlternateContent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137160</xdr:colOff>
      <xdr:row>2</xdr:row>
      <xdr:rowOff>108857</xdr:rowOff>
    </xdr:from>
    <xdr:to>
      <xdr:col>10</xdr:col>
      <xdr:colOff>794657</xdr:colOff>
      <xdr:row>2</xdr:row>
      <xdr:rowOff>114300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9DE57701-9F79-4B44-8EE4-C4523B60DE65}"/>
            </a:ext>
          </a:extLst>
        </xdr:cNvPr>
        <xdr:cNvCxnSpPr/>
      </xdr:nvCxnSpPr>
      <xdr:spPr>
        <a:xfrm flipV="1">
          <a:off x="7884160" y="48985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33</xdr:row>
      <xdr:rowOff>0</xdr:rowOff>
    </xdr:from>
    <xdr:to>
      <xdr:col>14</xdr:col>
      <xdr:colOff>121920</xdr:colOff>
      <xdr:row>33</xdr:row>
      <xdr:rowOff>38100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73DB0872-F616-D84E-8C67-3B1D74329212}"/>
            </a:ext>
          </a:extLst>
        </xdr:cNvPr>
        <xdr:cNvCxnSpPr/>
      </xdr:nvCxnSpPr>
      <xdr:spPr>
        <a:xfrm>
          <a:off x="2019300" y="6972300"/>
          <a:ext cx="9621520" cy="38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50800</xdr:colOff>
      <xdr:row>46</xdr:row>
      <xdr:rowOff>180340</xdr:rowOff>
    </xdr:from>
    <xdr:to>
      <xdr:col>14</xdr:col>
      <xdr:colOff>172720</xdr:colOff>
      <xdr:row>46</xdr:row>
      <xdr:rowOff>218440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D11C0FF7-6D63-C943-9A47-CDF2841F4AD8}"/>
            </a:ext>
          </a:extLst>
        </xdr:cNvPr>
        <xdr:cNvCxnSpPr/>
      </xdr:nvCxnSpPr>
      <xdr:spPr>
        <a:xfrm>
          <a:off x="1849120" y="10462260"/>
          <a:ext cx="8869680" cy="38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152400</xdr:colOff>
      <xdr:row>33</xdr:row>
      <xdr:rowOff>30480</xdr:rowOff>
    </xdr:from>
    <xdr:to>
      <xdr:col>16</xdr:col>
      <xdr:colOff>449580</xdr:colOff>
      <xdr:row>38</xdr:row>
      <xdr:rowOff>0</xdr:rowOff>
    </xdr:to>
    <xdr:cxnSp macro="">
      <xdr:nvCxnSpPr>
        <xdr:cNvPr id="5" name="Connector: Elbow 8">
          <a:extLst>
            <a:ext uri="{FF2B5EF4-FFF2-40B4-BE49-F238E27FC236}">
              <a16:creationId xmlns:a16="http://schemas.microsoft.com/office/drawing/2014/main" id="{93A2418E-CA66-AE41-A4EA-2B0986F61226}"/>
            </a:ext>
          </a:extLst>
        </xdr:cNvPr>
        <xdr:cNvCxnSpPr/>
      </xdr:nvCxnSpPr>
      <xdr:spPr>
        <a:xfrm>
          <a:off x="11671300" y="7002780"/>
          <a:ext cx="2418080" cy="1036320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254000</xdr:colOff>
      <xdr:row>39</xdr:row>
      <xdr:rowOff>0</xdr:rowOff>
    </xdr:from>
    <xdr:to>
      <xdr:col>16</xdr:col>
      <xdr:colOff>396240</xdr:colOff>
      <xdr:row>46</xdr:row>
      <xdr:rowOff>193040</xdr:rowOff>
    </xdr:to>
    <xdr:cxnSp macro="">
      <xdr:nvCxnSpPr>
        <xdr:cNvPr id="6" name="Connector: Elbow 12">
          <a:extLst>
            <a:ext uri="{FF2B5EF4-FFF2-40B4-BE49-F238E27FC236}">
              <a16:creationId xmlns:a16="http://schemas.microsoft.com/office/drawing/2014/main" id="{F01BF0FB-693F-8641-A857-BDCE921F6B9A}"/>
            </a:ext>
          </a:extLst>
        </xdr:cNvPr>
        <xdr:cNvCxnSpPr/>
      </xdr:nvCxnSpPr>
      <xdr:spPr>
        <a:xfrm flipV="1">
          <a:off x="10800080" y="8636000"/>
          <a:ext cx="2042160" cy="1838960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54429</xdr:colOff>
      <xdr:row>38</xdr:row>
      <xdr:rowOff>97971</xdr:rowOff>
    </xdr:from>
    <xdr:to>
      <xdr:col>34</xdr:col>
      <xdr:colOff>601980</xdr:colOff>
      <xdr:row>38</xdr:row>
      <xdr:rowOff>137160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69A13529-A29F-2045-B655-5AC11B7B59DE}"/>
            </a:ext>
          </a:extLst>
        </xdr:cNvPr>
        <xdr:cNvCxnSpPr/>
      </xdr:nvCxnSpPr>
      <xdr:spPr>
        <a:xfrm>
          <a:off x="17097829" y="8137071"/>
          <a:ext cx="10504351" cy="39189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87086</xdr:colOff>
      <xdr:row>38</xdr:row>
      <xdr:rowOff>175172</xdr:rowOff>
    </xdr:from>
    <xdr:to>
      <xdr:col>62</xdr:col>
      <xdr:colOff>551793</xdr:colOff>
      <xdr:row>38</xdr:row>
      <xdr:rowOff>184745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8C2C3332-5B89-264F-963C-BD6A5B9C5159}"/>
            </a:ext>
          </a:extLst>
        </xdr:cNvPr>
        <xdr:cNvCxnSpPr/>
      </xdr:nvCxnSpPr>
      <xdr:spPr>
        <a:xfrm flipV="1">
          <a:off x="28911707" y="8128000"/>
          <a:ext cx="16878362" cy="957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81239</xdr:colOff>
      <xdr:row>38</xdr:row>
      <xdr:rowOff>99776</xdr:rowOff>
    </xdr:from>
    <xdr:to>
      <xdr:col>87</xdr:col>
      <xdr:colOff>108607</xdr:colOff>
      <xdr:row>38</xdr:row>
      <xdr:rowOff>108606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33E922C4-0ABF-4B4E-8A4F-04BBB1C0C8D0}"/>
            </a:ext>
          </a:extLst>
        </xdr:cNvPr>
        <xdr:cNvCxnSpPr/>
      </xdr:nvCxnSpPr>
      <xdr:spPr>
        <a:xfrm>
          <a:off x="48017966" y="8590633"/>
          <a:ext cx="16583550" cy="883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235835</xdr:colOff>
      <xdr:row>22</xdr:row>
      <xdr:rowOff>114300</xdr:rowOff>
    </xdr:from>
    <xdr:to>
      <xdr:col>65</xdr:col>
      <xdr:colOff>254000</xdr:colOff>
      <xdr:row>36</xdr:row>
      <xdr:rowOff>144683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793DCD27-3709-19E3-C33F-5ACE47B13426}"/>
            </a:ext>
          </a:extLst>
        </xdr:cNvPr>
        <xdr:cNvCxnSpPr/>
      </xdr:nvCxnSpPr>
      <xdr:spPr>
        <a:xfrm flipV="1">
          <a:off x="52255035" y="4724400"/>
          <a:ext cx="18165" cy="343398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630430</xdr:colOff>
      <xdr:row>4</xdr:row>
      <xdr:rowOff>23706</xdr:rowOff>
    </xdr:from>
    <xdr:ext cx="365035" cy="3549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59F93AA-A3C8-AC42-80DF-1CD090F309A2}"/>
                </a:ext>
              </a:extLst>
            </xdr:cNvPr>
            <xdr:cNvSpPr txBox="1"/>
          </xdr:nvSpPr>
          <xdr:spPr>
            <a:xfrm>
              <a:off x="17195647" y="780973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f>
                      <m:f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𝑜𝑢𝑡</m:t>
                            </m:r>
                          </m:e>
                        </m:nary>
                      </m:num>
                      <m:den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𝑖𝑛</m:t>
                            </m:r>
                          </m:e>
                        </m:nary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59F93AA-A3C8-AC42-80DF-1CD090F309A2}"/>
                </a:ext>
              </a:extLst>
            </xdr:cNvPr>
            <xdr:cNvSpPr txBox="1"/>
          </xdr:nvSpPr>
          <xdr:spPr>
            <a:xfrm>
              <a:off x="17195647" y="780973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n-US" sz="1100" i="0">
                  <a:latin typeface="Cambria Math" panose="02040503050406030204" pitchFamily="18" charset="0"/>
                </a:rPr>
                <a:t>(∑</a:t>
              </a:r>
              <a:r>
                <a:rPr lang="en-US" sz="1100" b="0" i="0">
                  <a:latin typeface="Cambria Math" panose="02040503050406030204" pitchFamily="18" charset="0"/>
                </a:rPr>
                <a:t>▒𝑜𝑢𝑡)/(∑▒𝑖𝑛)</a:t>
              </a:r>
              <a:endParaRPr lang="en-US" sz="1100"/>
            </a:p>
          </xdr:txBody>
        </xdr:sp>
      </mc:Fallback>
    </mc:AlternateContent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vaxasoftware.com/doc_eduen/qui/dtermoq.pdf" TargetMode="External"/><Relationship Id="rId2" Type="http://schemas.openxmlformats.org/officeDocument/2006/relationships/hyperlink" Target="https://www.fishersci.com/content/dam/fishersci/en_US/documents/programs/scientific/technical-documents/data-sheets/fisher-scientific-atomic-weights-datasheet.pdf" TargetMode="External"/><Relationship Id="rId1" Type="http://schemas.openxmlformats.org/officeDocument/2006/relationships/hyperlink" Target="https://www.exergoecology.com/excalc/new_calc_exergy" TargetMode="External"/><Relationship Id="rId5" Type="http://schemas.openxmlformats.org/officeDocument/2006/relationships/hyperlink" Target="https://www.engineeringtoolbox.com/coal-heating-values-d_1675.html" TargetMode="External"/><Relationship Id="rId4" Type="http://schemas.openxmlformats.org/officeDocument/2006/relationships/hyperlink" Target="https://www.engineeringtoolbox.com/fuels-higher-calorific-values-d_169.html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spatguru.com/coke-oven-gas-generation-and-usage/" TargetMode="External"/><Relationship Id="rId7" Type="http://schemas.openxmlformats.org/officeDocument/2006/relationships/drawing" Target="../drawings/drawing1.xml"/><Relationship Id="rId2" Type="http://schemas.openxmlformats.org/officeDocument/2006/relationships/hyperlink" Target="https://www.ispatguru.com/coke-oven-gas-generation-and-usage/" TargetMode="External"/><Relationship Id="rId1" Type="http://schemas.openxmlformats.org/officeDocument/2006/relationships/hyperlink" Target="https://www.economics.utoronto.ca/munro5/BlastFurnaceHydraulic.pdf" TargetMode="External"/><Relationship Id="rId6" Type="http://schemas.openxmlformats.org/officeDocument/2006/relationships/hyperlink" Target="https://www.ispatguru.com/coke-oven-gas-generation-and-usage/" TargetMode="External"/><Relationship Id="rId5" Type="http://schemas.openxmlformats.org/officeDocument/2006/relationships/hyperlink" Target="https://chem.libretexts.org/Bookshelves/Organic_Chemistry/Supplemental_Modules_(Organic_Chemistry)/Alkanes/Reactivity_of_Alkanes/Complete_vs._Incomplete_Combustion_of_Alkanes" TargetMode="External"/><Relationship Id="rId4" Type="http://schemas.openxmlformats.org/officeDocument/2006/relationships/hyperlink" Target="https://www.ispatguru.com/calcination-of-limestone/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researchgate.net/publication/332584346_Isothermal_Kinetic_Mechanism_of_Coke_Dissolving_in_Hot_Metal" TargetMode="External"/><Relationship Id="rId13" Type="http://schemas.openxmlformats.org/officeDocument/2006/relationships/hyperlink" Target="https://www.dmre.gov.za/Portals/0/Energy_Website/files/media/explained/statistics_energyoutlook_2002.pdf" TargetMode="External"/><Relationship Id="rId3" Type="http://schemas.openxmlformats.org/officeDocument/2006/relationships/hyperlink" Target="https://www.energy.gov/sites/prod/files/2013/11/f4/stone.pdf" TargetMode="External"/><Relationship Id="rId7" Type="http://schemas.openxmlformats.org/officeDocument/2006/relationships/hyperlink" Target="https://www1.eere.energy.gov/manufacturing/resources/mining/pdfs/coal.pdf" TargetMode="External"/><Relationship Id="rId12" Type="http://schemas.openxmlformats.org/officeDocument/2006/relationships/hyperlink" Target="https://www.ispatguru.com/calcination-of-limestone/" TargetMode="External"/><Relationship Id="rId2" Type="http://schemas.openxmlformats.org/officeDocument/2006/relationships/hyperlink" Target="https://www.energy.gov/sites/prod/files/2013/11/f4/stone.pdf" TargetMode="External"/><Relationship Id="rId16" Type="http://schemas.openxmlformats.org/officeDocument/2006/relationships/drawing" Target="../drawings/drawing2.xml"/><Relationship Id="rId1" Type="http://schemas.openxmlformats.org/officeDocument/2006/relationships/hyperlink" Target="https://www1.eere.energy.gov/manufacturing/resources/mining/pdfs/coal.pdf" TargetMode="External"/><Relationship Id="rId6" Type="http://schemas.openxmlformats.org/officeDocument/2006/relationships/hyperlink" Target="https://www.mining-technology.com/marketdata/five-largest-coal-mines-south-africa/" TargetMode="External"/><Relationship Id="rId11" Type="http://schemas.openxmlformats.org/officeDocument/2006/relationships/hyperlink" Target="https://www.energy.gov/sites/prod/files/2015/08/f26/iron_and_steel_bandwidth_report_0.pdf" TargetMode="External"/><Relationship Id="rId5" Type="http://schemas.openxmlformats.org/officeDocument/2006/relationships/hyperlink" Target="https://www.energy.gov/sites/prod/files/2013/11/f4/iron.pdf" TargetMode="External"/><Relationship Id="rId15" Type="http://schemas.openxmlformats.org/officeDocument/2006/relationships/printerSettings" Target="../printerSettings/printerSettings1.bin"/><Relationship Id="rId10" Type="http://schemas.openxmlformats.org/officeDocument/2006/relationships/hyperlink" Target="https://www.ispatguru.com/calcination-of-limestone/" TargetMode="External"/><Relationship Id="rId4" Type="http://schemas.openxmlformats.org/officeDocument/2006/relationships/hyperlink" Target="https://www.energy.gov/sites/prod/files/2013/11/f4/iron.pdf" TargetMode="External"/><Relationship Id="rId9" Type="http://schemas.openxmlformats.org/officeDocument/2006/relationships/hyperlink" Target="https://www.energy.gov/sites/prod/files/2013/11/f4/stone.pdf" TargetMode="External"/><Relationship Id="rId14" Type="http://schemas.openxmlformats.org/officeDocument/2006/relationships/hyperlink" Target="https://www.kanadevia-inova.com/renewable-gas/liquefaction/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D9C8D-AF2D-4EFA-8F57-DA599DBFB7D5}">
  <dimension ref="B2:AH57"/>
  <sheetViews>
    <sheetView topLeftCell="A14" zoomScale="125" workbookViewId="0">
      <selection activeCell="C51" sqref="C51"/>
    </sheetView>
  </sheetViews>
  <sheetFormatPr baseColWidth="10" defaultColWidth="8.83203125" defaultRowHeight="15" x14ac:dyDescent="0.2"/>
  <cols>
    <col min="1" max="1" width="8.83203125" style="3"/>
    <col min="2" max="2" width="9.83203125" style="3" customWidth="1"/>
    <col min="3" max="20" width="8.83203125" style="3"/>
    <col min="21" max="21" width="9.83203125" style="3" bestFit="1" customWidth="1"/>
    <col min="22" max="22" width="10.5" style="3" bestFit="1" customWidth="1"/>
    <col min="23" max="23" width="12.1640625" style="3" bestFit="1" customWidth="1"/>
    <col min="24" max="24" width="11.5" style="3" bestFit="1" customWidth="1"/>
    <col min="25" max="25" width="15.83203125" style="3" bestFit="1" customWidth="1"/>
    <col min="26" max="26" width="11.5" style="3" bestFit="1" customWidth="1"/>
    <col min="27" max="27" width="11.5" style="3" customWidth="1"/>
    <col min="28" max="33" width="8.83203125" style="3"/>
    <col min="34" max="34" width="12.33203125" style="3" bestFit="1" customWidth="1"/>
    <col min="35" max="16384" width="8.83203125" style="3"/>
  </cols>
  <sheetData>
    <row r="2" spans="2:34" ht="17" x14ac:dyDescent="0.25">
      <c r="R2" s="310" t="s">
        <v>102</v>
      </c>
      <c r="S2" s="311"/>
      <c r="T2" s="310" t="s">
        <v>108</v>
      </c>
      <c r="U2" s="311"/>
      <c r="W2" s="312" t="s">
        <v>233</v>
      </c>
      <c r="X2" s="312"/>
      <c r="Y2" s="13" t="s">
        <v>52</v>
      </c>
      <c r="AB2" s="3" t="s">
        <v>345</v>
      </c>
      <c r="AE2" s="3" t="s">
        <v>407</v>
      </c>
      <c r="AH2" s="3" t="s">
        <v>428</v>
      </c>
    </row>
    <row r="3" spans="2:34" ht="18" x14ac:dyDescent="0.25">
      <c r="C3" s="13" t="s">
        <v>54</v>
      </c>
      <c r="D3" s="20" t="s">
        <v>5</v>
      </c>
      <c r="E3" s="35" t="s">
        <v>6</v>
      </c>
      <c r="F3" s="19" t="s">
        <v>40</v>
      </c>
      <c r="G3" s="19" t="s">
        <v>40</v>
      </c>
      <c r="I3" s="13" t="s">
        <v>55</v>
      </c>
      <c r="J3" s="19" t="s">
        <v>56</v>
      </c>
      <c r="M3" s="13" t="s">
        <v>57</v>
      </c>
      <c r="N3" s="13" t="s">
        <v>99</v>
      </c>
      <c r="O3" s="13" t="s">
        <v>110</v>
      </c>
      <c r="Q3" s="13" t="s">
        <v>100</v>
      </c>
      <c r="R3" s="13" t="s">
        <v>40</v>
      </c>
      <c r="S3" s="13" t="s">
        <v>101</v>
      </c>
      <c r="T3" s="13" t="s">
        <v>103</v>
      </c>
      <c r="U3" s="13" t="s">
        <v>104</v>
      </c>
      <c r="W3" s="13" t="s">
        <v>232</v>
      </c>
      <c r="X3" s="13" t="s">
        <v>239</v>
      </c>
      <c r="Y3" s="13" t="s">
        <v>53</v>
      </c>
      <c r="AA3" s="3" t="s">
        <v>41</v>
      </c>
      <c r="AB3" s="3" t="s">
        <v>346</v>
      </c>
      <c r="AD3" s="3" t="s">
        <v>408</v>
      </c>
      <c r="AE3" s="3">
        <v>1.667</v>
      </c>
      <c r="AG3" s="13" t="s">
        <v>65</v>
      </c>
      <c r="AH3" s="212">
        <v>104.974234</v>
      </c>
    </row>
    <row r="4" spans="2:34" ht="18" x14ac:dyDescent="0.25">
      <c r="C4" s="13" t="s">
        <v>58</v>
      </c>
      <c r="D4" s="20" t="s">
        <v>59</v>
      </c>
      <c r="E4" s="35" t="s">
        <v>14</v>
      </c>
      <c r="F4" s="19" t="s">
        <v>58</v>
      </c>
      <c r="G4" s="19" t="s">
        <v>346</v>
      </c>
      <c r="I4" s="13" t="s">
        <v>60</v>
      </c>
      <c r="J4" s="19" t="s">
        <v>61</v>
      </c>
      <c r="M4" s="13" t="s">
        <v>62</v>
      </c>
      <c r="N4" s="13" t="s">
        <v>63</v>
      </c>
      <c r="O4" s="13" t="s">
        <v>58</v>
      </c>
      <c r="Q4" s="13" t="s">
        <v>41</v>
      </c>
      <c r="R4" s="4" t="s">
        <v>106</v>
      </c>
      <c r="S4" s="61" t="s">
        <v>109</v>
      </c>
      <c r="T4" s="4" t="s">
        <v>106</v>
      </c>
      <c r="U4" s="61" t="s">
        <v>109</v>
      </c>
      <c r="W4" s="13">
        <v>1.0550600000000001</v>
      </c>
      <c r="X4" s="13">
        <v>3600</v>
      </c>
      <c r="Y4" s="13">
        <v>1000</v>
      </c>
      <c r="AA4" s="13" t="s">
        <v>65</v>
      </c>
      <c r="AB4" s="13">
        <f>1000*50</f>
        <v>50000</v>
      </c>
      <c r="AD4" s="3" t="s">
        <v>83</v>
      </c>
      <c r="AE4" s="3">
        <v>2.2999999999999998</v>
      </c>
    </row>
    <row r="5" spans="2:34" ht="17" x14ac:dyDescent="0.25">
      <c r="B5" s="1" t="s">
        <v>18</v>
      </c>
      <c r="C5" s="13">
        <v>0</v>
      </c>
      <c r="D5" s="15">
        <f>12.011/1000</f>
        <v>1.2010999999999999E-2</v>
      </c>
      <c r="E5" s="35">
        <f>J5</f>
        <v>410.3</v>
      </c>
      <c r="F5" s="19">
        <v>0</v>
      </c>
      <c r="G5" s="19">
        <f>F5/MW_C</f>
        <v>0</v>
      </c>
      <c r="I5" s="13" t="s">
        <v>18</v>
      </c>
      <c r="J5" s="13">
        <v>410.3</v>
      </c>
      <c r="M5" s="13">
        <f>8.314/1000</f>
        <v>8.3140000000000002E-3</v>
      </c>
      <c r="N5" s="13">
        <f>273.15</f>
        <v>273.14999999999998</v>
      </c>
      <c r="O5" s="13">
        <f>M5*N5</f>
        <v>2.2709690999999999</v>
      </c>
      <c r="Q5" s="13" t="s">
        <v>23</v>
      </c>
      <c r="R5" s="13">
        <f>115131.4/1000</f>
        <v>115.1314</v>
      </c>
      <c r="S5" s="13">
        <f>315.97/1000</f>
        <v>0.31597000000000003</v>
      </c>
      <c r="T5" s="13">
        <v>9.3640000000000008</v>
      </c>
      <c r="U5" s="13">
        <v>0.21368500000000001</v>
      </c>
      <c r="W5" s="13" t="s">
        <v>459</v>
      </c>
      <c r="AA5" s="61" t="s">
        <v>491</v>
      </c>
      <c r="AB5" s="13">
        <v>43400</v>
      </c>
    </row>
    <row r="6" spans="2:34" ht="18" x14ac:dyDescent="0.25">
      <c r="B6" s="1" t="s">
        <v>21</v>
      </c>
      <c r="C6" s="13">
        <v>-1128.8432</v>
      </c>
      <c r="D6" s="15">
        <f>(40.078+12.011+(3*15.9994))/1000</f>
        <v>0.1000872</v>
      </c>
      <c r="E6" s="36">
        <f>J6+J5+((3/2)*J9)+C6</f>
        <v>11.256799999999885</v>
      </c>
      <c r="F6" s="20">
        <v>-1207.5999999999999</v>
      </c>
      <c r="G6" s="19">
        <f>F6/MW_CaCO3</f>
        <v>-12065.478902397108</v>
      </c>
      <c r="I6" s="13" t="s">
        <v>31</v>
      </c>
      <c r="J6" s="13">
        <v>723.8</v>
      </c>
      <c r="Q6" s="13" t="s">
        <v>68</v>
      </c>
      <c r="R6" s="13">
        <f>94827.84/1000</f>
        <v>94.827839999999995</v>
      </c>
      <c r="S6" s="13">
        <f>270.35/1000</f>
        <v>0.27035000000000003</v>
      </c>
      <c r="T6" s="13">
        <v>9.9039999999999999</v>
      </c>
      <c r="U6" s="13">
        <v>0.18872</v>
      </c>
      <c r="W6" s="13">
        <f>4.184/1000</f>
        <v>4.1840000000000002E-3</v>
      </c>
      <c r="AA6" s="61" t="s">
        <v>510</v>
      </c>
      <c r="AB6" s="13">
        <v>39500</v>
      </c>
    </row>
    <row r="7" spans="2:34" ht="18" x14ac:dyDescent="0.25">
      <c r="B7" s="1" t="s">
        <v>22</v>
      </c>
      <c r="C7" s="13">
        <v>-1549.7117599999999</v>
      </c>
      <c r="D7" s="15">
        <f>(40.078+(3*15.9994)+28.0855)/1000</f>
        <v>0.11616169999999999</v>
      </c>
      <c r="E7" s="36">
        <f>C7+J10+J6+ ((3/2)*J9)</f>
        <v>34.288240000000087</v>
      </c>
      <c r="F7" s="20">
        <f>-89.61</f>
        <v>-89.61</v>
      </c>
      <c r="G7" s="19">
        <f>F7/MW_CaSiO3</f>
        <v>-771.42466062394067</v>
      </c>
      <c r="I7" s="13" t="s">
        <v>16</v>
      </c>
      <c r="J7" s="13">
        <v>376.8</v>
      </c>
      <c r="Q7" s="39" t="s">
        <v>67</v>
      </c>
      <c r="R7" s="13">
        <f>73347.52/1000</f>
        <v>73.347520000000003</v>
      </c>
      <c r="S7" s="13">
        <f>256/1000</f>
        <v>0.25600000000000001</v>
      </c>
      <c r="T7" s="13">
        <f>8669/1000</f>
        <v>8.6690000000000005</v>
      </c>
      <c r="U7" s="13">
        <f>191.502/1000</f>
        <v>0.19150200000000001</v>
      </c>
      <c r="AA7" s="61" t="s">
        <v>492</v>
      </c>
      <c r="AB7" s="13">
        <v>42600</v>
      </c>
    </row>
    <row r="8" spans="2:34" ht="18" x14ac:dyDescent="0.25">
      <c r="B8" s="7" t="s">
        <v>64</v>
      </c>
      <c r="C8" s="13">
        <v>-394.4</v>
      </c>
      <c r="D8" s="15">
        <f>MW_C+(2*MW_O)</f>
        <v>4.4009800000000002E-2</v>
      </c>
      <c r="E8" s="35">
        <f>C8+J5+J9</f>
        <v>19.900000000000034</v>
      </c>
      <c r="F8" s="19">
        <v>-393.5</v>
      </c>
      <c r="G8" s="19">
        <f>F8/MW_CO2</f>
        <v>-8941.1903712354979</v>
      </c>
      <c r="I8" s="13" t="s">
        <v>66</v>
      </c>
      <c r="J8" s="13">
        <v>236.1</v>
      </c>
      <c r="Q8" s="62"/>
    </row>
    <row r="9" spans="2:34" ht="18" x14ac:dyDescent="0.25">
      <c r="B9" s="7" t="s">
        <v>16</v>
      </c>
      <c r="C9" s="13">
        <v>0</v>
      </c>
      <c r="D9" s="21">
        <f>55.845/1000</f>
        <v>5.5844999999999999E-2</v>
      </c>
      <c r="E9" s="36">
        <f>C9+J7</f>
        <v>376.8</v>
      </c>
      <c r="F9" s="20">
        <v>0</v>
      </c>
      <c r="G9" s="19">
        <f>F9/MW_Fe</f>
        <v>0</v>
      </c>
      <c r="I9" s="20" t="s">
        <v>24</v>
      </c>
      <c r="J9" s="13">
        <v>4</v>
      </c>
      <c r="Q9" s="7"/>
    </row>
    <row r="10" spans="2:34" ht="18" x14ac:dyDescent="0.25">
      <c r="B10" s="1" t="s">
        <v>15</v>
      </c>
      <c r="C10" s="13">
        <v>-742.24159999999995</v>
      </c>
      <c r="D10" s="15">
        <f>((2*55.845)+(3*15.9994))/1000</f>
        <v>0.1596882</v>
      </c>
      <c r="E10" s="35">
        <f>C10+(2*J7)+((3/2)*J9)</f>
        <v>17.358400000000074</v>
      </c>
      <c r="F10" s="19">
        <v>-824.2</v>
      </c>
      <c r="G10" s="19">
        <f>F10/MW_Fe2O3</f>
        <v>-5161.3080991582347</v>
      </c>
      <c r="I10" s="13" t="s">
        <v>30</v>
      </c>
      <c r="J10" s="13">
        <v>854.2</v>
      </c>
    </row>
    <row r="11" spans="2:34" ht="18" x14ac:dyDescent="0.25">
      <c r="B11" s="7" t="s">
        <v>29</v>
      </c>
      <c r="C11" s="13">
        <v>231.74757600000001</v>
      </c>
      <c r="D11" s="21">
        <f>15.9994/1000</f>
        <v>1.59994E-2</v>
      </c>
      <c r="E11" s="36">
        <f>C11+(0.5*J9)</f>
        <v>233.74757600000001</v>
      </c>
      <c r="F11" s="20">
        <v>249.2</v>
      </c>
      <c r="G11" s="19">
        <f>F11/MW_O</f>
        <v>15575.584084403165</v>
      </c>
      <c r="I11" s="20" t="s">
        <v>67</v>
      </c>
      <c r="J11" s="13">
        <v>0.7</v>
      </c>
    </row>
    <row r="12" spans="2:34" ht="18" x14ac:dyDescent="0.25">
      <c r="B12" s="7" t="s">
        <v>24</v>
      </c>
      <c r="C12" s="13">
        <v>0</v>
      </c>
      <c r="D12" s="15">
        <f>2*MW_O</f>
        <v>3.1998800000000001E-2</v>
      </c>
      <c r="E12" s="35">
        <f>C12+J9</f>
        <v>4</v>
      </c>
      <c r="F12" s="19">
        <v>0</v>
      </c>
      <c r="G12" s="19">
        <f>F12/MW_O2</f>
        <v>0</v>
      </c>
      <c r="I12" s="13" t="s">
        <v>311</v>
      </c>
      <c r="J12" s="13">
        <v>794.3</v>
      </c>
      <c r="Q12" s="313" t="s">
        <v>391</v>
      </c>
      <c r="R12" s="313"/>
    </row>
    <row r="13" spans="2:34" ht="18" x14ac:dyDescent="0.25">
      <c r="B13" s="7" t="s">
        <v>30</v>
      </c>
      <c r="C13" s="13">
        <v>0</v>
      </c>
      <c r="D13" s="21">
        <f>28.0855/1000</f>
        <v>2.8085499999999999E-2</v>
      </c>
      <c r="E13" s="36">
        <f>C13+J10</f>
        <v>854.2</v>
      </c>
      <c r="F13" s="20">
        <v>0</v>
      </c>
      <c r="G13" s="19">
        <f>F13/MW_Si</f>
        <v>0</v>
      </c>
      <c r="I13" s="92" t="s">
        <v>314</v>
      </c>
      <c r="J13" s="13">
        <v>124.2</v>
      </c>
      <c r="Q13" s="128" t="s">
        <v>322</v>
      </c>
      <c r="R13" s="13" t="s">
        <v>392</v>
      </c>
      <c r="S13" s="13" t="s">
        <v>33</v>
      </c>
      <c r="T13" s="13" t="s">
        <v>34</v>
      </c>
      <c r="U13" s="13" t="s">
        <v>35</v>
      </c>
      <c r="V13" s="13" t="s">
        <v>399</v>
      </c>
    </row>
    <row r="14" spans="2:34" ht="18" x14ac:dyDescent="0.25">
      <c r="B14" s="1" t="s">
        <v>17</v>
      </c>
      <c r="C14" s="13">
        <v>-856.67399999999998</v>
      </c>
      <c r="D14" s="15">
        <f>(28.0855+(2*15.9994))/1000</f>
        <v>6.00843E-2</v>
      </c>
      <c r="E14" s="35">
        <f>C14+J10+J9</f>
        <v>1.5260000000000673</v>
      </c>
      <c r="F14" s="19">
        <v>-910.7</v>
      </c>
      <c r="G14" s="19">
        <f>F14/MW_SIO2</f>
        <v>-15157.037695371337</v>
      </c>
      <c r="I14" s="13" t="s">
        <v>312</v>
      </c>
      <c r="J14" s="13">
        <v>629.6</v>
      </c>
      <c r="Q14" s="13" t="s">
        <v>98</v>
      </c>
      <c r="R14" s="13" t="s">
        <v>346</v>
      </c>
      <c r="S14" s="13" t="s">
        <v>98</v>
      </c>
      <c r="T14" s="13" t="s">
        <v>98</v>
      </c>
      <c r="U14" s="13" t="s">
        <v>98</v>
      </c>
      <c r="V14" s="13" t="s">
        <v>346</v>
      </c>
    </row>
    <row r="15" spans="2:34" ht="16" x14ac:dyDescent="0.2">
      <c r="B15" s="7" t="s">
        <v>10</v>
      </c>
      <c r="C15" s="13" t="s">
        <v>69</v>
      </c>
      <c r="D15" s="13">
        <v>4.7226465048321509E-2</v>
      </c>
      <c r="E15" s="13">
        <f>0+J7+J5</f>
        <v>787.1</v>
      </c>
      <c r="F15" s="13"/>
      <c r="G15" s="19">
        <f>F15/MW_FeC</f>
        <v>0</v>
      </c>
      <c r="I15" s="13" t="s">
        <v>313</v>
      </c>
      <c r="J15" s="13">
        <v>336.6</v>
      </c>
      <c r="Q15" s="13">
        <v>1.0437000000000001</v>
      </c>
      <c r="R15" s="13">
        <v>30080</v>
      </c>
      <c r="S15" s="13">
        <v>0.18820000000000001</v>
      </c>
      <c r="T15" s="13">
        <v>6.0999999999999999E-2</v>
      </c>
      <c r="U15" s="13">
        <v>4.0399999999999998E-2</v>
      </c>
      <c r="V15" s="13">
        <v>2442</v>
      </c>
    </row>
    <row r="16" spans="2:34" ht="16" x14ac:dyDescent="0.2">
      <c r="B16" s="67" t="s">
        <v>122</v>
      </c>
      <c r="C16" s="13">
        <v>-137.27704</v>
      </c>
      <c r="D16" s="13">
        <f>MW_C + MW_O</f>
        <v>2.8010399999999998E-2</v>
      </c>
      <c r="E16" s="13">
        <f>C16+J5+(0.5*J9)</f>
        <v>275.02296000000001</v>
      </c>
      <c r="F16" s="13">
        <v>-110.5</v>
      </c>
      <c r="G16" s="19">
        <f>F16/MW_CO</f>
        <v>-3944.9632993459577</v>
      </c>
      <c r="I16" s="13" t="s">
        <v>180</v>
      </c>
      <c r="J16" s="13">
        <v>607.29999999999995</v>
      </c>
    </row>
    <row r="17" spans="2:10" ht="16" x14ac:dyDescent="0.2">
      <c r="B17" s="67" t="s">
        <v>123</v>
      </c>
      <c r="C17" s="13">
        <v>-603.54200000000003</v>
      </c>
      <c r="D17" s="13">
        <f>(40.078+15.9994)/1000</f>
        <v>5.6077400000000006E-2</v>
      </c>
      <c r="E17" s="13">
        <f>C17+(0.5*J9)+(b_ch_Ca)</f>
        <v>122.25799999999992</v>
      </c>
      <c r="F17" s="13">
        <v>-634.9</v>
      </c>
      <c r="G17" s="19">
        <f>F17/MW_CaO</f>
        <v>-11321.85158370395</v>
      </c>
      <c r="I17" s="13" t="s">
        <v>318</v>
      </c>
      <c r="J17" s="13">
        <v>366.5</v>
      </c>
    </row>
    <row r="18" spans="2:10" ht="17" x14ac:dyDescent="0.25">
      <c r="B18" s="3" t="s">
        <v>65</v>
      </c>
      <c r="C18" s="13">
        <v>-50.7</v>
      </c>
      <c r="D18" s="13">
        <f>MW_C + (4*MW_H)</f>
        <v>1.604276E-2</v>
      </c>
      <c r="E18" s="13">
        <f>C18+J5+(2*J8)</f>
        <v>831.8</v>
      </c>
      <c r="F18" s="13">
        <v>-74.599999999999994</v>
      </c>
      <c r="G18" s="19">
        <f>MW_CH4</f>
        <v>1.604276E-2</v>
      </c>
      <c r="I18" s="13" t="s">
        <v>181</v>
      </c>
      <c r="J18" s="13">
        <v>861.6</v>
      </c>
    </row>
    <row r="19" spans="2:10" ht="18" x14ac:dyDescent="0.25">
      <c r="B19" s="7" t="s">
        <v>67</v>
      </c>
      <c r="C19" s="13">
        <v>0</v>
      </c>
      <c r="D19" s="13">
        <f>(2*14.00674)/1000</f>
        <v>2.801348E-2</v>
      </c>
      <c r="E19" s="13">
        <f>C19+J11</f>
        <v>0.7</v>
      </c>
      <c r="F19" s="13">
        <v>0</v>
      </c>
      <c r="G19" s="19">
        <f>F19/MW_N2</f>
        <v>0</v>
      </c>
    </row>
    <row r="20" spans="2:10" ht="17" x14ac:dyDescent="0.25">
      <c r="B20" s="3" t="s">
        <v>68</v>
      </c>
      <c r="C20" s="13">
        <v>-228.58865599999999</v>
      </c>
      <c r="D20" s="13">
        <f>(15.9994+(2*1.00794))/1000</f>
        <v>1.8015280000000002E-2</v>
      </c>
      <c r="E20" s="13">
        <f>b_ch_H2+(0.5*J9)+C20</f>
        <v>9.5113440000000082</v>
      </c>
      <c r="F20" s="13">
        <v>-241.8</v>
      </c>
      <c r="G20" s="19">
        <f>F20/MW_H2O</f>
        <v>-13421.939597941302</v>
      </c>
    </row>
    <row r="21" spans="2:10" ht="16" x14ac:dyDescent="0.2">
      <c r="B21" s="4" t="s">
        <v>182</v>
      </c>
      <c r="C21" s="13">
        <v>0</v>
      </c>
      <c r="D21" s="13">
        <f>1.00794/1000</f>
        <v>1.0079400000000001E-3</v>
      </c>
      <c r="E21" s="13">
        <f>C21+(0.5*b_ch_H2)</f>
        <v>118.05</v>
      </c>
      <c r="F21" s="13">
        <v>1536.3</v>
      </c>
      <c r="G21" s="19">
        <f>F21/MW_H</f>
        <v>1524197.8689207688</v>
      </c>
    </row>
    <row r="22" spans="2:10" ht="16" x14ac:dyDescent="0.2">
      <c r="B22" s="4" t="s">
        <v>180</v>
      </c>
      <c r="C22" s="13">
        <v>0</v>
      </c>
      <c r="D22" s="13">
        <f>32.066/1000</f>
        <v>3.2066000000000004E-2</v>
      </c>
      <c r="E22" s="13">
        <f>C22+J16</f>
        <v>607.29999999999995</v>
      </c>
      <c r="F22" s="13">
        <v>0</v>
      </c>
      <c r="G22" s="19">
        <f>F22/MW_S</f>
        <v>0</v>
      </c>
    </row>
    <row r="23" spans="2:10" ht="16" x14ac:dyDescent="0.2">
      <c r="B23" s="4" t="s">
        <v>183</v>
      </c>
      <c r="C23" s="13">
        <v>-131.05000000000001</v>
      </c>
      <c r="D23" s="13">
        <f>35.4527/1000</f>
        <v>3.5452699999999997E-2</v>
      </c>
      <c r="E23" s="13">
        <f>C23+(0.5*J13)</f>
        <v>-68.950000000000017</v>
      </c>
      <c r="F23" s="13">
        <v>121.3</v>
      </c>
      <c r="G23" s="19">
        <f>F23/MW_Cl</f>
        <v>3421.4601426689646</v>
      </c>
    </row>
    <row r="24" spans="2:10" ht="17" x14ac:dyDescent="0.25">
      <c r="B24" s="4" t="s">
        <v>307</v>
      </c>
      <c r="C24" s="13">
        <v>-1562.7239999999999</v>
      </c>
      <c r="D24" s="13">
        <f>((2*26.981539)+(3*15.9994))/1000</f>
        <v>0.10196127799999999</v>
      </c>
      <c r="E24" s="13">
        <f>C24+(2*J12)+(1.5*J9)</f>
        <v>31.875999999999976</v>
      </c>
      <c r="F24" s="13">
        <v>-1675.7</v>
      </c>
      <c r="G24" s="19">
        <f>F24/MW_Al2O3</f>
        <v>-16434.670424590011</v>
      </c>
    </row>
    <row r="25" spans="2:10" ht="16" x14ac:dyDescent="0.2">
      <c r="B25" s="4" t="s">
        <v>179</v>
      </c>
      <c r="C25" s="13">
        <v>-569.024</v>
      </c>
      <c r="D25" s="13">
        <f>(15.9994+24.305)/1000</f>
        <v>4.0304400000000004E-2</v>
      </c>
      <c r="E25" s="13">
        <f>C25+(J14)+(0.5*J9)</f>
        <v>62.576000000000022</v>
      </c>
      <c r="F25" s="13">
        <v>-601.6</v>
      </c>
      <c r="G25" s="19">
        <f>F25/MW_MgO</f>
        <v>-14926.410019749705</v>
      </c>
    </row>
    <row r="26" spans="2:10" ht="17" x14ac:dyDescent="0.25">
      <c r="B26" s="4" t="s">
        <v>308</v>
      </c>
      <c r="C26" s="13">
        <v>-376.56</v>
      </c>
      <c r="D26" s="13">
        <f>((22.989768*2)+15.9994)/1000</f>
        <v>6.1978936000000005E-2</v>
      </c>
      <c r="E26" s="13">
        <f>C26+(2*J15)+(0.5*J9)</f>
        <v>298.64000000000004</v>
      </c>
      <c r="F26" s="13">
        <v>-414.2</v>
      </c>
      <c r="G26" s="19">
        <f>F26/MW_Na2O</f>
        <v>-6682.9156279804474</v>
      </c>
    </row>
    <row r="27" spans="2:10" ht="17" x14ac:dyDescent="0.25">
      <c r="B27" s="4" t="s">
        <v>315</v>
      </c>
      <c r="C27" s="13">
        <v>-322.16800000000001</v>
      </c>
      <c r="D27" s="13">
        <f>(15.9994+(2*39.0983))/1000</f>
        <v>9.4196000000000002E-2</v>
      </c>
      <c r="E27" s="13">
        <f>C27+(2*J17)+(0.5*J9)</f>
        <v>412.83199999999999</v>
      </c>
      <c r="F27" s="13">
        <v>-284.89999999999998</v>
      </c>
      <c r="G27" s="19">
        <f>F27/MW_K2O</f>
        <v>-3024.5445666482651</v>
      </c>
    </row>
    <row r="28" spans="2:10" ht="16" x14ac:dyDescent="0.2">
      <c r="B28" s="4" t="s">
        <v>181</v>
      </c>
      <c r="C28" s="13">
        <f>12.00808</f>
        <v>12.00808</v>
      </c>
      <c r="D28" s="13">
        <f>30.973762/1000</f>
        <v>3.0973762000000002E-2</v>
      </c>
      <c r="E28" s="13">
        <f>C28+J18</f>
        <v>873.60807999999997</v>
      </c>
      <c r="F28" s="13">
        <v>0</v>
      </c>
      <c r="G28" s="19">
        <f>F28/MW_P</f>
        <v>0</v>
      </c>
    </row>
    <row r="29" spans="2:10" ht="17" x14ac:dyDescent="0.25">
      <c r="B29" s="4" t="s">
        <v>323</v>
      </c>
      <c r="C29" s="13">
        <v>-1012.1096</v>
      </c>
      <c r="D29" s="13">
        <f>(12.011+(3*15.9994)+24.305)/1000</f>
        <v>8.4314200000000006E-2</v>
      </c>
      <c r="E29" s="13">
        <f>C29+J14+J5+((3/2)*J9)</f>
        <v>33.790400000000034</v>
      </c>
      <c r="F29" s="13">
        <v>-1095.8</v>
      </c>
      <c r="G29" s="19">
        <f>F29/MW_MgCO3</f>
        <v>-12996.624530624733</v>
      </c>
    </row>
    <row r="30" spans="2:10" ht="16" x14ac:dyDescent="0.2">
      <c r="B30" s="4" t="s">
        <v>363</v>
      </c>
      <c r="C30" s="19">
        <v>455.579024</v>
      </c>
      <c r="D30" s="13">
        <f>MW_N2/2</f>
        <v>1.400674E-2</v>
      </c>
      <c r="E30" s="13">
        <f>C30+(0.5*b_ch_N2)</f>
        <v>455.92902400000003</v>
      </c>
      <c r="F30" s="13">
        <v>427.7</v>
      </c>
      <c r="G30" s="19">
        <f>F30/D30</f>
        <v>30535.299434415145</v>
      </c>
    </row>
    <row r="31" spans="2:10" ht="17" x14ac:dyDescent="0.25">
      <c r="B31" s="4" t="s">
        <v>367</v>
      </c>
      <c r="C31" s="19">
        <v>-31.95</v>
      </c>
      <c r="D31" s="13">
        <f>((2*12.011)+(6*1.00794))/1000</f>
        <v>3.0069639999999998E-2</v>
      </c>
      <c r="E31" s="13">
        <f>C31+(2*b_ch_C)+(3*b_ch_H2)</f>
        <v>1496.9499999999998</v>
      </c>
      <c r="F31" s="13">
        <v>-84.68</v>
      </c>
      <c r="G31" s="19">
        <f>F31/MW_C2H6</f>
        <v>-2816.1294914072805</v>
      </c>
    </row>
    <row r="32" spans="2:10" ht="17" x14ac:dyDescent="0.25">
      <c r="B32" s="3" t="s">
        <v>66</v>
      </c>
      <c r="C32" s="19">
        <v>0</v>
      </c>
      <c r="D32" s="13">
        <f>MW_H*2</f>
        <v>2.0158800000000003E-3</v>
      </c>
      <c r="E32" s="13">
        <f>b_ch_H2</f>
        <v>236.1</v>
      </c>
      <c r="F32" s="13">
        <v>0</v>
      </c>
      <c r="G32" s="19">
        <f>F32/D32</f>
        <v>0</v>
      </c>
    </row>
    <row r="33" spans="2:7" ht="17" x14ac:dyDescent="0.25">
      <c r="B33" s="3" t="s">
        <v>368</v>
      </c>
      <c r="C33" s="19">
        <v>-33.053600000000003</v>
      </c>
      <c r="D33" s="13">
        <f>((1.00794*2)+(32.066))/1000</f>
        <v>3.4081880000000002E-2</v>
      </c>
      <c r="E33" s="13">
        <f>C33+b_ch_H2+b_ch_S</f>
        <v>810.3463999999999</v>
      </c>
      <c r="F33" s="13">
        <v>-20.6</v>
      </c>
      <c r="G33" s="19">
        <f>F33/MW_H2S</f>
        <v>-604.42675110645303</v>
      </c>
    </row>
    <row r="34" spans="2:7" ht="17" x14ac:dyDescent="0.25">
      <c r="B34" s="4" t="s">
        <v>369</v>
      </c>
      <c r="C34" s="19">
        <v>129.66216</v>
      </c>
      <c r="D34" s="13">
        <f>((6*12.011)+(6*1.00794))/1000</f>
        <v>7.8113639999999998E-2</v>
      </c>
      <c r="E34" s="13">
        <f>C34+(6*b_ch_C)+(3*b_ch_H2)</f>
        <v>3299.7621600000002</v>
      </c>
      <c r="F34" s="13">
        <v>49.1</v>
      </c>
      <c r="G34" s="19">
        <f>F34/MW_C6H6</f>
        <v>628.57139931003087</v>
      </c>
    </row>
    <row r="35" spans="2:7" ht="17" x14ac:dyDescent="0.25">
      <c r="B35" s="3" t="s">
        <v>370</v>
      </c>
      <c r="C35" s="19">
        <v>-16.48</v>
      </c>
      <c r="D35" s="13">
        <f>(14.00674+(3*1.00794))/1000</f>
        <v>1.703056E-2</v>
      </c>
      <c r="E35" s="13">
        <f>C35+(0.5*b_ch_N2)+((3/2)*b_ch_H2)</f>
        <v>338.02</v>
      </c>
      <c r="F35" s="13">
        <v>-80.290000000000006</v>
      </c>
      <c r="G35" s="19">
        <f>F35/MW_NH3</f>
        <v>-4714.4662301180942</v>
      </c>
    </row>
    <row r="36" spans="2:7" ht="17" x14ac:dyDescent="0.25">
      <c r="B36" s="4" t="s">
        <v>371</v>
      </c>
      <c r="C36" s="19">
        <v>68.430000000000007</v>
      </c>
      <c r="D36" s="169">
        <f>(2*MW_C)+(4*MW_H)</f>
        <v>2.8053759999999997E-2</v>
      </c>
      <c r="E36" s="13">
        <f>C36+(2*b_ch_C)+(2*b_ch_H2)</f>
        <v>1361.23</v>
      </c>
      <c r="F36" s="13">
        <v>52.4</v>
      </c>
      <c r="G36" s="19">
        <f>F36/MW_C2H4</f>
        <v>1867.8423141853357</v>
      </c>
    </row>
    <row r="37" spans="2:7" ht="16" x14ac:dyDescent="0.2">
      <c r="B37" s="4" t="s">
        <v>372</v>
      </c>
      <c r="C37" s="13">
        <v>124.6832</v>
      </c>
      <c r="D37" s="13">
        <f>(1.00794+12.011+14.00674)/1000</f>
        <v>2.702568E-2</v>
      </c>
      <c r="E37" s="13">
        <f>C37+(0.5*b_ch_H2)+b_ch_C+(b_ch_N2*0.5)</f>
        <v>653.3832000000001</v>
      </c>
      <c r="F37" s="13">
        <v>135.1</v>
      </c>
      <c r="G37" s="19">
        <f>F37/MW_HCN</f>
        <v>4998.9491476255171</v>
      </c>
    </row>
    <row r="38" spans="2:7" ht="17" x14ac:dyDescent="0.25">
      <c r="B38" s="4" t="s">
        <v>373</v>
      </c>
      <c r="C38" s="13">
        <v>66.902159999999995</v>
      </c>
      <c r="D38" s="13">
        <f>((12.011)+(2*32.066))/1000</f>
        <v>7.6143000000000002E-2</v>
      </c>
      <c r="E38" s="13">
        <f>C38+b_ch_C + 2*b_ch_S</f>
        <v>1691.80216</v>
      </c>
      <c r="F38" s="13">
        <v>116.7</v>
      </c>
      <c r="G38" s="19">
        <f>F38/MW_CS2</f>
        <v>1532.6425278751822</v>
      </c>
    </row>
    <row r="39" spans="2:7" ht="17" x14ac:dyDescent="0.25">
      <c r="B39" s="4" t="s">
        <v>491</v>
      </c>
      <c r="C39" s="13">
        <v>7.4056800000000003</v>
      </c>
      <c r="D39" s="13">
        <f>(MW_C*8)+(MW_H*18)</f>
        <v>0.11423092</v>
      </c>
      <c r="E39" s="13">
        <f>C39+(8*J5)+(9*b_ch_H2)</f>
        <v>5414.70568</v>
      </c>
      <c r="F39" s="13">
        <v>-250.1</v>
      </c>
      <c r="G39" s="19">
        <f>F39/MW_C8H18</f>
        <v>-2189.4247196818515</v>
      </c>
    </row>
    <row r="40" spans="2:7" ht="17" x14ac:dyDescent="0.25">
      <c r="B40" s="4" t="s">
        <v>492</v>
      </c>
      <c r="C40" s="13"/>
      <c r="D40" s="13">
        <f>(MW_C*12)+(MW_H*23)</f>
        <v>0.16731462</v>
      </c>
      <c r="E40" s="13"/>
      <c r="F40" s="13"/>
      <c r="G40" s="19">
        <f>LHV_Diesel</f>
        <v>42600</v>
      </c>
    </row>
    <row r="41" spans="2:7" ht="17" x14ac:dyDescent="0.25">
      <c r="B41" s="4" t="s">
        <v>510</v>
      </c>
      <c r="C41" s="13"/>
      <c r="D41" s="13">
        <f>(10*MW_C) + (20*MW_H)</f>
        <v>0.1402688</v>
      </c>
      <c r="E41" s="13"/>
      <c r="F41" s="13"/>
      <c r="G41" s="19">
        <f>LHV_Oil</f>
        <v>39500</v>
      </c>
    </row>
    <row r="42" spans="2:7" x14ac:dyDescent="0.2">
      <c r="B42" s="4"/>
    </row>
    <row r="43" spans="2:7" x14ac:dyDescent="0.2">
      <c r="B43" s="3" t="s">
        <v>107</v>
      </c>
    </row>
    <row r="44" spans="2:7" ht="17" x14ac:dyDescent="0.25">
      <c r="B44" s="13" t="s">
        <v>54</v>
      </c>
      <c r="C44" s="3" t="s">
        <v>124</v>
      </c>
    </row>
    <row r="45" spans="2:7" ht="17" x14ac:dyDescent="0.25">
      <c r="B45" s="13" t="s">
        <v>54</v>
      </c>
      <c r="C45" s="16" t="s">
        <v>374</v>
      </c>
    </row>
    <row r="46" spans="2:7" ht="18" x14ac:dyDescent="0.25">
      <c r="B46" s="19" t="s">
        <v>6</v>
      </c>
      <c r="C46" s="16" t="s">
        <v>362</v>
      </c>
    </row>
    <row r="47" spans="2:7" ht="18" x14ac:dyDescent="0.25">
      <c r="B47" s="19" t="s">
        <v>6</v>
      </c>
      <c r="C47" s="3" t="s">
        <v>128</v>
      </c>
    </row>
    <row r="48" spans="2:7" ht="17" x14ac:dyDescent="0.25">
      <c r="B48" s="13" t="s">
        <v>172</v>
      </c>
      <c r="C48" s="3" t="s">
        <v>173</v>
      </c>
    </row>
    <row r="49" spans="2:3" x14ac:dyDescent="0.2">
      <c r="B49" s="13" t="s">
        <v>345</v>
      </c>
      <c r="C49" s="16" t="s">
        <v>347</v>
      </c>
    </row>
    <row r="50" spans="2:3" x14ac:dyDescent="0.2">
      <c r="B50" s="13" t="s">
        <v>5</v>
      </c>
      <c r="C50" s="16" t="s">
        <v>359</v>
      </c>
    </row>
    <row r="51" spans="2:3" x14ac:dyDescent="0.2">
      <c r="B51" s="13" t="s">
        <v>392</v>
      </c>
      <c r="C51" s="16" t="s">
        <v>671</v>
      </c>
    </row>
    <row r="52" spans="2:3" x14ac:dyDescent="0.2">
      <c r="B52" s="128" t="s">
        <v>397</v>
      </c>
      <c r="C52" s="3" t="s">
        <v>400</v>
      </c>
    </row>
    <row r="53" spans="2:3" x14ac:dyDescent="0.2">
      <c r="B53" s="13" t="s">
        <v>407</v>
      </c>
      <c r="C53" s="3" t="s">
        <v>338</v>
      </c>
    </row>
    <row r="54" spans="2:3" x14ac:dyDescent="0.2">
      <c r="B54" s="13" t="s">
        <v>504</v>
      </c>
      <c r="C54" s="3" t="s">
        <v>505</v>
      </c>
    </row>
    <row r="55" spans="2:3" ht="17" x14ac:dyDescent="0.25">
      <c r="B55" s="13" t="s">
        <v>496</v>
      </c>
      <c r="C55" s="3" t="s">
        <v>495</v>
      </c>
    </row>
    <row r="56" spans="2:3" x14ac:dyDescent="0.2">
      <c r="B56" s="13" t="s">
        <v>40</v>
      </c>
      <c r="C56" s="3" t="s">
        <v>664</v>
      </c>
    </row>
    <row r="57" spans="2:3" x14ac:dyDescent="0.2">
      <c r="B57" s="13" t="s">
        <v>669</v>
      </c>
      <c r="C57" s="3" t="s">
        <v>668</v>
      </c>
    </row>
  </sheetData>
  <sortState xmlns:xlrd2="http://schemas.microsoft.com/office/spreadsheetml/2017/richdata2" ref="I6:I10">
    <sortCondition ref="I5:I10"/>
  </sortState>
  <mergeCells count="4">
    <mergeCell ref="R2:S2"/>
    <mergeCell ref="T2:U2"/>
    <mergeCell ref="W2:X2"/>
    <mergeCell ref="Q12:R12"/>
  </mergeCells>
  <hyperlinks>
    <hyperlink ref="C46" r:id="rId1" xr:uid="{EFF8D2A8-239F-2043-B8CA-C9000BCE2862}"/>
    <hyperlink ref="C50" r:id="rId2" xr:uid="{A42C34EB-8A73-004F-8263-89538BA10B3D}"/>
    <hyperlink ref="C45" r:id="rId3" xr:uid="{12EAAE34-9BE8-0946-91A8-7A77554A47C1}"/>
    <hyperlink ref="C49" r:id="rId4" xr:uid="{86248BC1-AC01-E24C-A388-A2BFA867ED1B}"/>
    <hyperlink ref="C51" r:id="rId5" xr:uid="{23C4C4A0-D85C-D748-BD36-D0E8645E3FB7}"/>
  </hyperlink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25204-1A1E-4664-8737-A74D6BA8F9BE}">
  <dimension ref="A1:AS291"/>
  <sheetViews>
    <sheetView topLeftCell="A74" zoomScale="125" workbookViewId="0">
      <selection activeCell="N91" sqref="N91"/>
    </sheetView>
  </sheetViews>
  <sheetFormatPr baseColWidth="10" defaultColWidth="8.83203125" defaultRowHeight="15" x14ac:dyDescent="0.2"/>
  <cols>
    <col min="1" max="1" width="12.1640625" style="3" customWidth="1"/>
    <col min="2" max="2" width="8.83203125" style="3"/>
    <col min="3" max="3" width="10.1640625" style="3" customWidth="1"/>
    <col min="4" max="4" width="11" style="3" bestFit="1" customWidth="1"/>
    <col min="5" max="5" width="13.1640625" style="3" bestFit="1" customWidth="1"/>
    <col min="6" max="6" width="13" style="3" bestFit="1" customWidth="1"/>
    <col min="7" max="7" width="9.83203125" style="3" customWidth="1"/>
    <col min="8" max="8" width="11.33203125" style="3" customWidth="1"/>
    <col min="9" max="9" width="11.6640625" style="3" bestFit="1" customWidth="1"/>
    <col min="10" max="10" width="9.6640625" style="3" bestFit="1" customWidth="1"/>
    <col min="11" max="11" width="12.83203125" style="3" customWidth="1"/>
    <col min="12" max="12" width="18.33203125" style="3" bestFit="1" customWidth="1"/>
    <col min="13" max="13" width="16.6640625" style="3" customWidth="1"/>
    <col min="14" max="14" width="14.6640625" style="3" bestFit="1" customWidth="1"/>
    <col min="15" max="15" width="13.33203125" style="3" bestFit="1" customWidth="1"/>
    <col min="16" max="16" width="10.83203125" style="3" customWidth="1"/>
    <col min="17" max="20" width="8.83203125" style="3"/>
    <col min="21" max="21" width="13.33203125" style="3" bestFit="1" customWidth="1"/>
    <col min="22" max="32" width="8.83203125" style="3"/>
    <col min="33" max="33" width="9.6640625" style="3" customWidth="1"/>
    <col min="34" max="16384" width="8.83203125" style="3"/>
  </cols>
  <sheetData>
    <row r="1" spans="1:28" x14ac:dyDescent="0.2">
      <c r="A1" s="25" t="s">
        <v>51</v>
      </c>
    </row>
    <row r="2" spans="1:28" x14ac:dyDescent="0.2">
      <c r="A2" s="16" t="s">
        <v>126</v>
      </c>
      <c r="B2" s="3" t="s">
        <v>127</v>
      </c>
      <c r="C2" s="3" t="s">
        <v>174</v>
      </c>
    </row>
    <row r="10" spans="1:28" ht="17" x14ac:dyDescent="0.25">
      <c r="B10" s="13"/>
      <c r="C10" s="13" t="s">
        <v>47</v>
      </c>
      <c r="D10" s="13" t="s">
        <v>1</v>
      </c>
      <c r="E10" s="13" t="s">
        <v>47</v>
      </c>
      <c r="F10" s="13" t="s">
        <v>5</v>
      </c>
      <c r="G10" s="13" t="s">
        <v>32</v>
      </c>
      <c r="H10" s="13" t="s">
        <v>39</v>
      </c>
      <c r="I10" s="13" t="s">
        <v>118</v>
      </c>
      <c r="J10" s="13" t="s">
        <v>120</v>
      </c>
      <c r="O10" s="312" t="s">
        <v>125</v>
      </c>
      <c r="P10" s="312"/>
      <c r="Q10" s="312"/>
      <c r="R10" s="312"/>
      <c r="S10" s="312"/>
      <c r="T10" s="312"/>
      <c r="U10" s="312"/>
      <c r="V10" s="312" t="s">
        <v>125</v>
      </c>
      <c r="W10" s="312"/>
      <c r="X10" s="312"/>
      <c r="Y10" s="312"/>
      <c r="Z10" s="312"/>
      <c r="AA10" s="312"/>
      <c r="AB10" s="312"/>
    </row>
    <row r="11" spans="1:28" ht="18" x14ac:dyDescent="0.25">
      <c r="B11" s="13"/>
      <c r="C11" s="13" t="s">
        <v>240</v>
      </c>
      <c r="D11" s="13" t="s">
        <v>45</v>
      </c>
      <c r="E11" s="13" t="s">
        <v>11</v>
      </c>
      <c r="F11" s="13" t="s">
        <v>12</v>
      </c>
      <c r="G11" s="13" t="s">
        <v>13</v>
      </c>
      <c r="H11" s="13" t="s">
        <v>117</v>
      </c>
      <c r="I11" s="13" t="s">
        <v>119</v>
      </c>
      <c r="J11" s="13" t="s">
        <v>116</v>
      </c>
      <c r="O11" s="312" t="s">
        <v>306</v>
      </c>
      <c r="P11" s="312"/>
      <c r="Q11" s="312"/>
      <c r="R11" s="310"/>
      <c r="S11" s="311"/>
      <c r="T11" s="328" t="s">
        <v>305</v>
      </c>
      <c r="U11" s="317"/>
      <c r="V11" s="312" t="str">
        <f>_xlfn.CONCAT(E19," ",C19," ","+"," ",E21," ",C21," ","--&gt;"," ",E22," ",C22," ","+"," ",E20*E21," ",C20)</f>
        <v>1.5 C + 1.5 O2 --&gt; 1.5 CO2 + 5.64 N2</v>
      </c>
      <c r="W11" s="312"/>
      <c r="X11" s="312"/>
      <c r="Y11" s="312"/>
      <c r="Z11" s="312"/>
      <c r="AA11" s="312"/>
      <c r="AB11" s="312"/>
    </row>
    <row r="12" spans="1:28" ht="18" x14ac:dyDescent="0.25">
      <c r="B12" s="19" t="s">
        <v>15</v>
      </c>
      <c r="C12" s="19">
        <v>0.88105999999999995</v>
      </c>
      <c r="D12" s="19">
        <f>C12*D14</f>
        <v>0.88105999999999995</v>
      </c>
      <c r="E12" s="13">
        <f>D12*kg_to_ton</f>
        <v>881.06</v>
      </c>
      <c r="F12" s="13">
        <f>MW_Fe2O3</f>
        <v>0.1596882</v>
      </c>
      <c r="G12" s="13">
        <f>E12/F12</f>
        <v>5517.3769884061558</v>
      </c>
      <c r="H12" s="13">
        <f>G12/$F$14</f>
        <v>0.73595160775903656</v>
      </c>
      <c r="I12" s="13">
        <f>(F12*H12)+(F13*H13)</f>
        <v>0.13338795034407031</v>
      </c>
      <c r="J12" s="13">
        <f>(E12+E13)/I12</f>
        <v>7496.929051091417</v>
      </c>
      <c r="N12" s="4"/>
      <c r="O12" s="312" t="s">
        <v>225</v>
      </c>
      <c r="P12" s="312"/>
      <c r="Q12" s="312"/>
      <c r="R12" s="310"/>
      <c r="S12" s="311"/>
      <c r="T12" s="312" t="s">
        <v>224</v>
      </c>
      <c r="U12" s="312"/>
      <c r="V12" s="312" t="str">
        <f>_xlfn.CONCAT(E25," ",C25," ","+"," ",E26," ",C26," ","--&gt;"," ",E27," ",C27)</f>
        <v>1.5 CO2 + 1.5 C --&gt; 3 CO</v>
      </c>
      <c r="W12" s="312"/>
      <c r="X12" s="312"/>
      <c r="Y12" s="312"/>
      <c r="Z12" s="312"/>
      <c r="AA12" s="312"/>
      <c r="AB12" s="312"/>
    </row>
    <row r="13" spans="1:28" ht="18" x14ac:dyDescent="0.25">
      <c r="B13" s="19" t="s">
        <v>17</v>
      </c>
      <c r="C13" s="19">
        <v>0.11894</v>
      </c>
      <c r="D13" s="19">
        <f>C13*D14</f>
        <v>0.11894</v>
      </c>
      <c r="E13" s="13">
        <f>D13*kg_to_ton</f>
        <v>118.94</v>
      </c>
      <c r="F13" s="13">
        <f>MW_SIO2</f>
        <v>6.00843E-2</v>
      </c>
      <c r="G13" s="13">
        <f>E13/F13</f>
        <v>1979.5520626852606</v>
      </c>
      <c r="H13" s="13">
        <f>G13/$F$14</f>
        <v>0.26404839224096349</v>
      </c>
      <c r="I13" s="13"/>
      <c r="J13" s="13"/>
      <c r="O13" s="312" t="s">
        <v>226</v>
      </c>
      <c r="P13" s="312"/>
      <c r="Q13" s="312"/>
      <c r="R13" s="310"/>
      <c r="S13" s="311"/>
      <c r="T13" s="328" t="s">
        <v>227</v>
      </c>
      <c r="U13" s="317"/>
      <c r="V13" s="312" t="str">
        <f>_xlfn.CONCAT(E29," ",C29," ","+"," ",E30," ",C30," ","--&gt;"," ",E31," ",C31," ","+"," ",E32," ",C32)</f>
        <v>1 Fe2O3 + 3 CO --&gt; 2 Fe + 3 CO2</v>
      </c>
      <c r="W13" s="312"/>
      <c r="X13" s="312"/>
      <c r="Y13" s="312"/>
      <c r="Z13" s="312"/>
      <c r="AA13" s="312"/>
      <c r="AB13" s="312"/>
    </row>
    <row r="14" spans="1:28" x14ac:dyDescent="0.2">
      <c r="B14" s="3" t="s">
        <v>19</v>
      </c>
      <c r="D14" s="14">
        <v>1</v>
      </c>
      <c r="F14" s="3">
        <f>SUM(G12:G13)</f>
        <v>7496.9290510914161</v>
      </c>
      <c r="G14" s="3">
        <f>SUM(G12:G13)</f>
        <v>7496.9290510914161</v>
      </c>
      <c r="O14" s="312"/>
      <c r="P14" s="312"/>
      <c r="Q14" s="312"/>
      <c r="R14" s="310"/>
      <c r="S14" s="311"/>
      <c r="T14" s="312"/>
      <c r="U14" s="312"/>
      <c r="V14" s="312" t="str">
        <f>_xlfn.CONCAT(E36," ",C36," ","--&gt;"," ",E37," ",C37," ","+"," ",E39," ",C39)</f>
        <v>1 CaCO3 --&gt; 1 CaO + 0.0624775822865075 MgO</v>
      </c>
      <c r="W14" s="312"/>
      <c r="X14" s="312"/>
      <c r="Y14" s="312"/>
      <c r="Z14" s="312"/>
      <c r="AA14" s="312"/>
      <c r="AB14" s="312"/>
    </row>
    <row r="15" spans="1:28" ht="17" x14ac:dyDescent="0.25">
      <c r="O15" s="312" t="s">
        <v>228</v>
      </c>
      <c r="P15" s="312"/>
      <c r="Q15" s="312"/>
      <c r="R15" s="310"/>
      <c r="S15" s="311"/>
      <c r="T15" s="312" t="s">
        <v>229</v>
      </c>
      <c r="U15" s="312"/>
      <c r="V15" s="312" t="str">
        <f>_xlfn.CONCAT(E41," ",C41," ","+"," ",E42," ",C42," ","--&gt;"," ",E43," ",C43)</f>
        <v>1 CaO + 1 SiO2 --&gt; 1 CaSiO3</v>
      </c>
      <c r="W15" s="312"/>
      <c r="X15" s="312"/>
      <c r="Y15" s="312"/>
      <c r="Z15" s="312"/>
      <c r="AA15" s="312"/>
      <c r="AB15" s="312"/>
    </row>
    <row r="16" spans="1:28" x14ac:dyDescent="0.2">
      <c r="L16" s="77" t="s">
        <v>413</v>
      </c>
      <c r="M16" s="83" t="s">
        <v>414</v>
      </c>
    </row>
    <row r="17" spans="1:28" x14ac:dyDescent="0.2">
      <c r="D17" s="3" t="s">
        <v>44</v>
      </c>
      <c r="E17" s="3" t="s">
        <v>121</v>
      </c>
      <c r="F17" s="3" t="s">
        <v>39</v>
      </c>
      <c r="G17" s="3" t="s">
        <v>32</v>
      </c>
      <c r="H17" s="28" t="s">
        <v>5</v>
      </c>
      <c r="I17" s="3" t="s">
        <v>1</v>
      </c>
      <c r="J17" s="3" t="s">
        <v>1</v>
      </c>
      <c r="L17" s="3" t="s">
        <v>1</v>
      </c>
      <c r="M17" s="3" t="s">
        <v>1</v>
      </c>
      <c r="O17" s="312" t="s">
        <v>334</v>
      </c>
      <c r="P17" s="312"/>
      <c r="Q17" s="312"/>
      <c r="R17" s="312"/>
      <c r="S17" s="312"/>
      <c r="T17" s="312"/>
      <c r="U17" s="312"/>
      <c r="V17" s="312" t="s">
        <v>125</v>
      </c>
      <c r="W17" s="312"/>
      <c r="X17" s="312"/>
      <c r="Y17" s="312"/>
      <c r="Z17" s="312"/>
      <c r="AA17" s="312"/>
      <c r="AB17" s="312"/>
    </row>
    <row r="18" spans="1:28" ht="17" x14ac:dyDescent="0.25">
      <c r="C18" s="31" t="s">
        <v>41</v>
      </c>
      <c r="D18" s="31"/>
      <c r="E18" s="13"/>
      <c r="F18" s="13" t="s">
        <v>117</v>
      </c>
      <c r="G18" s="13" t="s">
        <v>76</v>
      </c>
      <c r="H18" s="37" t="s">
        <v>12</v>
      </c>
      <c r="I18" s="13" t="s">
        <v>115</v>
      </c>
      <c r="J18" s="13" t="s">
        <v>45</v>
      </c>
      <c r="L18" s="13" t="s">
        <v>11</v>
      </c>
      <c r="M18" s="13" t="s">
        <v>11</v>
      </c>
      <c r="O18" s="312" t="s">
        <v>335</v>
      </c>
      <c r="P18" s="312"/>
      <c r="Q18" s="312"/>
      <c r="R18" s="312"/>
      <c r="S18" s="312"/>
      <c r="T18" s="312" t="s">
        <v>336</v>
      </c>
      <c r="U18" s="310"/>
      <c r="V18" s="327" t="str">
        <f>_xlfn.CONCAT(E36," ",C36," ","+"," ",E35," ",C35," ","--&gt;"," ",E37," ",C37," ","+"," ",E38," ",C38," ","+"," ",E39," ",C39)</f>
        <v>1 CaCO3 + 0.0624775822865075 MgCO3 --&gt; 1 CaO + 1.06247758228651 CO2 + 0.0624775822865075 MgO</v>
      </c>
      <c r="W18" s="327"/>
      <c r="X18" s="327"/>
      <c r="Y18" s="327"/>
      <c r="Z18" s="327"/>
      <c r="AA18" s="327"/>
      <c r="AB18" s="327"/>
    </row>
    <row r="19" spans="1:28" ht="16" x14ac:dyDescent="0.2">
      <c r="B19" s="329" t="s">
        <v>113</v>
      </c>
      <c r="C19" s="87" t="s">
        <v>18</v>
      </c>
      <c r="D19" s="17" t="s">
        <v>33</v>
      </c>
      <c r="E19" s="3">
        <f>E22</f>
        <v>1.5</v>
      </c>
      <c r="F19" s="3">
        <f>F22</f>
        <v>1.1039274116385549</v>
      </c>
      <c r="G19" s="3">
        <f>F19*$J$12</f>
        <v>8276.0654826092359</v>
      </c>
      <c r="H19" s="3">
        <f>MW_C</f>
        <v>1.2010999999999999E-2</v>
      </c>
      <c r="I19" s="3">
        <f>G19*H19</f>
        <v>99.403822511619524</v>
      </c>
      <c r="J19" s="3">
        <f>I19/kg_to_ton</f>
        <v>9.9403822511619527E-2</v>
      </c>
      <c r="L19" s="19">
        <f>I19+I21+I26+I29+I42+I20+Quicklime_for_BF</f>
        <v>2446.3635867610551</v>
      </c>
      <c r="M19" s="13">
        <f>I31+I32+I43+I23</f>
        <v>2446.3635867610556</v>
      </c>
      <c r="O19" s="1"/>
      <c r="V19" s="327"/>
      <c r="W19" s="327"/>
      <c r="X19" s="327"/>
      <c r="Y19" s="327"/>
      <c r="Z19" s="327"/>
      <c r="AA19" s="327"/>
      <c r="AB19" s="327"/>
    </row>
    <row r="20" spans="1:28" ht="18" x14ac:dyDescent="0.25">
      <c r="A20" s="1"/>
      <c r="B20" s="330"/>
      <c r="C20" s="91" t="s">
        <v>304</v>
      </c>
      <c r="E20" s="3">
        <v>3.76</v>
      </c>
      <c r="F20" s="3">
        <f>F21*E20</f>
        <v>4.1507670677609658</v>
      </c>
      <c r="G20" s="3">
        <f>F20*J12</f>
        <v>31118.006214610719</v>
      </c>
      <c r="H20" s="3">
        <f>MW_N2</f>
        <v>2.801348E-2</v>
      </c>
      <c r="I20" s="3">
        <f>G20*H20</f>
        <v>871.72364473287314</v>
      </c>
      <c r="J20" s="3">
        <f>I20/kg_to_ton</f>
        <v>0.87172364473287312</v>
      </c>
      <c r="L20" s="1"/>
    </row>
    <row r="21" spans="1:28" ht="17" x14ac:dyDescent="0.25">
      <c r="A21" s="1"/>
      <c r="B21" s="331"/>
      <c r="C21" s="88" t="s">
        <v>27</v>
      </c>
      <c r="D21" s="3" t="s">
        <v>34</v>
      </c>
      <c r="E21" s="3">
        <f>E22</f>
        <v>1.5</v>
      </c>
      <c r="F21" s="3">
        <f>F22</f>
        <v>1.1039274116385549</v>
      </c>
      <c r="G21" s="3">
        <f t="shared" ref="G21:G22" si="0">F21*$J$12</f>
        <v>8276.0654826092359</v>
      </c>
      <c r="H21" s="3">
        <f>MW_O2</f>
        <v>3.1998800000000001E-2</v>
      </c>
      <c r="I21" s="3">
        <f t="shared" ref="I21:I27" si="1">G21*H21</f>
        <v>264.82416416491645</v>
      </c>
      <c r="J21" s="3">
        <f>I21/kg_to_ton</f>
        <v>0.26482416416491644</v>
      </c>
      <c r="L21" s="77" t="s">
        <v>287</v>
      </c>
      <c r="M21" s="83" t="s">
        <v>23</v>
      </c>
    </row>
    <row r="22" spans="1:28" ht="17" x14ac:dyDescent="0.25">
      <c r="B22" s="332" t="s">
        <v>114</v>
      </c>
      <c r="C22" s="31" t="s">
        <v>23</v>
      </c>
      <c r="D22" s="3" t="s">
        <v>35</v>
      </c>
      <c r="E22" s="3">
        <f>E25</f>
        <v>1.5</v>
      </c>
      <c r="F22" s="3">
        <f>F25</f>
        <v>1.1039274116385549</v>
      </c>
      <c r="G22" s="3">
        <f t="shared" si="0"/>
        <v>8276.0654826092359</v>
      </c>
      <c r="H22" s="3">
        <f>MW_CO2</f>
        <v>4.4009800000000002E-2</v>
      </c>
      <c r="I22" s="3">
        <f t="shared" si="1"/>
        <v>364.22798667653598</v>
      </c>
      <c r="J22" s="3">
        <f>I22/kg_to_ton</f>
        <v>0.364227986676536</v>
      </c>
      <c r="L22" s="19" t="s">
        <v>11</v>
      </c>
      <c r="M22" s="13" t="s">
        <v>11</v>
      </c>
    </row>
    <row r="23" spans="1:28" ht="18" x14ac:dyDescent="0.25">
      <c r="B23" s="333"/>
      <c r="C23" s="93" t="s">
        <v>304</v>
      </c>
      <c r="E23" s="3">
        <f>E21*E20</f>
        <v>5.64</v>
      </c>
      <c r="F23" s="3">
        <f>F21*E20</f>
        <v>4.1507670677609658</v>
      </c>
      <c r="G23" s="3">
        <f>F23*J12</f>
        <v>31118.006214610719</v>
      </c>
      <c r="H23" s="3">
        <f>MW_N2</f>
        <v>2.801348E-2</v>
      </c>
      <c r="I23" s="3">
        <f>G23*H23</f>
        <v>871.72364473287314</v>
      </c>
      <c r="J23" s="3">
        <f>I23/kg_to_ton</f>
        <v>0.87172364473287312</v>
      </c>
      <c r="L23" s="13">
        <f>I19+I26</f>
        <v>198.80764502323905</v>
      </c>
      <c r="M23" s="13">
        <f>I32</f>
        <v>728.45597335307195</v>
      </c>
    </row>
    <row r="24" spans="1:28" x14ac:dyDescent="0.2">
      <c r="B24" s="78"/>
      <c r="C24" s="17"/>
      <c r="D24" s="17"/>
      <c r="E24" s="17"/>
      <c r="F24" s="17"/>
      <c r="G24" s="17"/>
      <c r="H24" s="17"/>
      <c r="I24" s="17"/>
      <c r="J24" s="17"/>
    </row>
    <row r="25" spans="1:28" ht="17" x14ac:dyDescent="0.25">
      <c r="B25" s="334" t="s">
        <v>113</v>
      </c>
      <c r="C25" s="31" t="s">
        <v>23</v>
      </c>
      <c r="D25" s="17" t="s">
        <v>36</v>
      </c>
      <c r="E25" s="17">
        <f>E27/2</f>
        <v>1.5</v>
      </c>
      <c r="F25" s="17">
        <f>F27/2</f>
        <v>1.1039274116385549</v>
      </c>
      <c r="G25" s="17">
        <f>F25*$J$12</f>
        <v>8276.0654826092359</v>
      </c>
      <c r="H25" s="17">
        <f>MW_CO2</f>
        <v>4.4009800000000002E-2</v>
      </c>
      <c r="I25" s="17">
        <f t="shared" si="1"/>
        <v>364.22798667653598</v>
      </c>
      <c r="J25" s="17">
        <f>I25/kg_to_ton</f>
        <v>0.364227986676536</v>
      </c>
      <c r="L25" s="77" t="s">
        <v>286</v>
      </c>
    </row>
    <row r="26" spans="1:28" x14ac:dyDescent="0.2">
      <c r="B26" s="334"/>
      <c r="C26" s="88" t="s">
        <v>18</v>
      </c>
      <c r="D26" s="3" t="s">
        <v>37</v>
      </c>
      <c r="E26" s="3">
        <f>E27-E25</f>
        <v>1.5</v>
      </c>
      <c r="F26" s="3">
        <f>F27-F25</f>
        <v>1.1039274116385549</v>
      </c>
      <c r="G26" s="3">
        <f t="shared" ref="G26:G27" si="2">F26*$J$12</f>
        <v>8276.0654826092359</v>
      </c>
      <c r="H26" s="3">
        <f>MW_C</f>
        <v>1.2010999999999999E-2</v>
      </c>
      <c r="I26" s="3">
        <f t="shared" si="1"/>
        <v>99.403822511619524</v>
      </c>
      <c r="J26" s="3">
        <f>I26/kg_to_ton</f>
        <v>9.9403822511619527E-2</v>
      </c>
      <c r="L26" s="13" t="s">
        <v>11</v>
      </c>
    </row>
    <row r="27" spans="1:28" ht="16" x14ac:dyDescent="0.2">
      <c r="B27" s="82" t="s">
        <v>114</v>
      </c>
      <c r="C27" s="79" t="s">
        <v>122</v>
      </c>
      <c r="D27" s="3" t="s">
        <v>38</v>
      </c>
      <c r="E27" s="3">
        <f>E30</f>
        <v>3</v>
      </c>
      <c r="F27" s="3">
        <f>F30</f>
        <v>2.2078548232771098</v>
      </c>
      <c r="G27" s="3">
        <f t="shared" si="2"/>
        <v>16552.130965218472</v>
      </c>
      <c r="H27" s="3">
        <f>MW_CO</f>
        <v>2.8010399999999998E-2</v>
      </c>
      <c r="I27" s="3">
        <f t="shared" si="1"/>
        <v>463.63180918815544</v>
      </c>
      <c r="J27" s="3">
        <f>I27/kg_to_ton</f>
        <v>0.46363180918815544</v>
      </c>
      <c r="L27" s="13">
        <f>I36</f>
        <v>198.12782320839224</v>
      </c>
    </row>
    <row r="28" spans="1:28" ht="16" x14ac:dyDescent="0.2">
      <c r="B28" s="80"/>
      <c r="C28" s="8"/>
      <c r="D28" s="17"/>
      <c r="E28" s="17"/>
      <c r="F28" s="17"/>
      <c r="G28" s="17"/>
      <c r="H28" s="17"/>
      <c r="I28" s="17"/>
      <c r="J28" s="17"/>
    </row>
    <row r="29" spans="1:28" ht="18" x14ac:dyDescent="0.25">
      <c r="B29" s="334" t="s">
        <v>113</v>
      </c>
      <c r="C29" s="87" t="s">
        <v>15</v>
      </c>
      <c r="D29" s="26" t="s">
        <v>28</v>
      </c>
      <c r="E29" s="17">
        <v>1</v>
      </c>
      <c r="F29" s="17">
        <f>H12</f>
        <v>0.73595160775903656</v>
      </c>
      <c r="G29" s="17">
        <f>F29*$J$12</f>
        <v>5517.3769884061567</v>
      </c>
      <c r="H29" s="17">
        <f>MW_Fe2O3</f>
        <v>0.1596882</v>
      </c>
      <c r="I29" s="17">
        <f t="shared" ref="I29:I32" si="3">G29*H29</f>
        <v>881.06000000000006</v>
      </c>
      <c r="J29" s="17">
        <f>I29/kg_to_ton</f>
        <v>0.88106000000000007</v>
      </c>
    </row>
    <row r="30" spans="1:28" x14ac:dyDescent="0.2">
      <c r="B30" s="334"/>
      <c r="C30" s="34" t="s">
        <v>122</v>
      </c>
      <c r="D30" s="24" t="s">
        <v>40</v>
      </c>
      <c r="E30" s="3">
        <f>3*E29</f>
        <v>3</v>
      </c>
      <c r="F30" s="3">
        <f>F29*E30</f>
        <v>2.2078548232771098</v>
      </c>
      <c r="G30" s="3">
        <f t="shared" ref="G30:G32" si="4">F30*$J$12</f>
        <v>16552.130965218472</v>
      </c>
      <c r="H30" s="3">
        <f>MW_CO</f>
        <v>2.8010399999999998E-2</v>
      </c>
      <c r="I30" s="3">
        <f t="shared" si="3"/>
        <v>463.63180918815544</v>
      </c>
      <c r="J30" s="3">
        <f>I30/kg_to_ton</f>
        <v>0.46363180918815544</v>
      </c>
    </row>
    <row r="31" spans="1:28" x14ac:dyDescent="0.2">
      <c r="B31" s="335" t="s">
        <v>114</v>
      </c>
      <c r="C31" s="86" t="s">
        <v>16</v>
      </c>
      <c r="D31" s="3" t="s">
        <v>46</v>
      </c>
      <c r="E31" s="3">
        <v>2</v>
      </c>
      <c r="F31" s="3">
        <f>F29*E31</f>
        <v>1.4719032155180731</v>
      </c>
      <c r="G31" s="3">
        <f t="shared" si="4"/>
        <v>11034.753976812313</v>
      </c>
      <c r="H31" s="3">
        <f>MW_Fe</f>
        <v>5.5844999999999999E-2</v>
      </c>
      <c r="I31" s="3">
        <f t="shared" si="3"/>
        <v>616.23583583508366</v>
      </c>
      <c r="J31" s="3">
        <f>I31/kg_to_ton</f>
        <v>0.61623583583508368</v>
      </c>
    </row>
    <row r="32" spans="1:28" ht="17" x14ac:dyDescent="0.25">
      <c r="B32" s="336"/>
      <c r="C32" s="85" t="s">
        <v>23</v>
      </c>
      <c r="D32" s="3" t="s">
        <v>201</v>
      </c>
      <c r="E32" s="3">
        <f>E30</f>
        <v>3</v>
      </c>
      <c r="F32" s="3">
        <f>F30</f>
        <v>2.2078548232771098</v>
      </c>
      <c r="G32" s="3">
        <f t="shared" si="4"/>
        <v>16552.130965218472</v>
      </c>
      <c r="H32" s="3">
        <f>MW_CO2</f>
        <v>4.4009800000000002E-2</v>
      </c>
      <c r="I32" s="3">
        <f t="shared" si="3"/>
        <v>728.45597335307195</v>
      </c>
      <c r="J32" s="3">
        <f>I32/kg_to_ton</f>
        <v>0.72845597335307199</v>
      </c>
      <c r="N32" s="3" t="s">
        <v>411</v>
      </c>
      <c r="O32" s="3" t="s">
        <v>412</v>
      </c>
    </row>
    <row r="33" spans="2:23" x14ac:dyDescent="0.2">
      <c r="M33" s="3" t="s">
        <v>5</v>
      </c>
      <c r="N33" s="3" t="s">
        <v>1</v>
      </c>
      <c r="O33" s="3" t="s">
        <v>1</v>
      </c>
    </row>
    <row r="34" spans="2:23" x14ac:dyDescent="0.2">
      <c r="L34" s="13" t="s">
        <v>18</v>
      </c>
      <c r="M34" s="13" t="s">
        <v>12</v>
      </c>
      <c r="N34" s="13" t="s">
        <v>11</v>
      </c>
      <c r="O34" s="13" t="s">
        <v>11</v>
      </c>
    </row>
    <row r="35" spans="2:23" ht="18" x14ac:dyDescent="0.25">
      <c r="B35" s="339" t="s">
        <v>410</v>
      </c>
      <c r="C35" s="15" t="s">
        <v>330</v>
      </c>
      <c r="D35" s="26" t="s">
        <v>47</v>
      </c>
      <c r="E35" s="129">
        <f>(E36*F35)/F36</f>
        <v>6.247758228650753E-2</v>
      </c>
      <c r="F35" s="17">
        <f>(F36*G35)/G36</f>
        <v>1.6497105153854812E-2</v>
      </c>
      <c r="G35" s="17">
        <f>I35/H35</f>
        <v>123.6776268868441</v>
      </c>
      <c r="H35" s="17">
        <f>MW_MgCO3</f>
        <v>8.4314200000000006E-2</v>
      </c>
      <c r="I35" s="17">
        <f>MgCO3_in</f>
        <v>10.427780168862752</v>
      </c>
      <c r="J35" s="17">
        <f>I35/kg_to_ton</f>
        <v>1.0427780168862751E-2</v>
      </c>
      <c r="L35" s="13" t="s">
        <v>312</v>
      </c>
      <c r="M35" s="3">
        <f>MW_MgO-MW_O</f>
        <v>2.4305000000000004E-2</v>
      </c>
      <c r="N35" s="3">
        <f>M35*G35</f>
        <v>3.0059847214847464</v>
      </c>
      <c r="O35" s="3">
        <f>M35*G39</f>
        <v>3.0059847214847459</v>
      </c>
    </row>
    <row r="36" spans="2:23" ht="18" x14ac:dyDescent="0.25">
      <c r="B36" s="340"/>
      <c r="C36" s="19" t="s">
        <v>21</v>
      </c>
      <c r="D36" s="3" t="s">
        <v>202</v>
      </c>
      <c r="E36" s="127">
        <f>E37</f>
        <v>1</v>
      </c>
      <c r="F36" s="3">
        <f>F37</f>
        <v>0.26404839224096349</v>
      </c>
      <c r="G36" s="3">
        <f>F36*$J$12</f>
        <v>1979.5520626852608</v>
      </c>
      <c r="H36" s="3">
        <f>MW_CaCO3</f>
        <v>0.1000872</v>
      </c>
      <c r="I36" s="3">
        <f t="shared" ref="I36:I39" si="5">G36*H36</f>
        <v>198.12782320839224</v>
      </c>
      <c r="J36" s="3">
        <f>I36/kg_to_ton</f>
        <v>0.19812782320839226</v>
      </c>
      <c r="L36" s="13" t="s">
        <v>18</v>
      </c>
      <c r="M36" s="3">
        <f>MW_C</f>
        <v>1.2010999999999999E-2</v>
      </c>
      <c r="N36" s="3">
        <f>M36*(G35+G36)</f>
        <v>25.261891801450549</v>
      </c>
      <c r="O36" s="3">
        <f>M36*G38</f>
        <v>25.261891801450552</v>
      </c>
    </row>
    <row r="37" spans="2:23" ht="16" x14ac:dyDescent="0.2">
      <c r="B37" s="334" t="s">
        <v>113</v>
      </c>
      <c r="C37" s="87" t="s">
        <v>123</v>
      </c>
      <c r="D37" s="3" t="s">
        <v>203</v>
      </c>
      <c r="E37" s="127">
        <f>E41</f>
        <v>1</v>
      </c>
      <c r="F37" s="3">
        <f>F41</f>
        <v>0.26404839224096349</v>
      </c>
      <c r="G37" s="3">
        <f t="shared" ref="G37:G39" si="6">F37*$J$12</f>
        <v>1979.5520626852608</v>
      </c>
      <c r="H37" s="3">
        <f>MW_CaO</f>
        <v>5.6077400000000006E-2</v>
      </c>
      <c r="I37" s="3">
        <f t="shared" si="5"/>
        <v>111.00813284002646</v>
      </c>
      <c r="J37" s="3">
        <f>I37/kg_to_ton</f>
        <v>0.11100813284002646</v>
      </c>
      <c r="L37" s="13" t="s">
        <v>31</v>
      </c>
      <c r="M37" s="3">
        <f>MW_CaO-MW_O</f>
        <v>4.0078000000000003E-2</v>
      </c>
      <c r="N37" s="3">
        <f>M37*G36</f>
        <v>79.336487568299887</v>
      </c>
      <c r="O37" s="3">
        <f>M37*G37</f>
        <v>79.336487568299887</v>
      </c>
    </row>
    <row r="38" spans="2:23" ht="17" x14ac:dyDescent="0.25">
      <c r="B38" s="329"/>
      <c r="C38" s="31" t="s">
        <v>23</v>
      </c>
      <c r="D38" s="3" t="s">
        <v>1</v>
      </c>
      <c r="E38" s="130">
        <f>E35+E36</f>
        <v>1.0624775822865076</v>
      </c>
      <c r="F38" s="3">
        <f>F36+F35</f>
        <v>0.28054549739481832</v>
      </c>
      <c r="G38" s="3">
        <f t="shared" ref="G38" si="7">F38*$J$12</f>
        <v>2103.2296895721051</v>
      </c>
      <c r="H38" s="3">
        <f>MW_CO2</f>
        <v>4.4009800000000002E-2</v>
      </c>
      <c r="I38" s="3">
        <f>G38*H38</f>
        <v>92.56271799213043</v>
      </c>
      <c r="J38" s="3">
        <f>I38/kg_to_ton</f>
        <v>9.2562717992130436E-2</v>
      </c>
      <c r="L38" s="13" t="s">
        <v>29</v>
      </c>
      <c r="M38" s="3">
        <f>MW_O</f>
        <v>1.59994E-2</v>
      </c>
      <c r="N38" s="3">
        <f>M38*(G35+G36)</f>
        <v>33.650413095339935</v>
      </c>
      <c r="O38" s="3">
        <f>M38*(G37+G39)</f>
        <v>33.650413095339935</v>
      </c>
    </row>
    <row r="39" spans="2:23" x14ac:dyDescent="0.2">
      <c r="B39" s="329"/>
      <c r="C39" s="31" t="s">
        <v>179</v>
      </c>
      <c r="D39" s="3" t="s">
        <v>39</v>
      </c>
      <c r="E39" s="131">
        <f>E35</f>
        <v>6.247758228650753E-2</v>
      </c>
      <c r="F39" s="3">
        <f>F35</f>
        <v>1.6497105153854812E-2</v>
      </c>
      <c r="G39" s="3">
        <f t="shared" si="6"/>
        <v>123.67762688684408</v>
      </c>
      <c r="H39" s="3">
        <f>MW_MgO</f>
        <v>4.0304400000000004E-2</v>
      </c>
      <c r="I39" s="3">
        <f t="shared" si="5"/>
        <v>4.9847525450981189</v>
      </c>
      <c r="J39" s="3">
        <f>I39/kg_to_ton</f>
        <v>4.9847525450981188E-3</v>
      </c>
    </row>
    <row r="40" spans="2:23" x14ac:dyDescent="0.2">
      <c r="B40" s="17"/>
      <c r="C40" s="17"/>
      <c r="D40" s="17"/>
      <c r="E40" s="17"/>
      <c r="F40" s="17"/>
      <c r="G40" s="17"/>
      <c r="H40" s="17"/>
      <c r="I40" s="17"/>
      <c r="J40" s="17"/>
    </row>
    <row r="41" spans="2:23" ht="16" x14ac:dyDescent="0.2">
      <c r="B41" s="334" t="s">
        <v>113</v>
      </c>
      <c r="C41" s="19" t="s">
        <v>123</v>
      </c>
      <c r="D41" s="26" t="s">
        <v>32</v>
      </c>
      <c r="E41" s="17">
        <f>E43</f>
        <v>1</v>
      </c>
      <c r="F41" s="17">
        <f>F43</f>
        <v>0.26404839224096349</v>
      </c>
      <c r="G41" s="17">
        <f>F41*$J$12</f>
        <v>1979.5520626852608</v>
      </c>
      <c r="H41" s="17">
        <f>MW_CaO</f>
        <v>5.6077400000000006E-2</v>
      </c>
      <c r="I41" s="17">
        <f t="shared" ref="I41:I43" si="8">G41*H41</f>
        <v>111.00813284002646</v>
      </c>
      <c r="J41" s="17">
        <f>I41/kg_to_ton</f>
        <v>0.11100813284002646</v>
      </c>
    </row>
    <row r="42" spans="2:23" ht="18" x14ac:dyDescent="0.25">
      <c r="B42" s="334"/>
      <c r="C42" s="87" t="s">
        <v>17</v>
      </c>
      <c r="D42" s="3" t="s">
        <v>204</v>
      </c>
      <c r="E42" s="3">
        <v>1</v>
      </c>
      <c r="F42" s="3">
        <f>H13</f>
        <v>0.26404839224096349</v>
      </c>
      <c r="G42" s="3">
        <f t="shared" ref="G42:G43" si="9">F42*$J$12</f>
        <v>1979.5520626852608</v>
      </c>
      <c r="H42" s="3">
        <f>MW_SIO2</f>
        <v>6.00843E-2</v>
      </c>
      <c r="I42" s="3">
        <f t="shared" si="8"/>
        <v>118.94000000000001</v>
      </c>
      <c r="J42" s="3">
        <f>I42/kg_to_ton</f>
        <v>0.11894000000000002</v>
      </c>
    </row>
    <row r="43" spans="2:23" ht="18" x14ac:dyDescent="0.25">
      <c r="B43" s="81" t="s">
        <v>114</v>
      </c>
      <c r="C43" s="84" t="s">
        <v>22</v>
      </c>
      <c r="D43" s="3" t="s">
        <v>205</v>
      </c>
      <c r="E43" s="3">
        <f>E42</f>
        <v>1</v>
      </c>
      <c r="F43" s="3">
        <f>F42</f>
        <v>0.26404839224096349</v>
      </c>
      <c r="G43" s="3">
        <f t="shared" si="9"/>
        <v>1979.5520626852608</v>
      </c>
      <c r="H43" s="3">
        <f>MW_CaSiO3</f>
        <v>0.11616169999999999</v>
      </c>
      <c r="I43" s="3">
        <f t="shared" si="8"/>
        <v>229.94813284002646</v>
      </c>
      <c r="J43" s="3">
        <f>I43/kg_to_ton</f>
        <v>0.22994813284002646</v>
      </c>
    </row>
    <row r="44" spans="2:23" x14ac:dyDescent="0.2">
      <c r="B44" s="338" t="s">
        <v>19</v>
      </c>
      <c r="C44" s="338"/>
      <c r="D44" s="17"/>
      <c r="E44" s="17"/>
      <c r="F44" s="17"/>
      <c r="G44" s="17">
        <f>SUM(G19:G43)</f>
        <v>182073.20895991358</v>
      </c>
      <c r="H44" s="17"/>
      <c r="I44" s="17">
        <f>SUM(I19:I43)</f>
        <v>6965.5579720060041</v>
      </c>
      <c r="J44" s="17">
        <f>SUM(J19:J43)</f>
        <v>6.9655579720060032</v>
      </c>
    </row>
    <row r="46" spans="2:23" ht="16" thickBot="1" x14ac:dyDescent="0.25">
      <c r="B46" s="98"/>
      <c r="C46" s="98"/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</row>
    <row r="47" spans="2:23" x14ac:dyDescent="0.2">
      <c r="C47" s="323" t="s">
        <v>351</v>
      </c>
      <c r="D47" s="323"/>
      <c r="E47" s="323"/>
      <c r="F47" s="323"/>
    </row>
    <row r="48" spans="2:23" x14ac:dyDescent="0.2">
      <c r="C48" s="341"/>
      <c r="D48" s="341"/>
      <c r="E48" s="341"/>
      <c r="F48" s="341"/>
      <c r="H48" s="312" t="s">
        <v>70</v>
      </c>
      <c r="I48" s="312"/>
      <c r="J48" s="312"/>
      <c r="K48" s="312"/>
      <c r="L48" s="312"/>
      <c r="M48" s="312"/>
    </row>
    <row r="49" spans="1:17" ht="18" x14ac:dyDescent="0.25">
      <c r="B49" s="3" t="s">
        <v>20</v>
      </c>
      <c r="C49" s="13" t="s">
        <v>65</v>
      </c>
      <c r="D49" s="13" t="s">
        <v>71</v>
      </c>
      <c r="E49" s="20" t="s">
        <v>72</v>
      </c>
      <c r="F49" s="20" t="s">
        <v>73</v>
      </c>
      <c r="H49" s="312" t="s">
        <v>74</v>
      </c>
      <c r="I49" s="312"/>
      <c r="J49" s="312"/>
      <c r="K49" s="13"/>
      <c r="L49" s="328" t="s">
        <v>358</v>
      </c>
      <c r="M49" s="317"/>
    </row>
    <row r="50" spans="1:17" ht="17" x14ac:dyDescent="0.25">
      <c r="B50" s="3" t="s">
        <v>11</v>
      </c>
      <c r="C50" s="13" t="s">
        <v>11</v>
      </c>
      <c r="D50" s="13" t="s">
        <v>76</v>
      </c>
      <c r="E50" s="13" t="s">
        <v>34</v>
      </c>
      <c r="F50" s="13"/>
    </row>
    <row r="51" spans="1:17" x14ac:dyDescent="0.2">
      <c r="B51" s="3">
        <f>Limestone_for_BF</f>
        <v>198.12782320839224</v>
      </c>
      <c r="C51" s="13">
        <f>B51*Lime_to_Energy_Conversion</f>
        <v>20798.316475388398</v>
      </c>
      <c r="D51" s="13">
        <f>E59</f>
        <v>1296430.0703487678</v>
      </c>
      <c r="E51" s="13">
        <v>1</v>
      </c>
      <c r="F51" s="13">
        <v>3.76</v>
      </c>
      <c r="H51" s="337" t="str">
        <f>_xlfn.CONCAT(H59," ",B59," ","+"," ",H60,"(",B60, " ","+"," ",F51," ",B61,")","  ", "--","&gt;","  ", Q59," ",K59," ","+"," ",Q60," ",K60," ","+"," ",Q61," ",K61," ","+"," ",Q62," ",B60)</f>
        <v>0.5 CH4 + 1(O2 + 3.76 N2)  --&gt;  0.5 C + 0.25 H2O + 3.76 N2 +  O2</v>
      </c>
      <c r="I51" s="337"/>
      <c r="J51" s="337"/>
      <c r="K51" s="337"/>
      <c r="L51" s="337"/>
      <c r="M51" s="337"/>
    </row>
    <row r="52" spans="1:17" ht="16.25" customHeight="1" x14ac:dyDescent="0.25">
      <c r="C52" s="20" t="s">
        <v>24</v>
      </c>
      <c r="D52" s="13" t="s">
        <v>429</v>
      </c>
      <c r="H52" s="337"/>
      <c r="I52" s="337"/>
      <c r="J52" s="337"/>
      <c r="K52" s="337"/>
      <c r="L52" s="337"/>
      <c r="M52" s="337"/>
    </row>
    <row r="53" spans="1:17" ht="16.25" customHeight="1" x14ac:dyDescent="0.25">
      <c r="C53" s="13" t="s">
        <v>11</v>
      </c>
      <c r="D53" s="13" t="s">
        <v>76</v>
      </c>
    </row>
    <row r="54" spans="1:17" ht="15.5" customHeight="1" x14ac:dyDescent="0.2">
      <c r="C54" s="13">
        <f>(B51*Air_to_Kiln)/Ore_to_Kiln</f>
        <v>273.36172368284468</v>
      </c>
      <c r="D54" s="13">
        <f>C54/D60</f>
        <v>8542.8742228722531</v>
      </c>
    </row>
    <row r="55" spans="1:17" ht="15.5" customHeight="1" x14ac:dyDescent="0.2">
      <c r="C55" s="13" t="s">
        <v>652</v>
      </c>
      <c r="D55" s="303" t="s">
        <v>655</v>
      </c>
    </row>
    <row r="57" spans="1:17" x14ac:dyDescent="0.2">
      <c r="B57" s="25" t="s">
        <v>2</v>
      </c>
      <c r="C57" s="3" t="s">
        <v>1</v>
      </c>
      <c r="D57" s="3" t="s">
        <v>5</v>
      </c>
      <c r="E57" s="3" t="s">
        <v>32</v>
      </c>
      <c r="F57" s="3" t="s">
        <v>39</v>
      </c>
      <c r="G57" s="3" t="s">
        <v>44</v>
      </c>
      <c r="K57" s="25" t="s">
        <v>3</v>
      </c>
      <c r="L57" s="3" t="s">
        <v>1</v>
      </c>
      <c r="M57" s="3" t="s">
        <v>5</v>
      </c>
      <c r="N57" s="3" t="s">
        <v>32</v>
      </c>
      <c r="O57" s="3" t="s">
        <v>39</v>
      </c>
      <c r="P57" s="3" t="s">
        <v>44</v>
      </c>
    </row>
    <row r="58" spans="1:17" ht="18" x14ac:dyDescent="0.25">
      <c r="B58" s="13" t="s">
        <v>41</v>
      </c>
      <c r="C58" s="13" t="s">
        <v>11</v>
      </c>
      <c r="D58" s="19" t="s">
        <v>84</v>
      </c>
      <c r="E58" s="13" t="s">
        <v>42</v>
      </c>
      <c r="F58" s="13" t="s">
        <v>43</v>
      </c>
      <c r="G58" s="13" t="s">
        <v>69</v>
      </c>
      <c r="H58" s="34" t="s">
        <v>430</v>
      </c>
      <c r="K58" s="13" t="s">
        <v>41</v>
      </c>
      <c r="L58" s="13" t="s">
        <v>11</v>
      </c>
      <c r="M58" s="19" t="s">
        <v>84</v>
      </c>
      <c r="N58" s="13" t="s">
        <v>42</v>
      </c>
      <c r="O58" s="13" t="s">
        <v>43</v>
      </c>
      <c r="P58" s="13" t="s">
        <v>69</v>
      </c>
      <c r="Q58" s="34" t="s">
        <v>430</v>
      </c>
    </row>
    <row r="59" spans="1:17" ht="17" x14ac:dyDescent="0.25">
      <c r="A59" s="116" t="s">
        <v>321</v>
      </c>
      <c r="B59" s="13" t="s">
        <v>65</v>
      </c>
      <c r="C59" s="3">
        <f>C51</f>
        <v>20798.316475388398</v>
      </c>
      <c r="D59" s="3">
        <f>MW_CH4</f>
        <v>1.604276E-2</v>
      </c>
      <c r="E59" s="3">
        <f>C59/D59</f>
        <v>1296430.0703487678</v>
      </c>
      <c r="F59" s="3">
        <f>E59/E62</f>
        <v>0.96958772031819707</v>
      </c>
      <c r="G59" s="30" t="s">
        <v>33</v>
      </c>
      <c r="H59" s="52">
        <f>Q59</f>
        <v>0.5</v>
      </c>
      <c r="J59" s="342" t="s">
        <v>654</v>
      </c>
      <c r="K59" s="302" t="s">
        <v>18</v>
      </c>
      <c r="L59" s="3">
        <f>M59*N59</f>
        <v>15571.421574959049</v>
      </c>
      <c r="M59" s="3">
        <f>MW_C</f>
        <v>1.2010999999999999E-2</v>
      </c>
      <c r="N59" s="3">
        <f>E59</f>
        <v>1296430.0703487678</v>
      </c>
      <c r="O59" s="3">
        <f>F60*2</f>
        <v>1.2778268773866796E-2</v>
      </c>
      <c r="P59" s="30" t="s">
        <v>35</v>
      </c>
      <c r="Q59" s="3">
        <f>H60/2</f>
        <v>0.5</v>
      </c>
    </row>
    <row r="60" spans="1:17" ht="18" x14ac:dyDescent="0.25">
      <c r="A60" s="315" t="s">
        <v>656</v>
      </c>
      <c r="B60" s="20" t="s">
        <v>24</v>
      </c>
      <c r="C60" s="3">
        <f>C54</f>
        <v>273.36172368284468</v>
      </c>
      <c r="D60" s="3">
        <f>MW_O2</f>
        <v>3.1998800000000001E-2</v>
      </c>
      <c r="E60" s="3">
        <f>C60/D60</f>
        <v>8542.8742228722531</v>
      </c>
      <c r="F60" s="3">
        <f>E60/E62</f>
        <v>6.389134386933398E-3</v>
      </c>
      <c r="G60" s="30" t="s">
        <v>34</v>
      </c>
      <c r="H60" s="3">
        <v>1</v>
      </c>
      <c r="J60" s="326"/>
      <c r="K60" s="301" t="s">
        <v>653</v>
      </c>
      <c r="L60" s="3">
        <f>M60*N60</f>
        <v>307.80454225965212</v>
      </c>
      <c r="M60" s="3">
        <f>MW_H2O</f>
        <v>1.8015280000000002E-2</v>
      </c>
      <c r="N60" s="3">
        <f>2*E60</f>
        <v>17085.748445744506</v>
      </c>
      <c r="O60" s="3">
        <f>2*O59</f>
        <v>2.5556537547733592E-2</v>
      </c>
      <c r="P60" s="30" t="s">
        <v>36</v>
      </c>
      <c r="Q60" s="3">
        <f>0.5*Q59</f>
        <v>0.25</v>
      </c>
    </row>
    <row r="61" spans="1:17" ht="18" x14ac:dyDescent="0.25">
      <c r="A61" s="315"/>
      <c r="B61" s="39" t="s">
        <v>67</v>
      </c>
      <c r="C61" s="3">
        <f>D61*E61</f>
        <v>899.82679205540217</v>
      </c>
      <c r="D61" s="3">
        <f>MW_N2</f>
        <v>2.801348E-2</v>
      </c>
      <c r="E61" s="3">
        <f>H61*E60</f>
        <v>32121.207077999668</v>
      </c>
      <c r="F61" s="3">
        <f>E61/E62</f>
        <v>2.4023145294869576E-2</v>
      </c>
      <c r="G61" s="30" t="s">
        <v>206</v>
      </c>
      <c r="H61" s="71">
        <f>H60*3.76</f>
        <v>3.76</v>
      </c>
      <c r="J61" s="326"/>
      <c r="K61" s="39" t="s">
        <v>67</v>
      </c>
      <c r="L61" s="3">
        <f>C61</f>
        <v>899.82679205540217</v>
      </c>
      <c r="M61" s="3">
        <f>MW_N2</f>
        <v>2.801348E-2</v>
      </c>
      <c r="N61" s="3">
        <f>E61</f>
        <v>32121.207077999668</v>
      </c>
      <c r="O61" s="3">
        <f>N61/N63</f>
        <v>2.4023145294869576E-2</v>
      </c>
      <c r="P61" s="30" t="s">
        <v>37</v>
      </c>
      <c r="Q61" s="3">
        <f>H61*H60</f>
        <v>3.76</v>
      </c>
    </row>
    <row r="62" spans="1:17" ht="18" x14ac:dyDescent="0.25">
      <c r="B62" s="17" t="s">
        <v>19</v>
      </c>
      <c r="C62" s="40">
        <f>SUM(C59:C61)</f>
        <v>21971.504991126643</v>
      </c>
      <c r="D62" s="41">
        <f>SUM(D59:D61)</f>
        <v>7.605503999999999E-2</v>
      </c>
      <c r="E62" s="41">
        <f>SUM(E59:E61)</f>
        <v>1337094.1516496397</v>
      </c>
      <c r="F62" s="40">
        <f>SUM(F59:F61)</f>
        <v>1</v>
      </c>
      <c r="G62" s="17"/>
      <c r="H62" s="17"/>
      <c r="J62" s="326"/>
      <c r="K62" s="301" t="s">
        <v>589</v>
      </c>
      <c r="L62" s="144">
        <f>N62*M62</f>
        <v>5192.4520818525407</v>
      </c>
      <c r="M62" s="3">
        <f>MW_H*2</f>
        <v>2.0158800000000003E-3</v>
      </c>
      <c r="N62" s="144">
        <f>(E59*2)-N60</f>
        <v>2575774.392251791</v>
      </c>
      <c r="O62" s="3">
        <f>N62/N63</f>
        <v>1.9263971718625272</v>
      </c>
      <c r="P62" s="30" t="s">
        <v>38</v>
      </c>
    </row>
    <row r="63" spans="1:17" ht="19.25" customHeight="1" x14ac:dyDescent="0.2">
      <c r="K63" s="95" t="s">
        <v>19</v>
      </c>
      <c r="L63" s="146">
        <f>SUM(L59:L62)</f>
        <v>21971.504991126643</v>
      </c>
      <c r="M63" s="146"/>
      <c r="N63" s="146">
        <f>E62</f>
        <v>1337094.1516496397</v>
      </c>
      <c r="O63" s="146">
        <f>F62</f>
        <v>1</v>
      </c>
      <c r="P63" s="17"/>
      <c r="Q63" s="17"/>
    </row>
    <row r="64" spans="1:17" ht="18" x14ac:dyDescent="0.25">
      <c r="B64" s="15" t="s">
        <v>330</v>
      </c>
      <c r="C64" s="3">
        <f>I35</f>
        <v>10.427780168862752</v>
      </c>
      <c r="D64" s="3">
        <f>MW_MgCO3</f>
        <v>8.4314200000000006E-2</v>
      </c>
      <c r="E64" s="3">
        <f>C64/D64</f>
        <v>123.6776268868441</v>
      </c>
      <c r="K64" s="95"/>
      <c r="L64" s="146"/>
      <c r="M64" s="146"/>
      <c r="N64" s="146"/>
      <c r="O64" s="146"/>
    </row>
    <row r="65" spans="1:45" ht="16.25" customHeight="1" x14ac:dyDescent="0.25">
      <c r="B65" s="19" t="s">
        <v>21</v>
      </c>
      <c r="C65" s="3">
        <f>I36</f>
        <v>198.12782320839224</v>
      </c>
      <c r="D65" s="3">
        <f>MW_CaCO3</f>
        <v>0.1000872</v>
      </c>
      <c r="E65" s="3">
        <f>C65/D65</f>
        <v>1979.5520626852608</v>
      </c>
      <c r="K65" s="20" t="s">
        <v>64</v>
      </c>
      <c r="L65" s="3">
        <f>N65*MW_CO2</f>
        <v>92.562717992130416</v>
      </c>
      <c r="N65" s="3">
        <f>E64+E65</f>
        <v>2103.2296895721047</v>
      </c>
    </row>
    <row r="66" spans="1:45" ht="15.5" customHeight="1" x14ac:dyDescent="0.2"/>
    <row r="67" spans="1:45" ht="19.25" customHeight="1" x14ac:dyDescent="0.2"/>
    <row r="68" spans="1:45" ht="16" thickBot="1" x14ac:dyDescent="0.25">
      <c r="B68" s="98"/>
      <c r="C68" s="98"/>
      <c r="D68" s="98"/>
      <c r="E68" s="98"/>
      <c r="F68" s="98"/>
      <c r="G68" s="98"/>
      <c r="H68" s="98"/>
      <c r="I68" s="98"/>
      <c r="J68" s="98"/>
      <c r="K68" s="98"/>
      <c r="L68" s="98"/>
      <c r="M68" s="98"/>
      <c r="N68" s="98"/>
      <c r="O68" s="98"/>
      <c r="P68" s="98"/>
      <c r="Q68" s="98"/>
      <c r="R68" s="98"/>
      <c r="S68" s="98"/>
      <c r="T68" s="98"/>
      <c r="U68" s="98"/>
      <c r="V68" s="98"/>
    </row>
    <row r="69" spans="1:45" x14ac:dyDescent="0.2">
      <c r="B69" s="323" t="s">
        <v>378</v>
      </c>
      <c r="C69" s="323"/>
      <c r="D69" s="323"/>
      <c r="E69" s="323"/>
      <c r="F69" s="323"/>
      <c r="G69" s="323"/>
      <c r="W69" s="17"/>
      <c r="X69" s="17"/>
      <c r="Y69" s="320" t="s">
        <v>493</v>
      </c>
      <c r="Z69" s="321"/>
      <c r="AA69" s="321"/>
      <c r="AB69" s="321"/>
      <c r="AC69" s="321"/>
      <c r="AD69" s="321"/>
      <c r="AE69" s="321"/>
      <c r="AF69" s="321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</row>
    <row r="70" spans="1:45" x14ac:dyDescent="0.2">
      <c r="B70" s="324"/>
      <c r="C70" s="324"/>
      <c r="D70" s="324"/>
      <c r="E70" s="324"/>
      <c r="F70" s="324"/>
      <c r="G70" s="324"/>
      <c r="Y70" s="322"/>
      <c r="Z70" s="319"/>
      <c r="AA70" s="319"/>
      <c r="AB70" s="319"/>
      <c r="AC70" s="319"/>
      <c r="AD70" s="319"/>
      <c r="AE70" s="319"/>
      <c r="AF70" s="319"/>
    </row>
    <row r="71" spans="1:45" x14ac:dyDescent="0.2">
      <c r="E71" s="13"/>
      <c r="F71" s="13" t="s">
        <v>47</v>
      </c>
      <c r="G71" s="13" t="s">
        <v>1</v>
      </c>
      <c r="H71" s="13" t="s">
        <v>382</v>
      </c>
      <c r="Y71" s="322"/>
      <c r="Z71" s="319"/>
      <c r="AA71" s="319"/>
      <c r="AB71" s="319"/>
      <c r="AC71" s="319"/>
      <c r="AD71" s="319"/>
      <c r="AE71" s="319"/>
      <c r="AF71" s="319"/>
    </row>
    <row r="72" spans="1:45" x14ac:dyDescent="0.2">
      <c r="B72" s="13" t="s">
        <v>18</v>
      </c>
      <c r="C72" s="13" t="s">
        <v>5</v>
      </c>
      <c r="D72" s="34" t="s">
        <v>365</v>
      </c>
      <c r="E72" s="13"/>
      <c r="F72" s="13" t="s">
        <v>240</v>
      </c>
      <c r="G72" s="13" t="s">
        <v>11</v>
      </c>
      <c r="H72" s="13" t="s">
        <v>383</v>
      </c>
      <c r="Y72" s="24"/>
    </row>
    <row r="73" spans="1:45" ht="17" x14ac:dyDescent="0.25">
      <c r="B73" s="13" t="s">
        <v>11</v>
      </c>
      <c r="C73" s="13" t="s">
        <v>12</v>
      </c>
      <c r="D73" s="34" t="s">
        <v>366</v>
      </c>
      <c r="E73" s="13" t="s">
        <v>18</v>
      </c>
      <c r="F73" s="13">
        <v>0.86</v>
      </c>
      <c r="G73" s="13">
        <f>Coking_BF_in</f>
        <v>198.80764502323905</v>
      </c>
      <c r="H73" s="13">
        <v>1</v>
      </c>
      <c r="Q73" s="3" t="s">
        <v>114</v>
      </c>
      <c r="S73" s="3" t="s">
        <v>114</v>
      </c>
      <c r="Y73" s="304" t="s">
        <v>113</v>
      </c>
      <c r="Z73" s="3" t="s">
        <v>1</v>
      </c>
      <c r="AA73" s="3" t="s">
        <v>47</v>
      </c>
      <c r="AB73" s="3" t="s">
        <v>5</v>
      </c>
      <c r="AC73" s="201" t="s">
        <v>409</v>
      </c>
      <c r="AD73" s="3" t="s">
        <v>39</v>
      </c>
      <c r="AG73" s="171" t="s">
        <v>113</v>
      </c>
      <c r="AH73" s="201" t="s">
        <v>409</v>
      </c>
      <c r="AJ73" s="201" t="s">
        <v>409</v>
      </c>
      <c r="AL73" s="171" t="s">
        <v>114</v>
      </c>
      <c r="AM73" s="201" t="s">
        <v>409</v>
      </c>
      <c r="AO73" s="201" t="s">
        <v>409</v>
      </c>
    </row>
    <row r="74" spans="1:45" ht="18" x14ac:dyDescent="0.25">
      <c r="B74" s="13">
        <f>C_for_BF</f>
        <v>198.80764502323905</v>
      </c>
      <c r="C74" s="13">
        <f>MW_C</f>
        <v>1.2010999999999999E-2</v>
      </c>
      <c r="D74" s="34">
        <f>B74/C74</f>
        <v>16552.130965218472</v>
      </c>
      <c r="E74" s="13" t="s">
        <v>376</v>
      </c>
      <c r="F74" s="13">
        <f>(F73*G74)/G73</f>
        <v>0.30099999999999999</v>
      </c>
      <c r="G74" s="13">
        <f>(G73*H74)</f>
        <v>69.582675758133661</v>
      </c>
      <c r="H74" s="13">
        <v>0.35</v>
      </c>
      <c r="Q74" s="201" t="s">
        <v>409</v>
      </c>
      <c r="S74" s="201" t="s">
        <v>409</v>
      </c>
      <c r="Y74" s="13" t="s">
        <v>41</v>
      </c>
      <c r="Z74" s="13" t="s">
        <v>11</v>
      </c>
      <c r="AA74" s="13" t="s">
        <v>240</v>
      </c>
      <c r="AB74" s="19" t="s">
        <v>84</v>
      </c>
      <c r="AC74" s="13" t="s">
        <v>42</v>
      </c>
      <c r="AD74" s="13" t="s">
        <v>43</v>
      </c>
      <c r="AH74" s="13" t="s">
        <v>42</v>
      </c>
      <c r="AI74" s="1"/>
      <c r="AJ74" s="13" t="s">
        <v>42</v>
      </c>
      <c r="AM74" s="13" t="s">
        <v>42</v>
      </c>
      <c r="AN74" s="1"/>
      <c r="AO74" s="13" t="s">
        <v>42</v>
      </c>
    </row>
    <row r="75" spans="1:45" ht="17" x14ac:dyDescent="0.25">
      <c r="E75" s="13" t="s">
        <v>379</v>
      </c>
      <c r="F75" s="13">
        <v>0.08</v>
      </c>
      <c r="G75" s="13">
        <f>(F75*G73)/F73</f>
        <v>18.493734420766422</v>
      </c>
      <c r="H75" s="13"/>
      <c r="Q75" s="13" t="s">
        <v>42</v>
      </c>
      <c r="R75" s="1"/>
      <c r="S75" s="13" t="s">
        <v>42</v>
      </c>
      <c r="Y75" s="13" t="s">
        <v>66</v>
      </c>
      <c r="Z75" s="26">
        <f t="shared" ref="Z75:Z80" si="10">AA75*$Z$81</f>
        <v>39.801290533652448</v>
      </c>
      <c r="AA75" s="17">
        <v>0.57199999999999995</v>
      </c>
      <c r="AB75" s="17">
        <f>MW_H*2</f>
        <v>2.0158800000000003E-3</v>
      </c>
      <c r="AC75" s="235">
        <f>Z75/AB75</f>
        <v>19743.878868609463</v>
      </c>
      <c r="AD75" s="3">
        <f t="shared" ref="AD75:AD80" si="11">AC75/$AC$81</f>
        <v>0.92235600940319784</v>
      </c>
      <c r="AG75" s="61" t="s">
        <v>18</v>
      </c>
      <c r="AH75" s="1">
        <f>2*AC76</f>
        <v>99.21333291242766</v>
      </c>
      <c r="AI75" s="19" t="s">
        <v>182</v>
      </c>
      <c r="AJ75" s="1">
        <f>4*AC76</f>
        <v>198.42666582485532</v>
      </c>
      <c r="AL75" s="13"/>
      <c r="AM75" s="1"/>
      <c r="AN75" s="19" t="s">
        <v>182</v>
      </c>
      <c r="AO75" s="1">
        <f>AJ79+AJ75-AO79</f>
        <v>38753.639905929129</v>
      </c>
    </row>
    <row r="76" spans="1:45" ht="17" x14ac:dyDescent="0.25">
      <c r="P76" s="13" t="s">
        <v>18</v>
      </c>
      <c r="Q76" s="1">
        <f>2*Q77</f>
        <v>99.21333291242766</v>
      </c>
      <c r="R76" s="19" t="s">
        <v>182</v>
      </c>
      <c r="S76" s="1">
        <f>4*S77</f>
        <v>198.42666582485532</v>
      </c>
      <c r="Y76" s="61" t="s">
        <v>371</v>
      </c>
      <c r="Z76" s="24">
        <f t="shared" si="10"/>
        <v>1.3916535151626732</v>
      </c>
      <c r="AA76" s="3">
        <v>0.02</v>
      </c>
      <c r="AB76" s="3">
        <f>MW_C2H4</f>
        <v>2.8053759999999997E-2</v>
      </c>
      <c r="AC76" s="155">
        <f t="shared" ref="AC76:AC80" si="12">Z76/AB76</f>
        <v>49.60666645621383</v>
      </c>
      <c r="AD76" s="3">
        <f t="shared" si="11"/>
        <v>2.3174274526721371E-3</v>
      </c>
      <c r="AG76" s="61" t="s">
        <v>371</v>
      </c>
      <c r="AH76" s="1">
        <f>AC76</f>
        <v>49.60666645621383</v>
      </c>
      <c r="AI76" s="61" t="s">
        <v>371</v>
      </c>
      <c r="AJ76" s="1">
        <f>AH76</f>
        <v>49.60666645621383</v>
      </c>
      <c r="AL76" s="61"/>
      <c r="AM76" s="1"/>
      <c r="AN76" s="13" t="s">
        <v>66</v>
      </c>
      <c r="AO76" s="1">
        <f>AO75/2</f>
        <v>19376.819952964564</v>
      </c>
    </row>
    <row r="77" spans="1:45" ht="17" x14ac:dyDescent="0.25">
      <c r="H77" s="313" t="s">
        <v>113</v>
      </c>
      <c r="I77" s="313"/>
      <c r="J77" s="313"/>
      <c r="K77" s="313"/>
      <c r="L77" s="313"/>
      <c r="P77" s="61" t="s">
        <v>371</v>
      </c>
      <c r="Q77" s="1">
        <f>F81</f>
        <v>49.60666645621383</v>
      </c>
      <c r="R77" s="61" t="s">
        <v>371</v>
      </c>
      <c r="S77" s="1">
        <f>Q77</f>
        <v>49.60666645621383</v>
      </c>
      <c r="Y77" s="13" t="s">
        <v>122</v>
      </c>
      <c r="Z77" s="24">
        <f t="shared" si="10"/>
        <v>3.1312204091160147</v>
      </c>
      <c r="AA77" s="3">
        <v>4.4999999999999998E-2</v>
      </c>
      <c r="AB77" s="3">
        <f>MW_CO</f>
        <v>2.8010399999999998E-2</v>
      </c>
      <c r="AC77" s="155">
        <f t="shared" si="12"/>
        <v>111.78777915045893</v>
      </c>
      <c r="AD77" s="3">
        <f t="shared" si="11"/>
        <v>5.2222833498636167E-3</v>
      </c>
      <c r="AG77" s="4"/>
      <c r="AH77" s="1"/>
      <c r="AI77" s="1"/>
      <c r="AJ77" s="6"/>
      <c r="AL77" s="4"/>
      <c r="AM77" s="1"/>
      <c r="AO77" s="6"/>
    </row>
    <row r="78" spans="1:45" ht="18" x14ac:dyDescent="0.25">
      <c r="B78" s="25" t="s">
        <v>389</v>
      </c>
      <c r="C78" s="3" t="s">
        <v>1</v>
      </c>
      <c r="D78" s="3" t="s">
        <v>47</v>
      </c>
      <c r="E78" s="3" t="s">
        <v>5</v>
      </c>
      <c r="F78" s="201" t="s">
        <v>409</v>
      </c>
      <c r="H78" s="201" t="s">
        <v>409</v>
      </c>
      <c r="I78" s="201" t="s">
        <v>409</v>
      </c>
      <c r="J78" s="201" t="s">
        <v>409</v>
      </c>
      <c r="K78" s="201" t="s">
        <v>409</v>
      </c>
      <c r="L78" s="201" t="s">
        <v>409</v>
      </c>
      <c r="M78" s="4"/>
      <c r="N78" s="4"/>
      <c r="O78" s="4"/>
      <c r="P78" s="4"/>
      <c r="Q78" s="1"/>
      <c r="R78" s="1"/>
      <c r="S78" s="6"/>
      <c r="Y78" s="20" t="s">
        <v>64</v>
      </c>
      <c r="Z78" s="24">
        <f t="shared" si="10"/>
        <v>0.97415746061387132</v>
      </c>
      <c r="AA78" s="3">
        <v>1.4E-2</v>
      </c>
      <c r="AB78" s="3">
        <f>MW_CO2</f>
        <v>4.4009800000000002E-2</v>
      </c>
      <c r="AC78" s="155">
        <f t="shared" si="12"/>
        <v>22.135012215776289</v>
      </c>
      <c r="AD78" s="3">
        <f t="shared" si="11"/>
        <v>1.0340603116186133E-3</v>
      </c>
      <c r="AG78" s="1"/>
      <c r="AH78" s="6"/>
      <c r="AI78" s="6"/>
      <c r="AJ78" s="1"/>
      <c r="AL78" s="1"/>
      <c r="AM78" s="6"/>
      <c r="AN78" s="6"/>
      <c r="AO78" s="1"/>
    </row>
    <row r="79" spans="1:45" ht="18" x14ac:dyDescent="0.25">
      <c r="B79" s="13" t="s">
        <v>41</v>
      </c>
      <c r="C79" s="13" t="s">
        <v>11</v>
      </c>
      <c r="D79" s="13" t="s">
        <v>240</v>
      </c>
      <c r="E79" s="19" t="s">
        <v>84</v>
      </c>
      <c r="F79" s="13" t="s">
        <v>42</v>
      </c>
      <c r="G79" s="1"/>
      <c r="H79" s="13" t="s">
        <v>384</v>
      </c>
      <c r="I79" s="13" t="s">
        <v>366</v>
      </c>
      <c r="J79" s="61" t="s">
        <v>385</v>
      </c>
      <c r="K79" s="61" t="s">
        <v>386</v>
      </c>
      <c r="L79" s="19" t="s">
        <v>387</v>
      </c>
      <c r="M79" s="1"/>
      <c r="N79" s="1"/>
      <c r="O79" s="1"/>
      <c r="P79" s="1"/>
      <c r="Q79" s="6"/>
      <c r="R79" s="6"/>
      <c r="S79" s="1"/>
      <c r="W79"/>
      <c r="X79"/>
      <c r="Y79" s="39" t="s">
        <v>67</v>
      </c>
      <c r="Z79" s="24">
        <f t="shared" si="10"/>
        <v>1.3220708394045395</v>
      </c>
      <c r="AA79" s="3">
        <v>1.9E-2</v>
      </c>
      <c r="AB79" s="3">
        <f>MW_N2</f>
        <v>2.801348E-2</v>
      </c>
      <c r="AC79" s="155">
        <f t="shared" si="12"/>
        <v>47.194095107231931</v>
      </c>
      <c r="AD79" s="3">
        <f t="shared" si="11"/>
        <v>2.2047216517170204E-3</v>
      </c>
      <c r="AI79" s="19" t="s">
        <v>182</v>
      </c>
      <c r="AJ79" s="3">
        <f>2*AJ80</f>
        <v>39487.757737218926</v>
      </c>
      <c r="AL79" s="19" t="s">
        <v>18</v>
      </c>
      <c r="AM79" s="3">
        <f>AH83+AH87+AH75</f>
        <v>233.13612427866289</v>
      </c>
      <c r="AN79" s="19" t="s">
        <v>182</v>
      </c>
      <c r="AO79" s="3">
        <f>4*AO80</f>
        <v>932.54449711465156</v>
      </c>
    </row>
    <row r="80" spans="1:45" ht="17" x14ac:dyDescent="0.25">
      <c r="A80" s="314" t="s">
        <v>660</v>
      </c>
      <c r="B80" s="13" t="s">
        <v>66</v>
      </c>
      <c r="C80" s="17">
        <f>D80*$C$86</f>
        <v>39.801290533652448</v>
      </c>
      <c r="D80" s="17">
        <v>0.57199999999999995</v>
      </c>
      <c r="E80" s="17">
        <f>MW_H*2</f>
        <v>2.0158800000000003E-3</v>
      </c>
      <c r="F80" s="17">
        <f>C80/E80</f>
        <v>19743.878868609463</v>
      </c>
      <c r="G80" s="1"/>
      <c r="H80" s="3">
        <f>F92</f>
        <v>45411.454369105508</v>
      </c>
      <c r="I80" s="3">
        <f>F91</f>
        <v>18216.584581012561</v>
      </c>
      <c r="J80" s="4">
        <f>F93</f>
        <v>156.0578035820115</v>
      </c>
      <c r="K80" s="4">
        <f>F94</f>
        <v>94.388190214463862</v>
      </c>
      <c r="L80" s="1">
        <f>SUM(H80:K80)+I81</f>
        <v>63878.484943914547</v>
      </c>
      <c r="M80" s="1"/>
      <c r="N80" s="1"/>
      <c r="O80" s="1"/>
      <c r="P80" s="19" t="s">
        <v>18</v>
      </c>
      <c r="Q80" s="3">
        <f>Q81</f>
        <v>1431.3174915154318</v>
      </c>
      <c r="R80" s="13" t="s">
        <v>182</v>
      </c>
      <c r="S80" s="3">
        <f>4*S81</f>
        <v>5725.2699660617272</v>
      </c>
      <c r="Y80" s="13" t="s">
        <v>65</v>
      </c>
      <c r="Z80" s="165">
        <f t="shared" si="10"/>
        <v>22.962283000184108</v>
      </c>
      <c r="AA80" s="28">
        <v>0.33</v>
      </c>
      <c r="AB80" s="28">
        <f>MW_CH4</f>
        <v>1.604276E-2</v>
      </c>
      <c r="AC80" s="236">
        <f t="shared" si="12"/>
        <v>1431.3174915154318</v>
      </c>
      <c r="AD80" s="3">
        <f t="shared" si="11"/>
        <v>6.6865497830930945E-2</v>
      </c>
      <c r="AI80" s="13" t="s">
        <v>66</v>
      </c>
      <c r="AJ80" s="3">
        <f>AC75</f>
        <v>19743.878868609463</v>
      </c>
      <c r="AL80" s="13" t="s">
        <v>65</v>
      </c>
      <c r="AM80" s="3">
        <f>AM79</f>
        <v>233.13612427866289</v>
      </c>
      <c r="AN80" s="13" t="s">
        <v>65</v>
      </c>
      <c r="AO80" s="3">
        <f>AM80</f>
        <v>233.13612427866289</v>
      </c>
    </row>
    <row r="81" spans="1:39" ht="17" x14ac:dyDescent="0.25">
      <c r="A81" s="314"/>
      <c r="B81" s="61" t="s">
        <v>371</v>
      </c>
      <c r="C81" s="17">
        <f t="shared" ref="C81:C85" si="13">D81*$C$86</f>
        <v>1.3916535151626732</v>
      </c>
      <c r="D81" s="3">
        <v>0.02</v>
      </c>
      <c r="E81" s="3">
        <f>MW_C2H4</f>
        <v>2.8053759999999997E-2</v>
      </c>
      <c r="F81" s="3">
        <f>C81/E81</f>
        <v>49.60666645621383</v>
      </c>
      <c r="G81" s="1"/>
      <c r="J81" s="4"/>
      <c r="K81" s="4"/>
      <c r="L81" s="6"/>
      <c r="M81" s="6"/>
      <c r="N81" s="6"/>
      <c r="O81" s="6"/>
      <c r="P81" s="13" t="s">
        <v>65</v>
      </c>
      <c r="Q81" s="3">
        <f>F85</f>
        <v>1431.3174915154318</v>
      </c>
      <c r="R81" s="13" t="s">
        <v>65</v>
      </c>
      <c r="S81" s="3">
        <f>Q81</f>
        <v>1431.3174915154318</v>
      </c>
      <c r="Y81" s="24" t="s">
        <v>19</v>
      </c>
      <c r="Z81" s="3">
        <f>C86</f>
        <v>69.582675758133661</v>
      </c>
      <c r="AA81" s="3">
        <f>SUM(AA75:AA80)</f>
        <v>1</v>
      </c>
      <c r="AC81" s="3">
        <f>SUM(AC75:AC80)</f>
        <v>21405.919913054571</v>
      </c>
      <c r="AD81" s="3">
        <f>SUM(AD75:AD80)</f>
        <v>1.0000000000000002</v>
      </c>
      <c r="AG81" s="6"/>
      <c r="AL81" s="6"/>
    </row>
    <row r="82" spans="1:39" ht="16" x14ac:dyDescent="0.2">
      <c r="A82" s="314"/>
      <c r="B82" s="13" t="s">
        <v>122</v>
      </c>
      <c r="C82" s="17">
        <f t="shared" si="13"/>
        <v>3.1312204091160147</v>
      </c>
      <c r="D82" s="3">
        <v>4.4999999999999998E-2</v>
      </c>
      <c r="E82" s="3">
        <f>MW_CO</f>
        <v>2.8010399999999998E-2</v>
      </c>
      <c r="F82" s="3">
        <f t="shared" ref="F82:F85" si="14">C82/E82</f>
        <v>111.78777915045893</v>
      </c>
      <c r="G82" s="1"/>
      <c r="I82" s="3">
        <f>SUM(I80:I81)</f>
        <v>18216.584581012561</v>
      </c>
      <c r="J82" s="4"/>
      <c r="K82" s="4"/>
      <c r="L82" s="6"/>
      <c r="M82" s="6" t="s">
        <v>639</v>
      </c>
      <c r="N82" s="6"/>
      <c r="O82" s="6"/>
      <c r="P82" s="6"/>
      <c r="Y82" s="24"/>
    </row>
    <row r="83" spans="1:39" ht="18" x14ac:dyDescent="0.25">
      <c r="A83" s="314"/>
      <c r="B83" s="20" t="s">
        <v>64</v>
      </c>
      <c r="C83" s="17">
        <f t="shared" si="13"/>
        <v>0.97415746061387132</v>
      </c>
      <c r="D83" s="3">
        <v>1.4E-2</v>
      </c>
      <c r="E83" s="3">
        <f>MW_CO2</f>
        <v>4.4009800000000002E-2</v>
      </c>
      <c r="F83" s="3">
        <f t="shared" si="14"/>
        <v>22.135012215776289</v>
      </c>
      <c r="G83" s="1"/>
      <c r="H83" s="3">
        <f>H80/I82</f>
        <v>2.4928632569487585</v>
      </c>
      <c r="I83" s="3">
        <v>1</v>
      </c>
      <c r="J83" s="4">
        <f>J80/I82</f>
        <v>8.5667981771222392E-3</v>
      </c>
      <c r="K83" s="1">
        <f>K80/I82</f>
        <v>5.1814427558965247E-3</v>
      </c>
      <c r="L83" s="3">
        <f>I82*L80</f>
        <v>1163647823.8877568</v>
      </c>
      <c r="M83" s="3">
        <f>MW_C+(MW_H*mol_H_Coal)+((MW_N2/2)*mol_N_Coal)+(MW_O*mol_O_Coal)</f>
        <v>1.4733295343470709E-2</v>
      </c>
      <c r="N83" s="3">
        <f>M83*32606</f>
        <v>480.39382796920592</v>
      </c>
      <c r="Y83" s="24"/>
      <c r="AG83" s="19" t="s">
        <v>18</v>
      </c>
      <c r="AH83" s="3">
        <f>AH84</f>
        <v>22.135012215776289</v>
      </c>
      <c r="AI83" s="241" t="s">
        <v>29</v>
      </c>
      <c r="AJ83" s="3">
        <f>2*AJ84</f>
        <v>44.270024431552578</v>
      </c>
      <c r="AL83" s="13" t="s">
        <v>29</v>
      </c>
      <c r="AM83" s="3">
        <f>AJ87+AJ83</f>
        <v>156.0578035820115</v>
      </c>
    </row>
    <row r="84" spans="1:39" ht="18" x14ac:dyDescent="0.25">
      <c r="A84" s="314"/>
      <c r="B84" s="39" t="s">
        <v>67</v>
      </c>
      <c r="C84" s="17">
        <f t="shared" si="13"/>
        <v>1.3220708394045395</v>
      </c>
      <c r="D84" s="3">
        <v>1.9E-2</v>
      </c>
      <c r="E84" s="3">
        <f>MW_N2</f>
        <v>2.801348E-2</v>
      </c>
      <c r="F84" s="3">
        <f t="shared" si="14"/>
        <v>47.194095107231931</v>
      </c>
      <c r="G84" s="4"/>
      <c r="H84" s="325" t="s">
        <v>658</v>
      </c>
      <c r="I84" s="325"/>
      <c r="J84" s="325"/>
      <c r="K84" s="325"/>
      <c r="P84" s="19" t="s">
        <v>18</v>
      </c>
      <c r="Q84" s="3">
        <f>Q85</f>
        <v>22.135012215776289</v>
      </c>
      <c r="R84" s="13" t="s">
        <v>29</v>
      </c>
      <c r="S84" s="3">
        <f>2*S85</f>
        <v>44.270024431552578</v>
      </c>
      <c r="Y84" s="24"/>
      <c r="AG84" s="20" t="s">
        <v>64</v>
      </c>
      <c r="AH84" s="3">
        <f>AC78</f>
        <v>22.135012215776289</v>
      </c>
      <c r="AI84" s="20" t="s">
        <v>64</v>
      </c>
      <c r="AJ84" s="3">
        <f>AH84</f>
        <v>22.135012215776289</v>
      </c>
      <c r="AL84" s="237" t="s">
        <v>24</v>
      </c>
      <c r="AM84" s="3">
        <f>AM83/2</f>
        <v>78.028901791005751</v>
      </c>
    </row>
    <row r="85" spans="1:39" ht="18" x14ac:dyDescent="0.25">
      <c r="A85" s="314"/>
      <c r="B85" s="13" t="s">
        <v>65</v>
      </c>
      <c r="C85" s="17">
        <f t="shared" si="13"/>
        <v>22.962283000184108</v>
      </c>
      <c r="D85" s="3">
        <v>0.33</v>
      </c>
      <c r="E85" s="3">
        <f>MW_CH4</f>
        <v>1.604276E-2</v>
      </c>
      <c r="F85" s="3">
        <f t="shared" si="14"/>
        <v>1431.3174915154318</v>
      </c>
      <c r="G85" s="1"/>
      <c r="H85" s="1"/>
      <c r="I85" s="1"/>
      <c r="J85" s="1"/>
      <c r="K85" s="6"/>
      <c r="P85" s="20" t="s">
        <v>64</v>
      </c>
      <c r="Q85" s="3">
        <f>F83</f>
        <v>22.135012215776289</v>
      </c>
      <c r="R85" s="20" t="s">
        <v>64</v>
      </c>
      <c r="S85" s="3">
        <f>Q85</f>
        <v>22.135012215776289</v>
      </c>
      <c r="Y85" s="304" t="s">
        <v>114</v>
      </c>
      <c r="Z85" s="3" t="s">
        <v>1</v>
      </c>
      <c r="AA85" s="3" t="s">
        <v>47</v>
      </c>
      <c r="AB85" s="3" t="s">
        <v>5</v>
      </c>
      <c r="AC85" s="201" t="s">
        <v>409</v>
      </c>
      <c r="AD85" s="3" t="s">
        <v>39</v>
      </c>
    </row>
    <row r="86" spans="1:39" ht="19" thickBot="1" x14ac:dyDescent="0.3">
      <c r="B86" s="98" t="s">
        <v>19</v>
      </c>
      <c r="C86" s="98">
        <f>COG_needed</f>
        <v>69.582675758133661</v>
      </c>
      <c r="D86" s="98">
        <f>SUM(D80:D85)</f>
        <v>1</v>
      </c>
      <c r="E86" s="98"/>
      <c r="F86" s="98">
        <f>SUM(F80:F85)</f>
        <v>21405.919913054571</v>
      </c>
      <c r="G86" s="1"/>
      <c r="H86" s="1"/>
      <c r="I86" s="1"/>
      <c r="J86" s="1"/>
      <c r="K86" s="6"/>
      <c r="Y86" s="13" t="s">
        <v>41</v>
      </c>
      <c r="Z86" s="31" t="s">
        <v>11</v>
      </c>
      <c r="AA86" s="31" t="s">
        <v>240</v>
      </c>
      <c r="AB86" s="79" t="s">
        <v>84</v>
      </c>
      <c r="AC86" s="31" t="s">
        <v>42</v>
      </c>
      <c r="AD86" s="31" t="s">
        <v>43</v>
      </c>
    </row>
    <row r="87" spans="1:39" ht="17" x14ac:dyDescent="0.25">
      <c r="B87" s="3" t="s">
        <v>18</v>
      </c>
      <c r="C87" s="3">
        <f>B74</f>
        <v>198.80764502323905</v>
      </c>
      <c r="E87" s="285">
        <f>MW_C</f>
        <v>1.2010999999999999E-2</v>
      </c>
      <c r="F87" s="7">
        <f>C87/E87</f>
        <v>16552.130965218472</v>
      </c>
      <c r="G87" s="6"/>
      <c r="H87" s="6"/>
      <c r="I87" s="6"/>
      <c r="J87" s="1"/>
      <c r="K87" s="4"/>
      <c r="X87" s="326" t="s">
        <v>659</v>
      </c>
      <c r="Y87" s="34" t="s">
        <v>66</v>
      </c>
      <c r="Z87" s="24">
        <f t="shared" ref="Z87:Z90" si="15">AB87*AC87</f>
        <v>39.061343806782212</v>
      </c>
      <c r="AA87" s="3">
        <f>Z87/$Z$91</f>
        <v>0.56136593456908346</v>
      </c>
      <c r="AB87" s="3">
        <f>MW_H*2</f>
        <v>2.0158800000000003E-3</v>
      </c>
      <c r="AC87" s="3">
        <f>AO76</f>
        <v>19376.819952964564</v>
      </c>
      <c r="AD87" s="155">
        <f>AC87/$AC$91</f>
        <v>0.91544766952145851</v>
      </c>
      <c r="AG87" s="19" t="s">
        <v>18</v>
      </c>
      <c r="AH87" s="3">
        <f>AH88</f>
        <v>111.78777915045893</v>
      </c>
      <c r="AI87" s="13" t="s">
        <v>29</v>
      </c>
      <c r="AJ87" s="3">
        <f>AJ88</f>
        <v>111.78777915045893</v>
      </c>
    </row>
    <row r="88" spans="1:39" ht="17" x14ac:dyDescent="0.25">
      <c r="F88" s="1"/>
      <c r="G88" s="6"/>
      <c r="H88" s="6"/>
      <c r="I88" s="6"/>
      <c r="J88" s="6"/>
      <c r="M88" s="3" t="s">
        <v>401</v>
      </c>
      <c r="P88" s="19" t="s">
        <v>18</v>
      </c>
      <c r="Q88" s="3">
        <f>Q89</f>
        <v>111.78777915045893</v>
      </c>
      <c r="R88" s="13" t="s">
        <v>29</v>
      </c>
      <c r="S88" s="3">
        <f>S89</f>
        <v>111.78777915045893</v>
      </c>
      <c r="X88" s="326"/>
      <c r="Y88" s="34" t="s">
        <v>65</v>
      </c>
      <c r="Z88" s="24">
        <f t="shared" si="15"/>
        <v>26.702429889316871</v>
      </c>
      <c r="AA88" s="3">
        <f>Z88/$Z$91</f>
        <v>0.38375112193347305</v>
      </c>
      <c r="AB88" s="3">
        <f>MW_CH4</f>
        <v>1.604276E-2</v>
      </c>
      <c r="AC88" s="3">
        <f>AC80+AM80</f>
        <v>1664.4536157940947</v>
      </c>
      <c r="AD88" s="155">
        <f>AC88/$AC$91</f>
        <v>7.8636235837663701E-2</v>
      </c>
      <c r="AG88" s="128" t="s">
        <v>122</v>
      </c>
      <c r="AH88" s="3">
        <f>AC77</f>
        <v>111.78777915045893</v>
      </c>
      <c r="AI88" s="13" t="s">
        <v>122</v>
      </c>
      <c r="AJ88" s="3">
        <f>AH88</f>
        <v>111.78777915045893</v>
      </c>
    </row>
    <row r="89" spans="1:39" ht="18" x14ac:dyDescent="0.25">
      <c r="B89" s="171" t="s">
        <v>390</v>
      </c>
      <c r="C89" s="3" t="s">
        <v>1</v>
      </c>
      <c r="D89" s="3" t="s">
        <v>47</v>
      </c>
      <c r="E89" s="3" t="s">
        <v>5</v>
      </c>
      <c r="F89" s="201" t="s">
        <v>409</v>
      </c>
      <c r="G89" s="132" t="s">
        <v>322</v>
      </c>
      <c r="H89" s="3" t="s">
        <v>392</v>
      </c>
      <c r="I89" s="3" t="s">
        <v>393</v>
      </c>
      <c r="J89" s="4" t="s">
        <v>394</v>
      </c>
      <c r="K89" s="3" t="s">
        <v>395</v>
      </c>
      <c r="L89" s="132" t="s">
        <v>396</v>
      </c>
      <c r="M89" s="132" t="s">
        <v>398</v>
      </c>
      <c r="N89" s="132" t="s">
        <v>487</v>
      </c>
      <c r="P89" s="128" t="s">
        <v>122</v>
      </c>
      <c r="Q89" s="3">
        <f>F82</f>
        <v>111.78777915045893</v>
      </c>
      <c r="R89" s="13" t="s">
        <v>122</v>
      </c>
      <c r="S89" s="3">
        <f>Q89</f>
        <v>111.78777915045893</v>
      </c>
      <c r="X89" s="326"/>
      <c r="Y89" s="238" t="s">
        <v>24</v>
      </c>
      <c r="Z89" s="24">
        <f t="shared" si="15"/>
        <v>2.4968312226300351</v>
      </c>
      <c r="AA89" s="3">
        <f>Z89/$Z$91</f>
        <v>3.5882943497443406E-2</v>
      </c>
      <c r="AB89" s="3">
        <f>MW_O2</f>
        <v>3.1998800000000001E-2</v>
      </c>
      <c r="AC89" s="3">
        <f>AM84</f>
        <v>78.028901791005751</v>
      </c>
      <c r="AD89" s="155">
        <f>AC89/$AC$91</f>
        <v>3.6864344341996274E-3</v>
      </c>
    </row>
    <row r="90" spans="1:39" ht="18" x14ac:dyDescent="0.25">
      <c r="B90" s="13" t="s">
        <v>41</v>
      </c>
      <c r="C90" s="13" t="s">
        <v>11</v>
      </c>
      <c r="D90" s="13" t="s">
        <v>240</v>
      </c>
      <c r="E90" s="19" t="s">
        <v>84</v>
      </c>
      <c r="F90" s="13" t="s">
        <v>42</v>
      </c>
      <c r="G90" s="13" t="s">
        <v>98</v>
      </c>
      <c r="H90" s="13" t="s">
        <v>346</v>
      </c>
      <c r="I90" s="13" t="s">
        <v>240</v>
      </c>
      <c r="J90" s="13" t="s">
        <v>240</v>
      </c>
      <c r="K90" s="13" t="s">
        <v>240</v>
      </c>
      <c r="L90" s="13" t="s">
        <v>98</v>
      </c>
      <c r="M90" s="13" t="s">
        <v>346</v>
      </c>
      <c r="N90" s="13" t="s">
        <v>346</v>
      </c>
      <c r="X90" s="326"/>
      <c r="Y90" s="20" t="s">
        <v>67</v>
      </c>
      <c r="Z90" s="165">
        <f t="shared" si="15"/>
        <v>1.3220708394045395</v>
      </c>
      <c r="AA90" s="28">
        <f>Z90/$Z$91</f>
        <v>1.9E-2</v>
      </c>
      <c r="AB90" s="28">
        <f>MW_N2</f>
        <v>2.801348E-2</v>
      </c>
      <c r="AC90" s="28">
        <f>AC79</f>
        <v>47.194095107231931</v>
      </c>
      <c r="AD90" s="236">
        <f>AC90/$AC$91</f>
        <v>2.229660206678009E-3</v>
      </c>
    </row>
    <row r="91" spans="1:39" x14ac:dyDescent="0.2">
      <c r="A91" s="315" t="s">
        <v>657</v>
      </c>
      <c r="B91" s="13" t="s">
        <v>18</v>
      </c>
      <c r="C91" s="3">
        <f>E91*F91</f>
        <v>218.79939740254184</v>
      </c>
      <c r="D91" s="3">
        <f>C91/$C$96</f>
        <v>0.7626753506686712</v>
      </c>
      <c r="E91" s="3">
        <f>MW_C</f>
        <v>1.2010999999999999E-2</v>
      </c>
      <c r="F91" s="3">
        <f>F87+F85+F83+F82+(2*F81)</f>
        <v>18216.584581012561</v>
      </c>
      <c r="G91" s="3">
        <f>phi_anthrocite</f>
        <v>1.0437000000000001</v>
      </c>
      <c r="H91" s="3">
        <f>NCV_dry_anthrocite</f>
        <v>30080</v>
      </c>
      <c r="I91" s="3">
        <f>C92/C91</f>
        <v>0.20919628600523957</v>
      </c>
      <c r="J91" s="3">
        <f>C93/C91</f>
        <v>1.1411508679964166E-2</v>
      </c>
      <c r="K91" s="3">
        <f>C94/C91</f>
        <v>6.0423879366186071E-3</v>
      </c>
      <c r="L91" s="3">
        <f>G91+(phi_dry_constant_a_*(I91))+(phi_dry_constant_b*(J91))+(phi_dry_constant_c*(K91))</f>
        <v>1.0840109555283033</v>
      </c>
      <c r="M91" s="3">
        <f>NCV_dry_anthrocite*L91</f>
        <v>32607.049542291363</v>
      </c>
      <c r="N91" s="3">
        <f>G91*H91</f>
        <v>31394.496000000003</v>
      </c>
      <c r="Y91" s="24" t="s">
        <v>19</v>
      </c>
      <c r="Z91" s="3">
        <f>SUM(Z87:Z90)</f>
        <v>69.582675758133661</v>
      </c>
      <c r="AA91" s="3">
        <f>SUM(AA87:AA90)</f>
        <v>0.99999999999999989</v>
      </c>
      <c r="AC91" s="3">
        <f>SUM(AC87:AC90)</f>
        <v>21166.4965656569</v>
      </c>
      <c r="AD91" s="3">
        <f>SUM(AD87:AD90)</f>
        <v>0.99999999999999978</v>
      </c>
    </row>
    <row r="92" spans="1:39" x14ac:dyDescent="0.2">
      <c r="A92" s="315"/>
      <c r="B92" s="13" t="s">
        <v>182</v>
      </c>
      <c r="C92" s="3">
        <f t="shared" ref="C92:C94" si="16">E92*F92</f>
        <v>45.772021316796213</v>
      </c>
      <c r="D92" s="3">
        <f t="shared" ref="D92:D95" si="17">C92/$C$96</f>
        <v>0.15954885078762973</v>
      </c>
      <c r="E92" s="3">
        <f>MW_H</f>
        <v>1.0079400000000001E-3</v>
      </c>
      <c r="F92" s="3">
        <f>(2*F80)+(4*F81)+(4*F85)</f>
        <v>45411.454369105508</v>
      </c>
      <c r="M92" s="3">
        <f>H91*G91</f>
        <v>31394.496000000003</v>
      </c>
      <c r="Y92" s="24"/>
    </row>
    <row r="93" spans="1:39" x14ac:dyDescent="0.2">
      <c r="A93" s="315"/>
      <c r="B93" s="13" t="s">
        <v>29</v>
      </c>
      <c r="C93" s="3">
        <f t="shared" si="16"/>
        <v>2.4968312226300351</v>
      </c>
      <c r="D93" s="3">
        <f t="shared" si="17"/>
        <v>8.7032763841502561E-3</v>
      </c>
      <c r="E93" s="3">
        <f>MW_O</f>
        <v>1.59994E-2</v>
      </c>
      <c r="F93" s="3">
        <f>F82+(2*F83)</f>
        <v>156.0578035820115</v>
      </c>
      <c r="Y93" s="24"/>
    </row>
    <row r="94" spans="1:39" x14ac:dyDescent="0.2">
      <c r="A94" s="315"/>
      <c r="B94" s="13" t="s">
        <v>363</v>
      </c>
      <c r="C94" s="3">
        <f t="shared" si="16"/>
        <v>1.3220708394045395</v>
      </c>
      <c r="D94" s="3">
        <f t="shared" si="17"/>
        <v>4.6083803384367452E-3</v>
      </c>
      <c r="E94" s="3">
        <f>MW_N2/2</f>
        <v>1.400674E-2</v>
      </c>
      <c r="F94" s="3">
        <f>2*F84</f>
        <v>94.388190214463862</v>
      </c>
      <c r="Y94" s="304" t="s">
        <v>451</v>
      </c>
      <c r="AG94" s="171" t="s">
        <v>482</v>
      </c>
    </row>
    <row r="95" spans="1:39" x14ac:dyDescent="0.2">
      <c r="B95" s="13" t="s">
        <v>379</v>
      </c>
      <c r="C95" s="3">
        <f>G75</f>
        <v>18.493734420766422</v>
      </c>
      <c r="D95" s="3">
        <f t="shared" si="17"/>
        <v>6.4464141821112028E-2</v>
      </c>
      <c r="Y95" s="24">
        <v>0.7</v>
      </c>
      <c r="AG95" s="3">
        <v>0.15</v>
      </c>
    </row>
    <row r="96" spans="1:39" ht="17" x14ac:dyDescent="0.25">
      <c r="B96" s="3" t="s">
        <v>19</v>
      </c>
      <c r="C96" s="3">
        <f>SUM(C91:C95)</f>
        <v>286.88405520213905</v>
      </c>
      <c r="Y96" s="304" t="s">
        <v>114</v>
      </c>
      <c r="Z96" s="3" t="s">
        <v>1</v>
      </c>
      <c r="AA96" s="3" t="s">
        <v>47</v>
      </c>
      <c r="AB96" s="3" t="s">
        <v>5</v>
      </c>
      <c r="AC96" s="201" t="s">
        <v>409</v>
      </c>
      <c r="AD96" s="3" t="s">
        <v>39</v>
      </c>
      <c r="AG96" s="171" t="s">
        <v>114</v>
      </c>
      <c r="AH96" s="3" t="s">
        <v>1</v>
      </c>
      <c r="AI96" s="3" t="s">
        <v>47</v>
      </c>
      <c r="AJ96" s="3" t="s">
        <v>5</v>
      </c>
      <c r="AK96" s="201" t="s">
        <v>409</v>
      </c>
      <c r="AL96" s="3" t="s">
        <v>39</v>
      </c>
    </row>
    <row r="97" spans="2:38" ht="18" x14ac:dyDescent="0.25">
      <c r="I97"/>
      <c r="Y97" s="13" t="s">
        <v>41</v>
      </c>
      <c r="Z97" s="31" t="s">
        <v>11</v>
      </c>
      <c r="AA97" s="31" t="s">
        <v>240</v>
      </c>
      <c r="AB97" s="79" t="s">
        <v>84</v>
      </c>
      <c r="AC97" s="31" t="s">
        <v>42</v>
      </c>
      <c r="AD97" s="31" t="s">
        <v>43</v>
      </c>
      <c r="AG97" s="13" t="s">
        <v>41</v>
      </c>
      <c r="AH97" s="31" t="s">
        <v>11</v>
      </c>
      <c r="AI97" s="31" t="s">
        <v>240</v>
      </c>
      <c r="AJ97" s="79" t="s">
        <v>84</v>
      </c>
      <c r="AK97" s="31" t="s">
        <v>42</v>
      </c>
      <c r="AL97" s="31" t="s">
        <v>43</v>
      </c>
    </row>
    <row r="98" spans="2:38" ht="17" x14ac:dyDescent="0.25">
      <c r="Y98" s="34" t="s">
        <v>66</v>
      </c>
      <c r="Z98" s="24">
        <f>AA98*$Z$102</f>
        <v>27.342940664747548</v>
      </c>
      <c r="AA98" s="3">
        <f>AA87</f>
        <v>0.56136593456908346</v>
      </c>
      <c r="AB98" s="3">
        <f>MW_H*2</f>
        <v>2.0158800000000003E-3</v>
      </c>
      <c r="AC98" s="3">
        <f>Z98/AB98</f>
        <v>13563.773967075194</v>
      </c>
      <c r="AD98" s="155">
        <f>AC98/$AC$102</f>
        <v>0.91544766952145862</v>
      </c>
      <c r="AG98" s="34" t="s">
        <v>66</v>
      </c>
      <c r="AH98" s="24">
        <f>AI98*$AH$102</f>
        <v>5.8592015710173317</v>
      </c>
      <c r="AI98" s="3">
        <f>AA87</f>
        <v>0.56136593456908346</v>
      </c>
      <c r="AJ98" s="3">
        <f>MW_H*2</f>
        <v>2.0158800000000003E-3</v>
      </c>
      <c r="AK98" s="3">
        <f>AH98/AJ98</f>
        <v>2906.5229929446846</v>
      </c>
      <c r="AL98" s="155">
        <f>AK98/$AK$102</f>
        <v>0.91544766952145873</v>
      </c>
    </row>
    <row r="99" spans="2:38" ht="17" x14ac:dyDescent="0.25">
      <c r="Y99" s="34" t="s">
        <v>65</v>
      </c>
      <c r="Z99" s="24">
        <f>AA99*$Z$102</f>
        <v>18.691700922521807</v>
      </c>
      <c r="AA99" s="3">
        <f>AA88</f>
        <v>0.38375112193347305</v>
      </c>
      <c r="AB99" s="3">
        <f>MW_CH4</f>
        <v>1.604276E-2</v>
      </c>
      <c r="AC99" s="3">
        <f t="shared" ref="AC99:AC101" si="18">Z99/AB99</f>
        <v>1165.1175310558663</v>
      </c>
      <c r="AD99" s="155">
        <f>AC99/$AC$102</f>
        <v>7.8636235837663701E-2</v>
      </c>
      <c r="AG99" s="34" t="s">
        <v>65</v>
      </c>
      <c r="AH99" s="24">
        <f>AI99*$AH$102</f>
        <v>4.0053644833975302</v>
      </c>
      <c r="AI99" s="3">
        <f>AA88</f>
        <v>0.38375112193347305</v>
      </c>
      <c r="AJ99" s="3">
        <f>MW_CH4</f>
        <v>1.604276E-2</v>
      </c>
      <c r="AK99" s="3">
        <f t="shared" ref="AK99:AK101" si="19">AH99/AJ99</f>
        <v>249.66804236911418</v>
      </c>
      <c r="AL99" s="155">
        <f>AK99/$AK$102</f>
        <v>7.8636235837663701E-2</v>
      </c>
    </row>
    <row r="100" spans="2:38" ht="18" x14ac:dyDescent="0.25">
      <c r="Y100" s="238" t="s">
        <v>24</v>
      </c>
      <c r="Z100" s="24">
        <f>AA100*$Z$102</f>
        <v>1.7477818558410245</v>
      </c>
      <c r="AA100" s="3">
        <f>AA89</f>
        <v>3.5882943497443406E-2</v>
      </c>
      <c r="AB100" s="3">
        <f>MW_O2</f>
        <v>3.1998800000000001E-2</v>
      </c>
      <c r="AC100" s="3">
        <f t="shared" si="18"/>
        <v>54.620231253704027</v>
      </c>
      <c r="AD100" s="155">
        <f>AC100/$AC$102</f>
        <v>3.6864344341996282E-3</v>
      </c>
      <c r="AG100" s="238" t="s">
        <v>24</v>
      </c>
      <c r="AH100" s="24">
        <f>AI100*$AH$102</f>
        <v>0.37452468339450529</v>
      </c>
      <c r="AI100" s="3">
        <f>AA89</f>
        <v>3.5882943497443406E-2</v>
      </c>
      <c r="AJ100" s="3">
        <f>MW_O2</f>
        <v>3.1998800000000001E-2</v>
      </c>
      <c r="AK100" s="3">
        <f t="shared" si="19"/>
        <v>11.704335268650864</v>
      </c>
      <c r="AL100" s="155">
        <f>AK100/$AK$102</f>
        <v>3.6864344341996287E-3</v>
      </c>
    </row>
    <row r="101" spans="2:38" ht="18" x14ac:dyDescent="0.25">
      <c r="Y101" s="20" t="s">
        <v>67</v>
      </c>
      <c r="Z101" s="24">
        <f>AA101*$Z$102</f>
        <v>0.92544958758317764</v>
      </c>
      <c r="AA101" s="3">
        <f>AA90</f>
        <v>1.9E-2</v>
      </c>
      <c r="AB101" s="3">
        <f>MW_N2</f>
        <v>2.801348E-2</v>
      </c>
      <c r="AC101" s="3">
        <f t="shared" si="18"/>
        <v>33.03586657506235</v>
      </c>
      <c r="AD101" s="155">
        <f>AC101/$AC$102</f>
        <v>2.229660206678009E-3</v>
      </c>
      <c r="AG101" s="20" t="s">
        <v>67</v>
      </c>
      <c r="AH101" s="24">
        <f>AI101*$AH$102</f>
        <v>0.19831062591068094</v>
      </c>
      <c r="AI101" s="3">
        <f>AA90</f>
        <v>1.9E-2</v>
      </c>
      <c r="AJ101" s="3">
        <f>MW_N2</f>
        <v>2.801348E-2</v>
      </c>
      <c r="AK101" s="3">
        <f t="shared" si="19"/>
        <v>7.0791142660847894</v>
      </c>
      <c r="AL101" s="155">
        <f>AK101/$AK$102</f>
        <v>2.2296602066780094E-3</v>
      </c>
    </row>
    <row r="102" spans="2:38" x14ac:dyDescent="0.2">
      <c r="Y102" s="24" t="s">
        <v>19</v>
      </c>
      <c r="Z102" s="17">
        <f>Z91*Y95</f>
        <v>48.707873030693563</v>
      </c>
      <c r="AA102" s="17">
        <f>SUM(AA97:AA101)</f>
        <v>0.99999999999999989</v>
      </c>
      <c r="AB102" s="17"/>
      <c r="AC102" s="17">
        <f>SUM(AC98:AC101)</f>
        <v>14816.547595959828</v>
      </c>
      <c r="AD102" s="17">
        <f>SUM(AD97:AD101)</f>
        <v>0.99999999999999989</v>
      </c>
      <c r="AG102" s="3" t="s">
        <v>19</v>
      </c>
      <c r="AH102" s="17">
        <f>AG95*Z91</f>
        <v>10.437401363720049</v>
      </c>
      <c r="AI102" s="17">
        <f>SUM(AI97:AI101)</f>
        <v>0.99999999999999989</v>
      </c>
      <c r="AJ102" s="17"/>
      <c r="AK102" s="17">
        <f>SUM(AK97:AK101)</f>
        <v>3174.9744848485343</v>
      </c>
      <c r="AL102" s="17">
        <f>SUM(AL97:AL101)</f>
        <v>1</v>
      </c>
    </row>
    <row r="104" spans="2:38" x14ac:dyDescent="0.2">
      <c r="AE104" s="3">
        <f>(AH102*2)+Z102</f>
        <v>69.582675758133661</v>
      </c>
    </row>
    <row r="108" spans="2:38" ht="17" x14ac:dyDescent="0.25">
      <c r="B108" s="171" t="s">
        <v>494</v>
      </c>
      <c r="C108" s="3" t="s">
        <v>1</v>
      </c>
      <c r="D108" s="3" t="s">
        <v>5</v>
      </c>
      <c r="E108" s="201" t="s">
        <v>409</v>
      </c>
      <c r="H108" s="171" t="s">
        <v>389</v>
      </c>
      <c r="I108" s="3" t="s">
        <v>1</v>
      </c>
      <c r="J108" s="3" t="s">
        <v>5</v>
      </c>
      <c r="K108" s="201" t="s">
        <v>409</v>
      </c>
    </row>
    <row r="109" spans="2:38" ht="18" x14ac:dyDescent="0.25">
      <c r="B109" s="13" t="s">
        <v>41</v>
      </c>
      <c r="C109" s="13" t="s">
        <v>11</v>
      </c>
      <c r="D109" s="19" t="s">
        <v>84</v>
      </c>
      <c r="E109" s="13" t="s">
        <v>42</v>
      </c>
      <c r="F109" s="3" t="s">
        <v>44</v>
      </c>
      <c r="H109" s="13" t="s">
        <v>41</v>
      </c>
      <c r="I109" s="13" t="s">
        <v>11</v>
      </c>
      <c r="J109" s="19" t="s">
        <v>84</v>
      </c>
      <c r="K109" s="13" t="s">
        <v>42</v>
      </c>
      <c r="L109" s="3" t="s">
        <v>44</v>
      </c>
    </row>
    <row r="110" spans="2:38" ht="18" x14ac:dyDescent="0.25">
      <c r="B110" s="13" t="s">
        <v>65</v>
      </c>
      <c r="C110" s="3">
        <f>'Ore-&gt;PI'!BR258</f>
        <v>16.963528773956838</v>
      </c>
      <c r="D110" s="3">
        <f>MW_CH4</f>
        <v>1.604276E-2</v>
      </c>
      <c r="E110" s="3">
        <f>C110/D110</f>
        <v>1057.3946611404047</v>
      </c>
      <c r="F110" s="3">
        <v>1</v>
      </c>
      <c r="H110" s="20" t="s">
        <v>64</v>
      </c>
      <c r="I110" s="262">
        <f>K110*J110</f>
        <v>46.53572755785698</v>
      </c>
      <c r="J110" s="262">
        <f>MW_CO2</f>
        <v>4.4009800000000002E-2</v>
      </c>
      <c r="K110" s="262">
        <f>E110</f>
        <v>1057.3946611404047</v>
      </c>
      <c r="L110" s="3">
        <v>1</v>
      </c>
    </row>
    <row r="111" spans="2:38" ht="18" x14ac:dyDescent="0.25">
      <c r="B111" s="237" t="s">
        <v>24</v>
      </c>
      <c r="C111" s="3">
        <f>E111*D111</f>
        <v>67.670720565799158</v>
      </c>
      <c r="D111" s="3">
        <f>MW_O2</f>
        <v>3.1998800000000001E-2</v>
      </c>
      <c r="E111" s="3">
        <f>K110+(K111/2)</f>
        <v>2114.7893222808093</v>
      </c>
      <c r="F111" s="3">
        <v>2</v>
      </c>
      <c r="H111" s="13" t="s">
        <v>68</v>
      </c>
      <c r="I111" s="262">
        <f>K111*J111</f>
        <v>38.098521781899024</v>
      </c>
      <c r="J111" s="262">
        <f>MW_H2O</f>
        <v>1.8015280000000002E-2</v>
      </c>
      <c r="K111" s="262">
        <f>2*E110</f>
        <v>2114.7893222808093</v>
      </c>
      <c r="L111" s="3">
        <v>2</v>
      </c>
    </row>
    <row r="112" spans="2:38" ht="18" x14ac:dyDescent="0.25">
      <c r="B112" s="39" t="s">
        <v>67</v>
      </c>
      <c r="C112" s="3">
        <f>E112*D112</f>
        <v>222.75220752356552</v>
      </c>
      <c r="D112" s="3">
        <f>MW_N2</f>
        <v>2.801348E-2</v>
      </c>
      <c r="E112" s="3">
        <f>3.76*E111</f>
        <v>7951.6078517758424</v>
      </c>
      <c r="F112" s="3">
        <f>3.76*F111</f>
        <v>7.52</v>
      </c>
      <c r="H112" s="39" t="s">
        <v>67</v>
      </c>
      <c r="I112" s="262">
        <f>K112*J112</f>
        <v>222.75220752356552</v>
      </c>
      <c r="J112" s="262">
        <f>MW_N2</f>
        <v>2.801348E-2</v>
      </c>
      <c r="K112" s="262">
        <f>E112</f>
        <v>7951.6078517758424</v>
      </c>
      <c r="L112" s="3">
        <f>F112</f>
        <v>7.52</v>
      </c>
    </row>
    <row r="113" spans="2:44" x14ac:dyDescent="0.2">
      <c r="B113" s="17"/>
      <c r="C113" s="17">
        <f>SUM(C110:C112)</f>
        <v>307.38645686332154</v>
      </c>
      <c r="D113" s="17"/>
      <c r="E113" s="17"/>
      <c r="H113" s="17"/>
      <c r="I113" s="17">
        <f>SUM(I110:I112)</f>
        <v>307.38645686332154</v>
      </c>
      <c r="J113" s="17"/>
      <c r="K113" s="17"/>
    </row>
    <row r="115" spans="2:44" ht="17" x14ac:dyDescent="0.25">
      <c r="B115" s="13" t="s">
        <v>66</v>
      </c>
      <c r="C115" s="3">
        <f>C116*2</f>
        <v>2114.7893222808093</v>
      </c>
      <c r="D115" s="3" t="s">
        <v>29</v>
      </c>
      <c r="E115" s="3">
        <f>C115</f>
        <v>2114.7893222808093</v>
      </c>
    </row>
    <row r="116" spans="2:44" ht="18" x14ac:dyDescent="0.25">
      <c r="B116" s="13" t="s">
        <v>65</v>
      </c>
      <c r="C116" s="3">
        <f>E110</f>
        <v>1057.3946611404047</v>
      </c>
      <c r="D116" s="238" t="s">
        <v>24</v>
      </c>
      <c r="E116" s="3">
        <f>E115/2</f>
        <v>1057.3946611404047</v>
      </c>
      <c r="AE116" s="16" t="s">
        <v>450</v>
      </c>
      <c r="AR116" s="16" t="s">
        <v>450</v>
      </c>
    </row>
    <row r="124" spans="2:44" x14ac:dyDescent="0.2">
      <c r="V124" s="3" t="s">
        <v>381</v>
      </c>
    </row>
    <row r="125" spans="2:44" x14ac:dyDescent="0.2">
      <c r="H125" s="3" t="s">
        <v>377</v>
      </c>
      <c r="M125" s="16" t="s">
        <v>375</v>
      </c>
      <c r="U125" s="3" t="s">
        <v>380</v>
      </c>
    </row>
    <row r="127" spans="2:44" x14ac:dyDescent="0.2">
      <c r="C127" s="3" t="s">
        <v>400</v>
      </c>
    </row>
    <row r="146" spans="1:30" ht="16" thickBot="1" x14ac:dyDescent="0.25">
      <c r="A146" s="98"/>
      <c r="B146" s="98"/>
      <c r="C146" s="98"/>
      <c r="D146" s="98"/>
      <c r="E146" s="98"/>
      <c r="F146" s="98"/>
      <c r="G146" s="98"/>
      <c r="H146" s="98"/>
      <c r="I146" s="98"/>
      <c r="J146" s="98"/>
      <c r="K146" s="98"/>
      <c r="L146" s="98"/>
      <c r="M146" s="98"/>
      <c r="N146" s="98"/>
      <c r="O146" s="98"/>
      <c r="P146" s="98"/>
      <c r="Q146" s="98"/>
      <c r="R146" s="98"/>
      <c r="S146" s="98"/>
      <c r="T146" s="98"/>
      <c r="U146" s="98"/>
      <c r="V146" s="98"/>
      <c r="W146" s="98"/>
      <c r="X146" s="98"/>
      <c r="Y146" s="98"/>
      <c r="Z146" s="98"/>
      <c r="AA146" s="98"/>
      <c r="AB146" s="98"/>
      <c r="AC146" s="98"/>
      <c r="AD146" s="98"/>
    </row>
    <row r="147" spans="1:30" x14ac:dyDescent="0.2">
      <c r="C147" s="318" t="s">
        <v>661</v>
      </c>
      <c r="D147" s="318"/>
      <c r="E147" s="318"/>
      <c r="F147" s="318"/>
      <c r="G147" s="318"/>
    </row>
    <row r="148" spans="1:30" x14ac:dyDescent="0.2">
      <c r="B148" s="171" t="s">
        <v>451</v>
      </c>
      <c r="C148" s="319"/>
      <c r="D148" s="319"/>
      <c r="E148" s="319"/>
      <c r="F148" s="319"/>
      <c r="G148" s="319"/>
    </row>
    <row r="149" spans="1:30" x14ac:dyDescent="0.2">
      <c r="B149" s="3">
        <v>0.7</v>
      </c>
      <c r="I149" s="128" t="s">
        <v>337</v>
      </c>
    </row>
    <row r="150" spans="1:30" ht="18" x14ac:dyDescent="0.25">
      <c r="B150" s="171" t="s">
        <v>113</v>
      </c>
      <c r="C150" s="3" t="s">
        <v>1</v>
      </c>
      <c r="D150" s="3" t="s">
        <v>47</v>
      </c>
      <c r="E150" s="3" t="s">
        <v>5</v>
      </c>
      <c r="F150" s="201" t="s">
        <v>409</v>
      </c>
      <c r="G150" s="3" t="s">
        <v>39</v>
      </c>
      <c r="I150" s="1" t="s">
        <v>89</v>
      </c>
      <c r="L150" s="171" t="s">
        <v>113</v>
      </c>
      <c r="M150" s="3" t="s">
        <v>1</v>
      </c>
      <c r="N150" s="3" t="s">
        <v>47</v>
      </c>
      <c r="O150" s="3" t="s">
        <v>5</v>
      </c>
      <c r="P150" s="201" t="s">
        <v>409</v>
      </c>
      <c r="Q150" s="3" t="s">
        <v>39</v>
      </c>
    </row>
    <row r="151" spans="1:30" ht="18" x14ac:dyDescent="0.25">
      <c r="B151" s="13" t="s">
        <v>41</v>
      </c>
      <c r="C151" s="31" t="s">
        <v>11</v>
      </c>
      <c r="D151" s="31" t="s">
        <v>240</v>
      </c>
      <c r="E151" s="79" t="s">
        <v>84</v>
      </c>
      <c r="F151" s="31" t="s">
        <v>42</v>
      </c>
      <c r="G151" s="31" t="s">
        <v>43</v>
      </c>
      <c r="I151" s="13">
        <f>M155-(C156+C161)</f>
        <v>0</v>
      </c>
      <c r="L151" s="13" t="s">
        <v>41</v>
      </c>
      <c r="M151" s="31" t="s">
        <v>11</v>
      </c>
      <c r="N151" s="31" t="s">
        <v>240</v>
      </c>
      <c r="O151" s="79" t="s">
        <v>84</v>
      </c>
      <c r="P151" s="31" t="s">
        <v>42</v>
      </c>
      <c r="Q151" s="31" t="s">
        <v>43</v>
      </c>
    </row>
    <row r="152" spans="1:30" ht="17" x14ac:dyDescent="0.25">
      <c r="B152" s="34" t="s">
        <v>66</v>
      </c>
      <c r="C152" s="24">
        <f>H2_to_BF</f>
        <v>27.342940664747548</v>
      </c>
      <c r="D152" s="3">
        <f>C152/$C$156</f>
        <v>0.56136593456908346</v>
      </c>
      <c r="E152" s="3">
        <f>MW_H*2</f>
        <v>2.0158800000000003E-3</v>
      </c>
      <c r="F152" s="3">
        <f>C152/E152</f>
        <v>13563.773967075194</v>
      </c>
      <c r="G152" s="155">
        <f>F152/$AC$102</f>
        <v>0.91544766952145862</v>
      </c>
      <c r="L152" s="34" t="s">
        <v>68</v>
      </c>
      <c r="M152" s="24">
        <f>P152*O152</f>
        <v>286.3350229833307</v>
      </c>
      <c r="N152" s="3">
        <f>M152/M155</f>
        <v>0.22152381559059706</v>
      </c>
      <c r="O152" s="3">
        <f>MW_H2O</f>
        <v>1.8015280000000002E-2</v>
      </c>
      <c r="P152" s="3">
        <f>(2*F153) + F152</f>
        <v>15894.009029186927</v>
      </c>
      <c r="Q152" s="155">
        <f>P152/$AC$102</f>
        <v>1.0727201411967859</v>
      </c>
    </row>
    <row r="153" spans="1:30" ht="18" x14ac:dyDescent="0.25">
      <c r="B153" s="34" t="s">
        <v>65</v>
      </c>
      <c r="C153" s="24">
        <f>CH4_to_BF</f>
        <v>18.691700922521807</v>
      </c>
      <c r="D153" s="3">
        <f t="shared" ref="D153:D155" si="20">C153/$C$156</f>
        <v>0.38375112193347299</v>
      </c>
      <c r="E153" s="3">
        <f>MW_CH4</f>
        <v>1.604276E-2</v>
      </c>
      <c r="F153" s="3">
        <f t="shared" ref="F153:F155" si="21">C153/E153</f>
        <v>1165.1175310558663</v>
      </c>
      <c r="G153" s="155">
        <f>F153/$AC$102</f>
        <v>7.8636235837663701E-2</v>
      </c>
      <c r="L153" s="242" t="s">
        <v>64</v>
      </c>
      <c r="M153" s="24">
        <f>P153*O153</f>
        <v>51.276589518262462</v>
      </c>
      <c r="N153" s="3">
        <f>M153/M155</f>
        <v>3.9670263323741545E-2</v>
      </c>
      <c r="O153" s="3">
        <f>MW_CO2</f>
        <v>4.4009800000000002E-2</v>
      </c>
      <c r="P153" s="3">
        <f>F153</f>
        <v>1165.1175310558663</v>
      </c>
      <c r="Q153" s="155">
        <f>P153/$AC$102</f>
        <v>7.8636235837663701E-2</v>
      </c>
    </row>
    <row r="154" spans="1:30" ht="18" x14ac:dyDescent="0.25">
      <c r="B154" s="238" t="s">
        <v>24</v>
      </c>
      <c r="C154" s="24">
        <f>O2_to_BF_from_coke</f>
        <v>1.7477818558410245</v>
      </c>
      <c r="D154" s="3">
        <f t="shared" si="20"/>
        <v>3.5882943497443406E-2</v>
      </c>
      <c r="E154" s="3">
        <f>MW_O2</f>
        <v>3.1998800000000001E-2</v>
      </c>
      <c r="F154" s="3">
        <f t="shared" si="21"/>
        <v>54.620231253704027</v>
      </c>
      <c r="G154" s="155">
        <f>F154/$AC$102</f>
        <v>3.6864344341996282E-3</v>
      </c>
      <c r="L154" s="20" t="s">
        <v>67</v>
      </c>
      <c r="M154" s="24">
        <f>O154*P154</f>
        <v>954.95831827511677</v>
      </c>
      <c r="N154" s="3">
        <f>M154/M155</f>
        <v>0.73880592108566134</v>
      </c>
      <c r="O154" s="3">
        <f>MW_N2</f>
        <v>2.801348E-2</v>
      </c>
      <c r="P154" s="3">
        <f>F155+F160</f>
        <v>34089.242688702609</v>
      </c>
      <c r="Q154" s="155">
        <f>P154/$AC$102</f>
        <v>2.3007547789336602</v>
      </c>
    </row>
    <row r="155" spans="1:30" ht="18" x14ac:dyDescent="0.25">
      <c r="B155" s="20" t="s">
        <v>67</v>
      </c>
      <c r="C155" s="24">
        <f>N2_to_BF_from_coke</f>
        <v>0.92544958758317764</v>
      </c>
      <c r="D155" s="3">
        <f t="shared" si="20"/>
        <v>1.9E-2</v>
      </c>
      <c r="E155" s="3">
        <f>MW_N2</f>
        <v>2.801348E-2</v>
      </c>
      <c r="F155" s="3">
        <f t="shared" si="21"/>
        <v>33.03586657506235</v>
      </c>
      <c r="G155" s="155">
        <f>F155/$AC$102</f>
        <v>2.229660206678009E-3</v>
      </c>
      <c r="L155" s="3" t="s">
        <v>19</v>
      </c>
      <c r="M155" s="17">
        <f>SUM(M152:M154)</f>
        <v>1292.56993077671</v>
      </c>
      <c r="N155" s="17">
        <f>SUM(N152:N154)</f>
        <v>1</v>
      </c>
      <c r="O155" s="17"/>
      <c r="P155" s="17">
        <f>SUM(P152:P154)</f>
        <v>51148.369248945397</v>
      </c>
      <c r="Q155" s="17">
        <f>SUM(Q151:Q154)</f>
        <v>3.4521111559681099</v>
      </c>
    </row>
    <row r="156" spans="1:30" x14ac:dyDescent="0.2">
      <c r="B156" s="3" t="s">
        <v>19</v>
      </c>
      <c r="C156" s="17">
        <f>SUM(C152:C155)</f>
        <v>48.707873030693563</v>
      </c>
      <c r="D156" s="17">
        <f>SUM(D151:D155)</f>
        <v>0.99999999999999978</v>
      </c>
      <c r="E156" s="17"/>
      <c r="F156" s="17">
        <f>SUM(F152:F155)</f>
        <v>14816.547595959828</v>
      </c>
      <c r="G156" s="17">
        <f>SUM(G151:G155)</f>
        <v>0.99999999999999989</v>
      </c>
    </row>
    <row r="159" spans="1:30" ht="18" x14ac:dyDescent="0.25">
      <c r="B159" s="238" t="s">
        <v>24</v>
      </c>
      <c r="C159" s="24">
        <f>F159*E159</f>
        <v>289.82918905848277</v>
      </c>
      <c r="D159" s="3">
        <f>C159/$C$161</f>
        <v>0.23300750051310179</v>
      </c>
      <c r="E159" s="3">
        <f>MW_O2</f>
        <v>3.1998800000000001E-2</v>
      </c>
      <c r="F159" s="3">
        <f>C172-F154</f>
        <v>9057.5018143956258</v>
      </c>
      <c r="G159" s="155">
        <f>F159/$F$161</f>
        <v>0.21008403361344541</v>
      </c>
    </row>
    <row r="160" spans="1:30" ht="18" x14ac:dyDescent="0.25">
      <c r="B160" s="20" t="s">
        <v>67</v>
      </c>
      <c r="C160" s="24">
        <f>F160*E160</f>
        <v>954.03286868753366</v>
      </c>
      <c r="D160" s="3">
        <f>C160/$C$161</f>
        <v>0.76699249948689818</v>
      </c>
      <c r="E160" s="3">
        <f>MW_N2</f>
        <v>2.801348E-2</v>
      </c>
      <c r="F160" s="3">
        <f>3.76*F159</f>
        <v>34056.206822127548</v>
      </c>
      <c r="G160" s="155">
        <f>F160/$F$161</f>
        <v>0.78991596638655459</v>
      </c>
    </row>
    <row r="161" spans="2:21" x14ac:dyDescent="0.2">
      <c r="B161" s="3" t="s">
        <v>19</v>
      </c>
      <c r="C161" s="17">
        <f>SUM(C159:C160)</f>
        <v>1243.8620577460165</v>
      </c>
      <c r="D161" s="17">
        <f>SUM(D159:D160)</f>
        <v>1</v>
      </c>
      <c r="E161" s="17">
        <f>SUM(E159:E160)</f>
        <v>6.0012280000000001E-2</v>
      </c>
      <c r="F161" s="17">
        <f>SUM(F159:F160)</f>
        <v>43113.708636523173</v>
      </c>
      <c r="G161" s="17">
        <f>SUM(G159:G160)</f>
        <v>1</v>
      </c>
    </row>
    <row r="163" spans="2:21" x14ac:dyDescent="0.2">
      <c r="B163" s="3" t="s">
        <v>481</v>
      </c>
      <c r="C163" s="3">
        <f>C161+C156</f>
        <v>1292.56993077671</v>
      </c>
    </row>
    <row r="166" spans="2:21" ht="17" x14ac:dyDescent="0.25">
      <c r="B166" s="171" t="s">
        <v>113</v>
      </c>
      <c r="C166" s="201" t="s">
        <v>409</v>
      </c>
      <c r="E166" s="201" t="s">
        <v>409</v>
      </c>
      <c r="G166" s="171" t="s">
        <v>114</v>
      </c>
      <c r="H166" s="201" t="s">
        <v>409</v>
      </c>
      <c r="J166" s="201" t="s">
        <v>409</v>
      </c>
    </row>
    <row r="167" spans="2:21" ht="16" x14ac:dyDescent="0.2">
      <c r="C167" s="13" t="s">
        <v>42</v>
      </c>
      <c r="D167" s="1"/>
      <c r="E167" s="13" t="s">
        <v>42</v>
      </c>
      <c r="H167" s="13" t="s">
        <v>42</v>
      </c>
      <c r="I167" s="1"/>
      <c r="J167" s="13" t="s">
        <v>42</v>
      </c>
    </row>
    <row r="168" spans="2:21" ht="16" x14ac:dyDescent="0.2">
      <c r="B168" s="61" t="s">
        <v>18</v>
      </c>
      <c r="C168" s="1">
        <f>F153</f>
        <v>1165.1175310558663</v>
      </c>
      <c r="D168" s="19" t="s">
        <v>182</v>
      </c>
      <c r="E168" s="1">
        <f>2*E169</f>
        <v>31788.018058373855</v>
      </c>
      <c r="G168" s="13" t="s">
        <v>18</v>
      </c>
      <c r="H168" s="1">
        <f>H169</f>
        <v>1165.1175310558663</v>
      </c>
      <c r="I168" s="19" t="s">
        <v>182</v>
      </c>
      <c r="J168" s="1">
        <f>2*J169</f>
        <v>31788.018058373855</v>
      </c>
    </row>
    <row r="169" spans="2:21" ht="18" x14ac:dyDescent="0.25">
      <c r="B169" s="61" t="s">
        <v>453</v>
      </c>
      <c r="C169" s="1">
        <f>F153</f>
        <v>1165.1175310558663</v>
      </c>
      <c r="D169" s="61" t="s">
        <v>454</v>
      </c>
      <c r="E169" s="1">
        <f>F152+(2*F153)</f>
        <v>15894.009029186927</v>
      </c>
      <c r="G169" s="242" t="s">
        <v>64</v>
      </c>
      <c r="H169" s="1">
        <f>P153</f>
        <v>1165.1175310558663</v>
      </c>
      <c r="I169" s="13" t="s">
        <v>68</v>
      </c>
      <c r="J169" s="1">
        <f>P152</f>
        <v>15894.009029186927</v>
      </c>
    </row>
    <row r="171" spans="2:21" x14ac:dyDescent="0.2">
      <c r="B171" s="13" t="s">
        <v>29</v>
      </c>
      <c r="C171" s="3">
        <f>H171+J171</f>
        <v>18224.24409129866</v>
      </c>
      <c r="G171" s="13" t="s">
        <v>29</v>
      </c>
      <c r="H171" s="3">
        <f>2*H172</f>
        <v>2330.2350621117325</v>
      </c>
      <c r="I171" s="13" t="s">
        <v>29</v>
      </c>
      <c r="J171" s="3">
        <f>J172</f>
        <v>15894.009029186927</v>
      </c>
    </row>
    <row r="172" spans="2:21" ht="18" x14ac:dyDescent="0.25">
      <c r="B172" s="237" t="s">
        <v>24</v>
      </c>
      <c r="C172" s="3">
        <f>C171/2</f>
        <v>9112.1220456493302</v>
      </c>
      <c r="D172" s="20" t="s">
        <v>67</v>
      </c>
      <c r="E172" s="3">
        <f>F155+F160</f>
        <v>34089.242688702609</v>
      </c>
      <c r="G172" s="241" t="s">
        <v>64</v>
      </c>
      <c r="H172" s="3">
        <f>P153</f>
        <v>1165.1175310558663</v>
      </c>
      <c r="I172" s="13" t="s">
        <v>68</v>
      </c>
      <c r="J172" s="3">
        <f>P152</f>
        <v>15894.009029186927</v>
      </c>
    </row>
    <row r="174" spans="2:21" ht="16" thickBot="1" x14ac:dyDescent="0.25">
      <c r="B174" s="98"/>
      <c r="C174" s="98"/>
      <c r="D174" s="98"/>
      <c r="E174" s="98"/>
      <c r="F174" s="98"/>
      <c r="G174" s="98"/>
      <c r="H174" s="98"/>
      <c r="I174" s="98"/>
      <c r="J174" s="98"/>
      <c r="K174" s="98"/>
      <c r="L174" s="98"/>
      <c r="M174" s="98"/>
      <c r="N174" s="98"/>
      <c r="O174" s="98"/>
      <c r="P174" s="98"/>
      <c r="Q174" s="98"/>
      <c r="R174" s="98"/>
      <c r="S174" s="98"/>
      <c r="T174" s="98"/>
      <c r="U174" s="98"/>
    </row>
    <row r="176" spans="2:21" x14ac:dyDescent="0.2">
      <c r="B176" s="319" t="s">
        <v>662</v>
      </c>
      <c r="C176" s="319"/>
      <c r="D176" s="319"/>
      <c r="E176" s="319"/>
      <c r="F176" s="319"/>
      <c r="G176" s="319"/>
    </row>
    <row r="177" spans="2:17" x14ac:dyDescent="0.2">
      <c r="B177" s="319"/>
      <c r="C177" s="319"/>
      <c r="D177" s="319"/>
      <c r="E177" s="319"/>
      <c r="F177" s="319"/>
      <c r="G177" s="319"/>
    </row>
    <row r="178" spans="2:17" x14ac:dyDescent="0.2">
      <c r="B178" s="319"/>
      <c r="C178" s="319"/>
      <c r="D178" s="319"/>
      <c r="E178" s="319"/>
      <c r="F178" s="319"/>
      <c r="G178" s="319"/>
    </row>
    <row r="182" spans="2:17" x14ac:dyDescent="0.2">
      <c r="B182" s="171" t="s">
        <v>452</v>
      </c>
    </row>
    <row r="183" spans="2:17" x14ac:dyDescent="0.2">
      <c r="B183" s="3">
        <v>0.15</v>
      </c>
    </row>
    <row r="184" spans="2:17" ht="17" x14ac:dyDescent="0.25">
      <c r="B184" s="171" t="s">
        <v>113</v>
      </c>
      <c r="C184" s="3" t="s">
        <v>1</v>
      </c>
      <c r="D184" s="3" t="s">
        <v>47</v>
      </c>
      <c r="E184" s="3" t="s">
        <v>5</v>
      </c>
      <c r="F184" s="201" t="s">
        <v>409</v>
      </c>
      <c r="G184" s="3" t="s">
        <v>39</v>
      </c>
      <c r="L184" s="171" t="s">
        <v>114</v>
      </c>
      <c r="M184" s="3" t="s">
        <v>1</v>
      </c>
      <c r="N184" s="3" t="s">
        <v>47</v>
      </c>
      <c r="O184" s="3" t="s">
        <v>5</v>
      </c>
      <c r="P184" s="201" t="s">
        <v>409</v>
      </c>
      <c r="Q184" s="3" t="s">
        <v>39</v>
      </c>
    </row>
    <row r="185" spans="2:17" ht="18" x14ac:dyDescent="0.25">
      <c r="B185" s="13" t="s">
        <v>41</v>
      </c>
      <c r="C185" s="31" t="s">
        <v>11</v>
      </c>
      <c r="D185" s="31" t="s">
        <v>240</v>
      </c>
      <c r="E185" s="79" t="s">
        <v>84</v>
      </c>
      <c r="F185" s="31" t="s">
        <v>42</v>
      </c>
      <c r="G185" s="31" t="s">
        <v>43</v>
      </c>
      <c r="L185" s="13" t="s">
        <v>41</v>
      </c>
      <c r="M185" s="31" t="s">
        <v>11</v>
      </c>
      <c r="N185" s="31" t="s">
        <v>240</v>
      </c>
      <c r="O185" s="79" t="s">
        <v>84</v>
      </c>
      <c r="P185" s="31" t="s">
        <v>42</v>
      </c>
      <c r="Q185" s="31" t="s">
        <v>43</v>
      </c>
    </row>
    <row r="186" spans="2:17" ht="17" x14ac:dyDescent="0.25">
      <c r="B186" s="34" t="s">
        <v>66</v>
      </c>
      <c r="C186" s="24">
        <f>H2_to_coke_oven</f>
        <v>5.8592015710173317</v>
      </c>
      <c r="D186" s="3">
        <f>C186/$C$190</f>
        <v>0.56136593456908357</v>
      </c>
      <c r="E186" s="3">
        <f>MW_H*2</f>
        <v>2.0158800000000003E-3</v>
      </c>
      <c r="F186" s="3">
        <f>C186/E186</f>
        <v>2906.5229929446846</v>
      </c>
      <c r="G186" s="155">
        <f>F186/$F$190</f>
        <v>0.91544766952145873</v>
      </c>
      <c r="L186" s="34" t="s">
        <v>68</v>
      </c>
      <c r="M186" s="24">
        <f t="shared" ref="M186:M187" si="22">O186*P186</f>
        <v>61.357504924999432</v>
      </c>
      <c r="N186" s="3">
        <f>M186/M189</f>
        <v>0.22152381559059706</v>
      </c>
      <c r="O186" s="3">
        <f>MW_H2O</f>
        <v>1.8015280000000002E-2</v>
      </c>
      <c r="P186" s="3">
        <f>J200</f>
        <v>3405.8590776829128</v>
      </c>
      <c r="Q186" s="155">
        <f>P186/$AC$102</f>
        <v>0.22986860168502557</v>
      </c>
    </row>
    <row r="187" spans="2:17" ht="18" x14ac:dyDescent="0.25">
      <c r="B187" s="34" t="s">
        <v>65</v>
      </c>
      <c r="C187" s="24">
        <f>CH4_to_coke_oven</f>
        <v>4.0053644833975302</v>
      </c>
      <c r="D187" s="3">
        <f t="shared" ref="D187:D189" si="23">C187/$C$190</f>
        <v>0.3837511219334731</v>
      </c>
      <c r="E187" s="3">
        <f>MW_CH4</f>
        <v>1.604276E-2</v>
      </c>
      <c r="F187" s="3">
        <f t="shared" ref="F187:F189" si="24">C187/E187</f>
        <v>249.66804236911418</v>
      </c>
      <c r="G187" s="155">
        <f t="shared" ref="G187:G189" si="25">F187/$F$190</f>
        <v>7.8636235837663701E-2</v>
      </c>
      <c r="L187" s="242" t="s">
        <v>64</v>
      </c>
      <c r="M187" s="24">
        <f t="shared" si="22"/>
        <v>10.987840611056242</v>
      </c>
      <c r="N187" s="3">
        <f>M187/M189</f>
        <v>3.9670263323741545E-2</v>
      </c>
      <c r="O187" s="3">
        <f>MW_CO2</f>
        <v>4.4009800000000002E-2</v>
      </c>
      <c r="P187" s="3">
        <f>H200</f>
        <v>249.66804236911418</v>
      </c>
      <c r="Q187" s="155">
        <f>P187/$AC$102</f>
        <v>1.6850621965213648E-2</v>
      </c>
    </row>
    <row r="188" spans="2:17" ht="18" x14ac:dyDescent="0.25">
      <c r="B188" s="238" t="s">
        <v>24</v>
      </c>
      <c r="C188" s="24">
        <f>O2_to_coke_oven</f>
        <v>0.37452468339450529</v>
      </c>
      <c r="D188" s="3">
        <f t="shared" si="23"/>
        <v>3.5882943497443413E-2</v>
      </c>
      <c r="E188" s="3">
        <f>MW_O2</f>
        <v>3.1998800000000001E-2</v>
      </c>
      <c r="F188" s="3">
        <f t="shared" si="24"/>
        <v>11.704335268650864</v>
      </c>
      <c r="G188" s="155">
        <f t="shared" si="25"/>
        <v>3.6864344341996287E-3</v>
      </c>
      <c r="L188" s="20" t="s">
        <v>67</v>
      </c>
      <c r="M188" s="24">
        <f>O188*P188</f>
        <v>204.63392534466789</v>
      </c>
      <c r="N188" s="3">
        <f>M188/M189</f>
        <v>0.73880592108566145</v>
      </c>
      <c r="O188" s="3">
        <f>MW_N2</f>
        <v>2.801348E-2</v>
      </c>
      <c r="P188" s="3">
        <f>H207</f>
        <v>7304.8377190077026</v>
      </c>
      <c r="Q188" s="155">
        <f>P188/$AC$102</f>
        <v>0.49301888120007009</v>
      </c>
    </row>
    <row r="189" spans="2:17" ht="18" x14ac:dyDescent="0.25">
      <c r="B189" s="20" t="s">
        <v>67</v>
      </c>
      <c r="C189" s="24">
        <f>N2_to_coke_oven</f>
        <v>0.19831062591068094</v>
      </c>
      <c r="D189" s="3">
        <f t="shared" si="23"/>
        <v>1.9000000000000003E-2</v>
      </c>
      <c r="E189" s="3">
        <f>MW_N2</f>
        <v>2.801348E-2</v>
      </c>
      <c r="F189" s="3">
        <f t="shared" si="24"/>
        <v>7.0791142660847894</v>
      </c>
      <c r="G189" s="155">
        <f t="shared" si="25"/>
        <v>2.2296602066780094E-3</v>
      </c>
      <c r="L189" s="3" t="s">
        <v>19</v>
      </c>
      <c r="M189" s="17">
        <f>SUM(M186:M188)</f>
        <v>276.97927088072356</v>
      </c>
      <c r="N189" s="17">
        <f>SUM(N186:N188)</f>
        <v>1</v>
      </c>
      <c r="O189" s="17"/>
      <c r="P189" s="17">
        <f>SUM(P186:P188)</f>
        <v>10960.36483905973</v>
      </c>
      <c r="Q189" s="17">
        <f>SUM(Q185:Q188)</f>
        <v>0.73973810485030933</v>
      </c>
    </row>
    <row r="190" spans="2:17" x14ac:dyDescent="0.2">
      <c r="B190" s="3" t="s">
        <v>19</v>
      </c>
      <c r="C190" s="17">
        <f>SUM(C186:C189)</f>
        <v>10.437401363720047</v>
      </c>
      <c r="D190" s="17">
        <f>SUM(D185:D189)</f>
        <v>1</v>
      </c>
      <c r="E190" s="17"/>
      <c r="F190" s="17">
        <f>SUM(F185:F189)</f>
        <v>3174.9744848485343</v>
      </c>
      <c r="G190" s="17">
        <f>SUM(G185:G189)</f>
        <v>1</v>
      </c>
    </row>
    <row r="192" spans="2:17" ht="18" x14ac:dyDescent="0.25">
      <c r="B192" s="238" t="s">
        <v>24</v>
      </c>
      <c r="C192" s="3">
        <f>E192*F192</f>
        <v>62.106254798246304</v>
      </c>
      <c r="D192" s="3">
        <f>C192/C194</f>
        <v>0.23300750051310176</v>
      </c>
      <c r="E192" s="3">
        <f>MW_O2</f>
        <v>3.1998800000000001E-2</v>
      </c>
      <c r="F192" s="3">
        <f>C207</f>
        <v>1940.8932459419198</v>
      </c>
    </row>
    <row r="193" spans="2:10" ht="18" x14ac:dyDescent="0.25">
      <c r="B193" s="20" t="s">
        <v>67</v>
      </c>
      <c r="C193" s="3">
        <f>E193*F193</f>
        <v>204.43561471875722</v>
      </c>
      <c r="D193" s="3">
        <f>C193/C194</f>
        <v>0.76699249948689818</v>
      </c>
      <c r="E193" s="3">
        <f>MW_N2</f>
        <v>2.801348E-2</v>
      </c>
      <c r="F193" s="3">
        <f>E207</f>
        <v>7297.758604741618</v>
      </c>
    </row>
    <row r="194" spans="2:10" x14ac:dyDescent="0.2">
      <c r="C194" s="3">
        <f>SUM(C192:C193)</f>
        <v>266.54186951700353</v>
      </c>
      <c r="D194" s="3">
        <f>SUM(D192:D193)</f>
        <v>1</v>
      </c>
    </row>
    <row r="195" spans="2:10" x14ac:dyDescent="0.2">
      <c r="B195" s="3" t="s">
        <v>480</v>
      </c>
      <c r="C195" s="3">
        <f>C194+C190</f>
        <v>276.97927088072356</v>
      </c>
    </row>
    <row r="197" spans="2:10" ht="17" x14ac:dyDescent="0.25">
      <c r="B197" s="171" t="s">
        <v>113</v>
      </c>
      <c r="C197" s="201" t="s">
        <v>409</v>
      </c>
      <c r="E197" s="201" t="s">
        <v>409</v>
      </c>
      <c r="G197" s="171" t="s">
        <v>114</v>
      </c>
      <c r="H197" s="201" t="s">
        <v>409</v>
      </c>
      <c r="J197" s="201" t="s">
        <v>409</v>
      </c>
    </row>
    <row r="198" spans="2:10" ht="16" x14ac:dyDescent="0.2">
      <c r="C198" s="13" t="s">
        <v>42</v>
      </c>
      <c r="D198" s="1"/>
      <c r="E198" s="13" t="s">
        <v>42</v>
      </c>
      <c r="H198" s="13" t="s">
        <v>42</v>
      </c>
      <c r="I198" s="1"/>
      <c r="J198" s="13" t="s">
        <v>42</v>
      </c>
    </row>
    <row r="199" spans="2:10" ht="16" x14ac:dyDescent="0.2">
      <c r="B199" s="61" t="s">
        <v>18</v>
      </c>
      <c r="C199" s="1">
        <f>C200</f>
        <v>249.66804236911418</v>
      </c>
      <c r="D199" s="19" t="s">
        <v>182</v>
      </c>
      <c r="E199" s="1">
        <f>(2*F186)+(4*C200)</f>
        <v>6811.7181553658256</v>
      </c>
      <c r="G199" s="13" t="s">
        <v>18</v>
      </c>
      <c r="H199" s="1">
        <f>C199</f>
        <v>249.66804236911418</v>
      </c>
      <c r="I199" s="19" t="s">
        <v>182</v>
      </c>
      <c r="J199" s="1">
        <f>E199</f>
        <v>6811.7181553658256</v>
      </c>
    </row>
    <row r="200" spans="2:10" ht="18" x14ac:dyDescent="0.25">
      <c r="B200" s="61" t="s">
        <v>453</v>
      </c>
      <c r="C200" s="1">
        <f>F187</f>
        <v>249.66804236911418</v>
      </c>
      <c r="D200" s="61"/>
      <c r="E200" s="1"/>
      <c r="G200" s="242" t="s">
        <v>64</v>
      </c>
      <c r="H200" s="1">
        <f>H199</f>
        <v>249.66804236911418</v>
      </c>
      <c r="I200" s="13" t="s">
        <v>68</v>
      </c>
      <c r="J200" s="1">
        <f>J199/2</f>
        <v>3405.8590776829128</v>
      </c>
    </row>
    <row r="202" spans="2:10" x14ac:dyDescent="0.2">
      <c r="B202" s="13" t="s">
        <v>29</v>
      </c>
      <c r="C202" s="3">
        <f>2*C203</f>
        <v>23.408670537301727</v>
      </c>
      <c r="G202" s="13" t="s">
        <v>29</v>
      </c>
      <c r="H202" s="3">
        <f>2*H203</f>
        <v>499.33608473822835</v>
      </c>
      <c r="I202" s="13" t="s">
        <v>29</v>
      </c>
      <c r="J202" s="3">
        <f>J203</f>
        <v>3405.8590776829128</v>
      </c>
    </row>
    <row r="203" spans="2:10" ht="18" x14ac:dyDescent="0.25">
      <c r="B203" s="237" t="s">
        <v>24</v>
      </c>
      <c r="C203" s="3">
        <f>F188</f>
        <v>11.704335268650864</v>
      </c>
      <c r="D203" s="20" t="s">
        <v>67</v>
      </c>
      <c r="E203" s="3">
        <f>F189</f>
        <v>7.0791142660847894</v>
      </c>
      <c r="G203" s="241" t="s">
        <v>64</v>
      </c>
      <c r="H203" s="3">
        <f>H200</f>
        <v>249.66804236911418</v>
      </c>
      <c r="I203" s="13" t="s">
        <v>68</v>
      </c>
      <c r="J203" s="3">
        <f>J200</f>
        <v>3405.8590776829128</v>
      </c>
    </row>
    <row r="206" spans="2:10" x14ac:dyDescent="0.2">
      <c r="B206" s="13" t="s">
        <v>29</v>
      </c>
      <c r="C206" s="3">
        <f>J202+H202-C202</f>
        <v>3881.7864918838395</v>
      </c>
    </row>
    <row r="207" spans="2:10" ht="18" x14ac:dyDescent="0.25">
      <c r="B207" s="237" t="s">
        <v>24</v>
      </c>
      <c r="C207" s="3">
        <f>C206/2</f>
        <v>1940.8932459419198</v>
      </c>
      <c r="D207" s="20" t="s">
        <v>67</v>
      </c>
      <c r="E207" s="3">
        <f>3.76*C207</f>
        <v>7297.758604741618</v>
      </c>
      <c r="G207" s="20" t="s">
        <v>67</v>
      </c>
      <c r="H207" s="3">
        <f>E203+E207</f>
        <v>7304.8377190077026</v>
      </c>
    </row>
    <row r="213" spans="2:20" ht="16" thickBot="1" x14ac:dyDescent="0.25">
      <c r="B213" s="98"/>
      <c r="C213" s="98"/>
      <c r="D213" s="98"/>
      <c r="E213" s="98"/>
      <c r="F213" s="98"/>
      <c r="G213" s="98"/>
      <c r="H213" s="98"/>
      <c r="I213" s="98"/>
      <c r="J213" s="98"/>
      <c r="K213" s="98"/>
      <c r="L213" s="98"/>
      <c r="M213" s="98"/>
      <c r="N213" s="98"/>
      <c r="O213" s="98"/>
      <c r="P213" s="98"/>
      <c r="Q213" s="98"/>
      <c r="R213" s="98"/>
      <c r="S213" s="98"/>
      <c r="T213" s="98"/>
    </row>
    <row r="215" spans="2:20" ht="18" x14ac:dyDescent="0.25">
      <c r="B215" s="319" t="s">
        <v>497</v>
      </c>
      <c r="C215" s="319"/>
      <c r="D215" s="319"/>
      <c r="E215" s="319"/>
      <c r="G215" s="20" t="s">
        <v>67</v>
      </c>
      <c r="H215" s="237" t="s">
        <v>24</v>
      </c>
      <c r="J215" s="312" t="s">
        <v>70</v>
      </c>
      <c r="K215" s="312"/>
      <c r="L215" s="312"/>
      <c r="M215" s="312"/>
      <c r="N215" s="312"/>
      <c r="O215" s="312"/>
    </row>
    <row r="216" spans="2:20" ht="18" x14ac:dyDescent="0.25">
      <c r="B216" s="319"/>
      <c r="C216" s="319"/>
      <c r="D216" s="319"/>
      <c r="E216" s="319"/>
      <c r="G216" s="13">
        <v>3.76</v>
      </c>
      <c r="H216" s="13">
        <v>2</v>
      </c>
      <c r="J216" s="312" t="s">
        <v>499</v>
      </c>
      <c r="K216" s="312"/>
      <c r="L216" s="312"/>
      <c r="M216" s="13"/>
      <c r="N216" s="316" t="s">
        <v>75</v>
      </c>
      <c r="O216" s="317"/>
    </row>
    <row r="217" spans="2:20" x14ac:dyDescent="0.2">
      <c r="B217" s="319"/>
      <c r="C217" s="319"/>
      <c r="D217" s="319"/>
      <c r="E217" s="319"/>
      <c r="J217" s="312" t="str">
        <f>_xlfn.CONCAT(G222," ",B222," ","+"," ",G223," ","("," ",B223," ","+"," ",G224," ",B224," ",")"," ","--&gt;"," ",M222," ",H222," ","+"," ",M223," ",H223," ","+"," ",M224," ",H224)</f>
        <v>1 C12H23 + 17.75 ( O2 + 3.76 N2 ) --&gt; 12 CO2 + 11.5 H2O + 66.74 N2</v>
      </c>
      <c r="K217" s="312"/>
      <c r="L217" s="312"/>
      <c r="M217" s="312"/>
      <c r="N217" s="312"/>
      <c r="O217" s="312"/>
    </row>
    <row r="218" spans="2:20" x14ac:dyDescent="0.2">
      <c r="B218" s="313" t="s">
        <v>663</v>
      </c>
      <c r="C218" s="313"/>
      <c r="D218" s="313"/>
      <c r="E218" s="313"/>
    </row>
    <row r="220" spans="2:20" ht="17" x14ac:dyDescent="0.25">
      <c r="C220" s="3" t="s">
        <v>1</v>
      </c>
      <c r="D220" s="3" t="s">
        <v>5</v>
      </c>
      <c r="E220" s="201" t="s">
        <v>409</v>
      </c>
      <c r="H220" s="171" t="s">
        <v>389</v>
      </c>
      <c r="I220" s="3" t="s">
        <v>1</v>
      </c>
      <c r="J220" s="3" t="s">
        <v>5</v>
      </c>
      <c r="K220" s="201" t="s">
        <v>409</v>
      </c>
    </row>
    <row r="221" spans="2:20" ht="18" x14ac:dyDescent="0.25">
      <c r="B221" s="171" t="s">
        <v>498</v>
      </c>
      <c r="C221" s="13" t="s">
        <v>11</v>
      </c>
      <c r="D221" s="19" t="s">
        <v>84</v>
      </c>
      <c r="E221" s="13" t="s">
        <v>42</v>
      </c>
      <c r="F221" s="3" t="s">
        <v>44</v>
      </c>
      <c r="H221" s="13" t="s">
        <v>41</v>
      </c>
      <c r="I221" s="13" t="s">
        <v>11</v>
      </c>
      <c r="J221" s="19" t="s">
        <v>84</v>
      </c>
      <c r="K221" s="13" t="s">
        <v>42</v>
      </c>
      <c r="L221" s="3" t="s">
        <v>44</v>
      </c>
    </row>
    <row r="222" spans="2:20" ht="18" x14ac:dyDescent="0.25">
      <c r="B222" s="61" t="s">
        <v>492</v>
      </c>
      <c r="C222" s="3">
        <f>'Ore-&gt;PI'!L226</f>
        <v>0.49224560722974403</v>
      </c>
      <c r="D222" s="3">
        <f>MW_C12H23</f>
        <v>0.16731462</v>
      </c>
      <c r="E222" s="3">
        <f>C222/D222</f>
        <v>2.9420358318343252</v>
      </c>
      <c r="F222" s="30" t="s">
        <v>33</v>
      </c>
      <c r="G222" s="3">
        <v>1</v>
      </c>
      <c r="H222" s="241" t="s">
        <v>64</v>
      </c>
      <c r="I222" s="3">
        <f>J222*K222</f>
        <v>1.5537409026223474</v>
      </c>
      <c r="J222" s="3">
        <f>MW_CO2</f>
        <v>4.4009800000000002E-2</v>
      </c>
      <c r="K222" s="3">
        <f>M222*E222</f>
        <v>35.304429982011904</v>
      </c>
      <c r="L222" s="30" t="s">
        <v>35</v>
      </c>
      <c r="M222" s="3">
        <f>12*G222</f>
        <v>12</v>
      </c>
    </row>
    <row r="223" spans="2:20" ht="18" x14ac:dyDescent="0.25">
      <c r="B223" s="237" t="s">
        <v>24</v>
      </c>
      <c r="C223" s="3">
        <f>E223*D223</f>
        <v>1.6710136871186787</v>
      </c>
      <c r="D223" s="3">
        <f>MW_O2</f>
        <v>3.1998800000000001E-2</v>
      </c>
      <c r="E223" s="3">
        <f>E222*G223</f>
        <v>52.221136015059272</v>
      </c>
      <c r="F223" s="30" t="s">
        <v>34</v>
      </c>
      <c r="G223" s="3">
        <f>((2*M222)+M223)/2</f>
        <v>17.75</v>
      </c>
      <c r="H223" s="13" t="s">
        <v>68</v>
      </c>
      <c r="I223" s="3">
        <f t="shared" ref="I223:I224" si="26">J223*K223</f>
        <v>0.60951839172607525</v>
      </c>
      <c r="J223" s="3">
        <f>MW_H2O</f>
        <v>1.8015280000000002E-2</v>
      </c>
      <c r="K223" s="3">
        <f>M223*E222</f>
        <v>33.833412066094738</v>
      </c>
      <c r="L223" s="30" t="s">
        <v>36</v>
      </c>
      <c r="M223" s="3">
        <f>(23/2)*G222</f>
        <v>11.5</v>
      </c>
    </row>
    <row r="224" spans="2:20" ht="18" x14ac:dyDescent="0.25">
      <c r="B224" s="20" t="s">
        <v>67</v>
      </c>
      <c r="C224" s="3">
        <f>E224*D224</f>
        <v>5.5004880175001354</v>
      </c>
      <c r="D224" s="3">
        <f>MW_N2</f>
        <v>2.801348E-2</v>
      </c>
      <c r="E224" s="3">
        <f>E223*G224</f>
        <v>196.35147141662284</v>
      </c>
      <c r="F224" s="30" t="s">
        <v>206</v>
      </c>
      <c r="G224" s="3">
        <v>3.76</v>
      </c>
      <c r="H224" s="20" t="s">
        <v>67</v>
      </c>
      <c r="I224" s="3">
        <f t="shared" si="26"/>
        <v>5.5004880175001354</v>
      </c>
      <c r="J224" s="3">
        <f>MW_N2</f>
        <v>2.801348E-2</v>
      </c>
      <c r="K224" s="3">
        <f>E224</f>
        <v>196.35147141662284</v>
      </c>
      <c r="L224" s="30" t="s">
        <v>37</v>
      </c>
      <c r="M224" s="3">
        <f>G223*G224</f>
        <v>66.739999999999995</v>
      </c>
    </row>
    <row r="225" spans="2:21" x14ac:dyDescent="0.2">
      <c r="B225" s="3" t="s">
        <v>19</v>
      </c>
      <c r="C225" s="17">
        <f>SUM(C222:C224)</f>
        <v>7.6637473118485584</v>
      </c>
      <c r="D225" s="17"/>
      <c r="E225" s="17">
        <f>SUM(E222:E224)</f>
        <v>251.51464326351643</v>
      </c>
      <c r="I225" s="17">
        <f>SUM(I222:I224)</f>
        <v>7.6637473118485584</v>
      </c>
      <c r="J225" s="17"/>
      <c r="K225" s="17">
        <f>SUM(K222:K224)</f>
        <v>265.48931346472949</v>
      </c>
    </row>
    <row r="228" spans="2:21" x14ac:dyDescent="0.2">
      <c r="J228" s="132" t="s">
        <v>642</v>
      </c>
      <c r="K228" s="132" t="s">
        <v>645</v>
      </c>
      <c r="L228" s="3" t="s">
        <v>392</v>
      </c>
      <c r="M228" s="3" t="s">
        <v>40</v>
      </c>
      <c r="N228" s="4" t="s">
        <v>35</v>
      </c>
      <c r="O228" s="132" t="s">
        <v>643</v>
      </c>
      <c r="P228" s="132" t="s">
        <v>644</v>
      </c>
    </row>
    <row r="229" spans="2:21" x14ac:dyDescent="0.2">
      <c r="C229" s="3" t="s">
        <v>641</v>
      </c>
      <c r="J229" s="13" t="s">
        <v>98</v>
      </c>
      <c r="K229" s="13" t="s">
        <v>98</v>
      </c>
      <c r="L229" s="13" t="s">
        <v>346</v>
      </c>
      <c r="M229" s="13" t="s">
        <v>240</v>
      </c>
      <c r="N229" s="13" t="s">
        <v>240</v>
      </c>
      <c r="O229" s="13" t="s">
        <v>98</v>
      </c>
      <c r="P229" s="13" t="s">
        <v>346</v>
      </c>
    </row>
    <row r="230" spans="2:21" ht="18" x14ac:dyDescent="0.25">
      <c r="B230" s="13" t="s">
        <v>182</v>
      </c>
      <c r="C230" s="3">
        <f>23*C232</f>
        <v>67.666824132189475</v>
      </c>
      <c r="D230" s="19" t="s">
        <v>303</v>
      </c>
      <c r="E230" s="3">
        <f>E232</f>
        <v>35.304429982011904</v>
      </c>
      <c r="F230" s="19" t="s">
        <v>303</v>
      </c>
      <c r="G230" s="3">
        <f>G231/2</f>
        <v>16.916706033047369</v>
      </c>
      <c r="J230" s="3">
        <v>1.0401</v>
      </c>
      <c r="K230" s="3">
        <v>0.17280000000000001</v>
      </c>
      <c r="L230" s="3">
        <f>LHV_Diesel</f>
        <v>42600</v>
      </c>
      <c r="M230" s="3">
        <f>C236/C238</f>
        <v>0.13855704898950252</v>
      </c>
      <c r="N230" s="3">
        <f>C237/C238</f>
        <v>0.86144295101049739</v>
      </c>
      <c r="O230" s="3">
        <f>J230+(K230*(M230/N230))</f>
        <v>1.0678936664724004</v>
      </c>
      <c r="P230" s="3">
        <f>O230*L230</f>
        <v>45492.270191724252</v>
      </c>
    </row>
    <row r="231" spans="2:21" x14ac:dyDescent="0.2">
      <c r="B231" s="13" t="s">
        <v>18</v>
      </c>
      <c r="C231" s="3">
        <f>12*C232</f>
        <v>35.304429982011904</v>
      </c>
      <c r="D231" s="13" t="s">
        <v>18</v>
      </c>
      <c r="E231" s="3">
        <f>E232</f>
        <v>35.304429982011904</v>
      </c>
      <c r="F231" s="3" t="s">
        <v>29</v>
      </c>
      <c r="G231" s="3">
        <f>G232</f>
        <v>33.833412066094738</v>
      </c>
    </row>
    <row r="232" spans="2:21" ht="18" x14ac:dyDescent="0.25">
      <c r="B232" s="61" t="s">
        <v>492</v>
      </c>
      <c r="C232" s="3">
        <f>E222</f>
        <v>2.9420358318343252</v>
      </c>
      <c r="D232" s="241" t="s">
        <v>64</v>
      </c>
      <c r="E232" s="3">
        <f>C231</f>
        <v>35.304429982011904</v>
      </c>
      <c r="F232" s="13" t="s">
        <v>68</v>
      </c>
      <c r="G232" s="3">
        <f>C230/2</f>
        <v>33.833412066094738</v>
      </c>
    </row>
    <row r="234" spans="2:21" x14ac:dyDescent="0.2">
      <c r="C234" s="3" t="s">
        <v>1</v>
      </c>
      <c r="N234" s="3" t="s">
        <v>646</v>
      </c>
    </row>
    <row r="235" spans="2:21" x14ac:dyDescent="0.2">
      <c r="C235" s="3" t="s">
        <v>588</v>
      </c>
      <c r="N235" s="3" t="s">
        <v>647</v>
      </c>
    </row>
    <row r="236" spans="2:21" x14ac:dyDescent="0.2">
      <c r="B236" s="13" t="s">
        <v>182</v>
      </c>
      <c r="C236" s="3">
        <f>C230*MW_H</f>
        <v>6.8204098715799064E-2</v>
      </c>
    </row>
    <row r="237" spans="2:21" x14ac:dyDescent="0.2">
      <c r="B237" s="13" t="s">
        <v>18</v>
      </c>
      <c r="C237" s="3">
        <f>C231*MW_C</f>
        <v>0.42404150851394495</v>
      </c>
    </row>
    <row r="238" spans="2:21" ht="18" thickBot="1" x14ac:dyDescent="0.3">
      <c r="B238" s="61" t="s">
        <v>492</v>
      </c>
      <c r="C238" s="98">
        <f>SUM(C236:C237)</f>
        <v>0.49224560722974403</v>
      </c>
      <c r="D238" s="98"/>
      <c r="E238" s="98"/>
      <c r="F238" s="98"/>
      <c r="G238" s="98"/>
      <c r="H238" s="98"/>
      <c r="I238" s="98"/>
      <c r="J238" s="98"/>
      <c r="K238" s="98"/>
      <c r="L238" s="98"/>
      <c r="M238" s="98"/>
      <c r="N238" s="98"/>
      <c r="O238" s="98"/>
      <c r="P238" s="98"/>
      <c r="Q238" s="98"/>
      <c r="R238" s="98"/>
      <c r="S238" s="98"/>
      <c r="T238" s="98"/>
      <c r="U238" s="98"/>
    </row>
    <row r="240" spans="2:21" x14ac:dyDescent="0.2">
      <c r="B240" s="319" t="s">
        <v>507</v>
      </c>
      <c r="C240" s="319"/>
      <c r="D240" s="319"/>
      <c r="E240" s="319"/>
      <c r="J240" s="312" t="s">
        <v>70</v>
      </c>
      <c r="K240" s="312"/>
      <c r="L240" s="312"/>
      <c r="M240" s="312"/>
      <c r="N240" s="312"/>
      <c r="O240" s="312"/>
    </row>
    <row r="241" spans="2:21" ht="18" x14ac:dyDescent="0.25">
      <c r="B241" s="319"/>
      <c r="C241" s="319"/>
      <c r="D241" s="319"/>
      <c r="E241" s="319"/>
      <c r="J241" s="312" t="s">
        <v>509</v>
      </c>
      <c r="K241" s="312"/>
      <c r="L241" s="312"/>
      <c r="M241" s="13"/>
      <c r="N241" s="316" t="s">
        <v>75</v>
      </c>
      <c r="O241" s="317"/>
    </row>
    <row r="242" spans="2:21" x14ac:dyDescent="0.2">
      <c r="B242" s="319"/>
      <c r="C242" s="319"/>
      <c r="D242" s="319"/>
      <c r="E242" s="319"/>
      <c r="J242" s="312" t="str">
        <f>_xlfn.CONCAT(G247," ",B247," ","+"," ",G248," ","("," ",B248," ","+"," ",G249," ",B249," ",")"," ","--&gt;"," ",M247," ",H247," ","+"," ",M248," ",H248," ","+"," ",M249," ",H249)</f>
        <v>1 C8H18 + 12.5 ( O2 + 3.76 N2 ) --&gt; 8 CO2 + 9 H2O + 47 N2</v>
      </c>
      <c r="K242" s="312"/>
      <c r="L242" s="312"/>
      <c r="M242" s="312"/>
      <c r="N242" s="312"/>
      <c r="O242" s="312"/>
    </row>
    <row r="243" spans="2:21" x14ac:dyDescent="0.2">
      <c r="B243" s="313" t="s">
        <v>663</v>
      </c>
      <c r="C243" s="313"/>
      <c r="D243" s="313"/>
      <c r="E243" s="313"/>
    </row>
    <row r="245" spans="2:21" ht="17" x14ac:dyDescent="0.25">
      <c r="C245" s="3" t="s">
        <v>1</v>
      </c>
      <c r="D245" s="3" t="s">
        <v>5</v>
      </c>
      <c r="E245" s="201" t="s">
        <v>409</v>
      </c>
      <c r="H245" s="171" t="s">
        <v>389</v>
      </c>
      <c r="I245" s="3" t="s">
        <v>1</v>
      </c>
      <c r="J245" s="3" t="s">
        <v>5</v>
      </c>
      <c r="K245" s="201" t="s">
        <v>409</v>
      </c>
    </row>
    <row r="246" spans="2:21" ht="18" x14ac:dyDescent="0.25">
      <c r="B246" s="171" t="s">
        <v>508</v>
      </c>
      <c r="C246" s="13" t="s">
        <v>11</v>
      </c>
      <c r="D246" s="19" t="s">
        <v>84</v>
      </c>
      <c r="E246" s="13" t="s">
        <v>42</v>
      </c>
      <c r="F246" s="3" t="s">
        <v>44</v>
      </c>
      <c r="H246" s="13" t="s">
        <v>41</v>
      </c>
      <c r="I246" s="13" t="s">
        <v>11</v>
      </c>
      <c r="J246" s="19" t="s">
        <v>84</v>
      </c>
      <c r="K246" s="13" t="s">
        <v>42</v>
      </c>
      <c r="L246" s="3" t="s">
        <v>44</v>
      </c>
    </row>
    <row r="247" spans="2:21" ht="18" x14ac:dyDescent="0.25">
      <c r="B247" s="61" t="s">
        <v>491</v>
      </c>
      <c r="C247" s="3">
        <f>'Ore-&gt;PI'!L155</f>
        <v>5.1714158616864253E-4</v>
      </c>
      <c r="D247" s="3">
        <f>MW_C8H18</f>
        <v>0.11423092</v>
      </c>
      <c r="E247" s="3">
        <f>C247/D247</f>
        <v>4.5271594255622081E-3</v>
      </c>
      <c r="F247" s="30" t="s">
        <v>33</v>
      </c>
      <c r="G247" s="3">
        <v>1</v>
      </c>
      <c r="H247" s="241" t="s">
        <v>64</v>
      </c>
      <c r="I247" s="3">
        <f>J247*K247</f>
        <v>1.5939150470968614E-3</v>
      </c>
      <c r="J247" s="3">
        <f>MW_CO2</f>
        <v>4.4009800000000002E-2</v>
      </c>
      <c r="K247" s="3">
        <f>M247*E247</f>
        <v>3.6217275404497665E-2</v>
      </c>
      <c r="L247" s="30" t="s">
        <v>35</v>
      </c>
      <c r="M247" s="3">
        <f>8*G247</f>
        <v>8</v>
      </c>
    </row>
    <row r="248" spans="2:21" ht="18" x14ac:dyDescent="0.25">
      <c r="B248" s="237" t="s">
        <v>24</v>
      </c>
      <c r="C248" s="3">
        <f>E248*D248</f>
        <v>1.8107958628335E-3</v>
      </c>
      <c r="D248" s="3">
        <f>MW_O2</f>
        <v>3.1998800000000001E-2</v>
      </c>
      <c r="E248" s="3">
        <f>E247*G248</f>
        <v>5.6589492819527604E-2</v>
      </c>
      <c r="F248" s="30" t="s">
        <v>34</v>
      </c>
      <c r="G248" s="3">
        <f>((2*M247)+(M248))/2</f>
        <v>12.5</v>
      </c>
      <c r="H248" s="13" t="s">
        <v>68</v>
      </c>
      <c r="I248" s="3">
        <f t="shared" ref="I248:I249" si="27">J248*K248</f>
        <v>7.3402240190528106E-4</v>
      </c>
      <c r="J248" s="3">
        <f>MW_H2O</f>
        <v>1.8015280000000002E-2</v>
      </c>
      <c r="K248" s="3">
        <f>M248*E247</f>
        <v>4.0744434830059871E-2</v>
      </c>
      <c r="L248" s="30" t="s">
        <v>36</v>
      </c>
      <c r="M248" s="3">
        <f>9*G247</f>
        <v>9</v>
      </c>
    </row>
    <row r="249" spans="2:21" ht="18" x14ac:dyDescent="0.25">
      <c r="B249" s="20" t="s">
        <v>67</v>
      </c>
      <c r="C249" s="3">
        <f>E249*D249</f>
        <v>5.9606100311655258E-3</v>
      </c>
      <c r="D249" s="3">
        <f>MW_N2</f>
        <v>2.801348E-2</v>
      </c>
      <c r="E249" s="3">
        <f>E248*G249</f>
        <v>0.21277649300142379</v>
      </c>
      <c r="F249" s="30" t="s">
        <v>206</v>
      </c>
      <c r="G249" s="3">
        <v>3.76</v>
      </c>
      <c r="H249" s="20" t="s">
        <v>67</v>
      </c>
      <c r="I249" s="3">
        <f t="shared" si="27"/>
        <v>5.9606100311655258E-3</v>
      </c>
      <c r="J249" s="3">
        <f>MW_N2</f>
        <v>2.801348E-2</v>
      </c>
      <c r="K249" s="3">
        <f>E249</f>
        <v>0.21277649300142379</v>
      </c>
      <c r="L249" s="30" t="s">
        <v>37</v>
      </c>
      <c r="M249" s="3">
        <f>G249*G248</f>
        <v>47</v>
      </c>
    </row>
    <row r="250" spans="2:21" x14ac:dyDescent="0.2">
      <c r="B250" s="3" t="s">
        <v>19</v>
      </c>
      <c r="C250" s="17">
        <f>SUM(C247:C249)</f>
        <v>8.2885474801676681E-3</v>
      </c>
      <c r="D250" s="17"/>
      <c r="E250" s="17">
        <f>SUM(E247:E249)</f>
        <v>0.27389314524651359</v>
      </c>
      <c r="I250" s="17">
        <f>SUM(I247:I249)</f>
        <v>8.2885474801676681E-3</v>
      </c>
      <c r="J250" s="17"/>
      <c r="K250" s="17">
        <f>SUM(K247:K249)</f>
        <v>0.28973820323598132</v>
      </c>
    </row>
    <row r="252" spans="2:21" x14ac:dyDescent="0.2">
      <c r="B252" s="132" t="s">
        <v>642</v>
      </c>
      <c r="C252" s="132" t="s">
        <v>645</v>
      </c>
      <c r="D252" s="3" t="s">
        <v>392</v>
      </c>
      <c r="E252" s="3" t="s">
        <v>40</v>
      </c>
      <c r="F252" s="4" t="s">
        <v>35</v>
      </c>
      <c r="G252" s="132" t="s">
        <v>643</v>
      </c>
      <c r="H252" s="132" t="s">
        <v>648</v>
      </c>
    </row>
    <row r="253" spans="2:21" x14ac:dyDescent="0.2">
      <c r="B253" s="13" t="s">
        <v>98</v>
      </c>
      <c r="C253" s="13" t="s">
        <v>98</v>
      </c>
      <c r="D253" s="13" t="s">
        <v>346</v>
      </c>
      <c r="E253" s="13" t="s">
        <v>240</v>
      </c>
      <c r="F253" s="13" t="s">
        <v>240</v>
      </c>
      <c r="G253" s="13" t="s">
        <v>98</v>
      </c>
      <c r="H253" s="13" t="s">
        <v>346</v>
      </c>
    </row>
    <row r="254" spans="2:21" x14ac:dyDescent="0.2">
      <c r="B254" s="3">
        <v>1.0401</v>
      </c>
      <c r="C254" s="3">
        <v>0.17280000000000001</v>
      </c>
      <c r="D254" s="3">
        <f>LHV_Gasoline</f>
        <v>43400</v>
      </c>
      <c r="E254" s="3">
        <f>(MW_H*18)/(MW_C8H18)</f>
        <v>0.15882669946105663</v>
      </c>
      <c r="F254" s="3">
        <f>1-E254</f>
        <v>0.84117330053894335</v>
      </c>
      <c r="G254" s="3">
        <f>B254+(C254*(E254/F254))</f>
        <v>1.0727273475980352</v>
      </c>
      <c r="H254" s="3">
        <f>G254*D254</f>
        <v>46556.366885754731</v>
      </c>
    </row>
    <row r="255" spans="2:21" ht="16" thickBot="1" x14ac:dyDescent="0.25">
      <c r="B255" s="98"/>
      <c r="C255" s="98"/>
      <c r="D255" s="98"/>
      <c r="E255" s="98"/>
      <c r="F255" s="98"/>
      <c r="G255" s="98"/>
      <c r="H255" s="98"/>
      <c r="I255" s="98"/>
      <c r="J255" s="98"/>
      <c r="K255" s="98"/>
      <c r="L255" s="98"/>
      <c r="M255" s="98"/>
      <c r="N255" s="98"/>
      <c r="O255" s="98"/>
      <c r="P255" s="98"/>
      <c r="Q255" s="98"/>
      <c r="R255" s="98"/>
      <c r="S255" s="98"/>
      <c r="T255" s="98"/>
      <c r="U255" s="98"/>
    </row>
    <row r="257" spans="2:19" x14ac:dyDescent="0.2">
      <c r="B257" s="319" t="s">
        <v>512</v>
      </c>
      <c r="C257" s="319"/>
      <c r="D257" s="319"/>
      <c r="E257" s="319"/>
      <c r="J257" s="312" t="s">
        <v>70</v>
      </c>
      <c r="K257" s="312"/>
      <c r="L257" s="312"/>
      <c r="M257" s="312"/>
      <c r="N257" s="312"/>
      <c r="O257" s="312"/>
    </row>
    <row r="258" spans="2:19" ht="18" x14ac:dyDescent="0.25">
      <c r="B258" s="319"/>
      <c r="C258" s="319"/>
      <c r="D258" s="319"/>
      <c r="E258" s="319"/>
      <c r="J258" s="312" t="s">
        <v>514</v>
      </c>
      <c r="K258" s="312"/>
      <c r="L258" s="312"/>
      <c r="M258" s="13"/>
      <c r="N258" s="316" t="s">
        <v>75</v>
      </c>
      <c r="O258" s="317"/>
    </row>
    <row r="259" spans="2:19" x14ac:dyDescent="0.2">
      <c r="B259" s="319"/>
      <c r="C259" s="319"/>
      <c r="D259" s="319"/>
      <c r="E259" s="319"/>
      <c r="J259" s="312" t="str">
        <f>_xlfn.CONCAT(G264," ",B264," ","+"," ",G265," ","("," ",B265," ","+"," ",G266," ",B266," ",")"," ","--&gt;"," ",M264," ",H264," ","+"," ",M265," ",H265," ","+"," ",M266," ",H266)</f>
        <v>1 C10H20 + 15 ( O2 + 3.76 N2 ) --&gt; 10 CO2 + 10 H2O + 56.4 N2</v>
      </c>
      <c r="K259" s="312"/>
      <c r="L259" s="312"/>
      <c r="M259" s="312"/>
      <c r="N259" s="312"/>
      <c r="O259" s="312"/>
    </row>
    <row r="260" spans="2:19" x14ac:dyDescent="0.2">
      <c r="B260" s="313" t="s">
        <v>663</v>
      </c>
      <c r="C260" s="313"/>
      <c r="D260" s="313"/>
      <c r="E260" s="313"/>
    </row>
    <row r="262" spans="2:19" ht="17" x14ac:dyDescent="0.25">
      <c r="C262" s="3" t="s">
        <v>1</v>
      </c>
      <c r="D262" s="3" t="s">
        <v>5</v>
      </c>
      <c r="E262" s="201" t="s">
        <v>409</v>
      </c>
      <c r="H262" s="171" t="s">
        <v>389</v>
      </c>
      <c r="I262" s="3" t="s">
        <v>1</v>
      </c>
      <c r="J262" s="3" t="s">
        <v>5</v>
      </c>
      <c r="K262" s="201" t="s">
        <v>409</v>
      </c>
    </row>
    <row r="263" spans="2:19" ht="18" x14ac:dyDescent="0.25">
      <c r="B263" s="171" t="s">
        <v>352</v>
      </c>
      <c r="C263" s="13" t="s">
        <v>11</v>
      </c>
      <c r="D263" s="19" t="s">
        <v>84</v>
      </c>
      <c r="E263" s="13" t="s">
        <v>42</v>
      </c>
      <c r="F263" s="3" t="s">
        <v>44</v>
      </c>
      <c r="H263" s="13" t="s">
        <v>41</v>
      </c>
      <c r="I263" s="13" t="s">
        <v>11</v>
      </c>
      <c r="J263" s="19" t="s">
        <v>84</v>
      </c>
      <c r="K263" s="13" t="s">
        <v>42</v>
      </c>
      <c r="L263" s="3" t="s">
        <v>44</v>
      </c>
    </row>
    <row r="264" spans="2:19" ht="18" x14ac:dyDescent="0.25">
      <c r="B264" s="61" t="s">
        <v>510</v>
      </c>
      <c r="C264" s="3">
        <f>'Ore-&gt;PI'!$EC$105</f>
        <v>4.8979947555174279</v>
      </c>
      <c r="D264" s="3">
        <f>MW_Oil</f>
        <v>0.1402688</v>
      </c>
      <c r="E264" s="3">
        <f>C264/D264</f>
        <v>34.918633049669118</v>
      </c>
      <c r="F264" s="30" t="s">
        <v>33</v>
      </c>
      <c r="G264" s="3">
        <v>1</v>
      </c>
      <c r="H264" s="241" t="s">
        <v>64</v>
      </c>
      <c r="I264" s="3">
        <f>J264*K264</f>
        <v>15.367620567893281</v>
      </c>
      <c r="J264" s="3">
        <f>MW_CO2</f>
        <v>4.4009800000000002E-2</v>
      </c>
      <c r="K264" s="3">
        <f>M264*E264</f>
        <v>349.1863304966912</v>
      </c>
      <c r="L264" s="30" t="s">
        <v>35</v>
      </c>
      <c r="M264" s="3">
        <v>10</v>
      </c>
    </row>
    <row r="265" spans="2:19" ht="18" x14ac:dyDescent="0.25">
      <c r="B265" s="237" t="s">
        <v>24</v>
      </c>
      <c r="C265" s="3">
        <f>E265*D265</f>
        <v>16.760315328446286</v>
      </c>
      <c r="D265" s="3">
        <f>MW_O2</f>
        <v>3.1998800000000001E-2</v>
      </c>
      <c r="E265" s="3">
        <f>E264*G265</f>
        <v>523.7794957450368</v>
      </c>
      <c r="F265" s="30" t="s">
        <v>34</v>
      </c>
      <c r="G265" s="3">
        <f>((2*M264)+(M265))/2</f>
        <v>15</v>
      </c>
      <c r="H265" s="13" t="s">
        <v>68</v>
      </c>
      <c r="I265" s="3">
        <f t="shared" ref="I265:I266" si="28">J265*K265</f>
        <v>6.2906895160704313</v>
      </c>
      <c r="J265" s="3">
        <f>MW_H2O</f>
        <v>1.8015280000000002E-2</v>
      </c>
      <c r="K265" s="3">
        <f>M265*E264</f>
        <v>349.1863304966912</v>
      </c>
      <c r="L265" s="30" t="s">
        <v>36</v>
      </c>
      <c r="M265" s="3">
        <v>10</v>
      </c>
    </row>
    <row r="266" spans="2:19" ht="18" x14ac:dyDescent="0.25">
      <c r="B266" s="20" t="s">
        <v>67</v>
      </c>
      <c r="C266" s="3">
        <f>E266*D266</f>
        <v>55.170052971023409</v>
      </c>
      <c r="D266" s="3">
        <f>MW_N2</f>
        <v>2.801348E-2</v>
      </c>
      <c r="E266" s="3">
        <f>E265*G266</f>
        <v>1969.4109040013382</v>
      </c>
      <c r="F266" s="30" t="s">
        <v>206</v>
      </c>
      <c r="G266" s="3">
        <v>3.76</v>
      </c>
      <c r="H266" s="20" t="s">
        <v>67</v>
      </c>
      <c r="I266" s="3">
        <f t="shared" si="28"/>
        <v>55.170052971023409</v>
      </c>
      <c r="J266" s="3">
        <f>MW_N2</f>
        <v>2.801348E-2</v>
      </c>
      <c r="K266" s="3">
        <f>E266</f>
        <v>1969.4109040013382</v>
      </c>
      <c r="L266" s="30" t="s">
        <v>37</v>
      </c>
      <c r="M266" s="3">
        <f>G266*G265</f>
        <v>56.4</v>
      </c>
    </row>
    <row r="267" spans="2:19" x14ac:dyDescent="0.2">
      <c r="B267" s="3" t="s">
        <v>19</v>
      </c>
      <c r="C267" s="17">
        <f>SUM(C264:C266)</f>
        <v>76.828363054987122</v>
      </c>
      <c r="D267" s="17"/>
      <c r="E267" s="17">
        <f>SUM(E264:E266)</f>
        <v>2528.1090327960442</v>
      </c>
      <c r="I267" s="17">
        <f>SUM(I264:I266)</f>
        <v>76.828363054987122</v>
      </c>
      <c r="J267" s="17"/>
      <c r="K267" s="17">
        <f>SUM(K264:K266)</f>
        <v>2667.7835649947206</v>
      </c>
    </row>
    <row r="269" spans="2:19" x14ac:dyDescent="0.2">
      <c r="B269" s="132" t="s">
        <v>642</v>
      </c>
      <c r="C269" s="132" t="s">
        <v>645</v>
      </c>
      <c r="D269" s="3" t="s">
        <v>392</v>
      </c>
      <c r="E269" s="3" t="s">
        <v>40</v>
      </c>
      <c r="F269" s="4" t="s">
        <v>35</v>
      </c>
      <c r="G269" s="132" t="s">
        <v>643</v>
      </c>
      <c r="H269" s="132" t="s">
        <v>649</v>
      </c>
    </row>
    <row r="270" spans="2:19" x14ac:dyDescent="0.2">
      <c r="B270" s="13" t="s">
        <v>98</v>
      </c>
      <c r="C270" s="13" t="s">
        <v>98</v>
      </c>
      <c r="D270" s="13" t="s">
        <v>346</v>
      </c>
      <c r="E270" s="13" t="s">
        <v>240</v>
      </c>
      <c r="F270" s="13" t="s">
        <v>240</v>
      </c>
      <c r="G270" s="13" t="s">
        <v>98</v>
      </c>
      <c r="H270" s="13" t="s">
        <v>346</v>
      </c>
    </row>
    <row r="271" spans="2:19" ht="16" thickBot="1" x14ac:dyDescent="0.25">
      <c r="B271" s="300">
        <v>1.0401</v>
      </c>
      <c r="C271" s="300">
        <v>0.17280000000000001</v>
      </c>
      <c r="D271" s="300">
        <f>LHV_Oil</f>
        <v>39500</v>
      </c>
      <c r="E271" s="300">
        <f>(MW_H*20)/(MW_Oil)</f>
        <v>0.14371549482137158</v>
      </c>
      <c r="F271" s="300">
        <f>1-E271</f>
        <v>0.85628450517862842</v>
      </c>
      <c r="G271" s="300">
        <f>B271+(0.1728*(E271/F271))</f>
        <v>1.069102086753809</v>
      </c>
      <c r="H271" s="300">
        <f>G271*D271</f>
        <v>42229.532426775455</v>
      </c>
      <c r="I271" s="98"/>
      <c r="J271" s="98"/>
      <c r="K271" s="98"/>
      <c r="L271" s="98"/>
      <c r="M271" s="98"/>
      <c r="N271" s="98"/>
      <c r="O271" s="98"/>
      <c r="P271" s="98"/>
      <c r="Q271" s="98"/>
      <c r="R271" s="98"/>
      <c r="S271" s="98"/>
    </row>
    <row r="273" spans="2:15" x14ac:dyDescent="0.2">
      <c r="B273" s="319" t="s">
        <v>511</v>
      </c>
      <c r="C273" s="319"/>
      <c r="D273" s="319"/>
      <c r="E273" s="319"/>
      <c r="J273" s="312" t="s">
        <v>70</v>
      </c>
      <c r="K273" s="312"/>
      <c r="L273" s="312"/>
      <c r="M273" s="312"/>
      <c r="N273" s="312"/>
      <c r="O273" s="312"/>
    </row>
    <row r="274" spans="2:15" ht="18" x14ac:dyDescent="0.25">
      <c r="B274" s="319"/>
      <c r="C274" s="319"/>
      <c r="D274" s="319"/>
      <c r="E274" s="319"/>
      <c r="J274" s="312" t="s">
        <v>74</v>
      </c>
      <c r="K274" s="312"/>
      <c r="L274" s="312"/>
      <c r="M274" s="13"/>
      <c r="N274" s="316" t="s">
        <v>75</v>
      </c>
      <c r="O274" s="317"/>
    </row>
    <row r="275" spans="2:15" x14ac:dyDescent="0.2">
      <c r="B275" s="319"/>
      <c r="C275" s="319"/>
      <c r="D275" s="319"/>
      <c r="E275" s="319"/>
      <c r="J275" s="312" t="str">
        <f>_xlfn.CONCAT(G280," ",B280," ","+"," ",G281," ","("," ",B281," ","+"," ",G282," ",B282," ",")"," ","--&gt;"," ",M280," ",H280," ","+"," ",M281," ",H281," ","+"," ",M282," ",H282)</f>
        <v>1 CH4 + 2 ( O2 + 3.76 N2 ) --&gt; 1 CO2 + 2 H2O + 7.52 N2</v>
      </c>
      <c r="K275" s="312"/>
      <c r="L275" s="312"/>
      <c r="M275" s="312"/>
      <c r="N275" s="312"/>
      <c r="O275" s="312"/>
    </row>
    <row r="276" spans="2:15" x14ac:dyDescent="0.2">
      <c r="B276" s="313" t="s">
        <v>663</v>
      </c>
      <c r="C276" s="313"/>
      <c r="D276" s="313"/>
      <c r="E276" s="313"/>
    </row>
    <row r="278" spans="2:15" ht="17" x14ac:dyDescent="0.25">
      <c r="C278" s="3" t="s">
        <v>1</v>
      </c>
      <c r="D278" s="3" t="s">
        <v>5</v>
      </c>
      <c r="E278" s="201" t="s">
        <v>409</v>
      </c>
      <c r="H278" s="171" t="s">
        <v>389</v>
      </c>
      <c r="I278" s="3" t="s">
        <v>1</v>
      </c>
      <c r="J278" s="3" t="s">
        <v>5</v>
      </c>
      <c r="K278" s="201" t="s">
        <v>409</v>
      </c>
    </row>
    <row r="279" spans="2:15" ht="18" x14ac:dyDescent="0.25">
      <c r="B279" s="171" t="s">
        <v>513</v>
      </c>
      <c r="C279" s="13" t="s">
        <v>11</v>
      </c>
      <c r="D279" s="19" t="s">
        <v>84</v>
      </c>
      <c r="E279" s="13" t="s">
        <v>42</v>
      </c>
      <c r="F279" s="3" t="s">
        <v>44</v>
      </c>
      <c r="H279" s="13" t="s">
        <v>41</v>
      </c>
      <c r="I279" s="13" t="s">
        <v>11</v>
      </c>
      <c r="J279" s="19" t="s">
        <v>84</v>
      </c>
      <c r="K279" s="13" t="s">
        <v>42</v>
      </c>
      <c r="L279" s="3" t="s">
        <v>44</v>
      </c>
    </row>
    <row r="280" spans="2:15" ht="18" x14ac:dyDescent="0.25">
      <c r="B280" s="13" t="s">
        <v>65</v>
      </c>
      <c r="C280" s="3">
        <f>'Ore-&gt;PI'!EC118</f>
        <v>44.774669200794314</v>
      </c>
      <c r="D280" s="3">
        <f>MW_CH4</f>
        <v>1.604276E-2</v>
      </c>
      <c r="E280" s="3">
        <f>C280/D280</f>
        <v>2790.9579898218458</v>
      </c>
      <c r="F280" s="30" t="s">
        <v>33</v>
      </c>
      <c r="G280" s="3">
        <v>1</v>
      </c>
      <c r="H280" s="241" t="s">
        <v>64</v>
      </c>
      <c r="I280" s="3">
        <f>J280*K280</f>
        <v>122.82950294046147</v>
      </c>
      <c r="J280" s="3">
        <f>MW_CO2</f>
        <v>4.4009800000000002E-2</v>
      </c>
      <c r="K280" s="3">
        <f>M280*E280</f>
        <v>2790.9579898218458</v>
      </c>
      <c r="L280" s="30" t="s">
        <v>35</v>
      </c>
      <c r="M280" s="3">
        <v>1</v>
      </c>
    </row>
    <row r="281" spans="2:15" ht="18" x14ac:dyDescent="0.25">
      <c r="B281" s="237" t="s">
        <v>24</v>
      </c>
      <c r="C281" s="3">
        <f>E281*D281</f>
        <v>178.61461304942256</v>
      </c>
      <c r="D281" s="3">
        <f>MW_O2</f>
        <v>3.1998800000000001E-2</v>
      </c>
      <c r="E281" s="3">
        <f>(K280+(K281/2))</f>
        <v>5581.9159796436916</v>
      </c>
      <c r="F281" s="30" t="s">
        <v>34</v>
      </c>
      <c r="G281" s="3">
        <f>E281/E280</f>
        <v>2</v>
      </c>
      <c r="H281" s="13" t="s">
        <v>68</v>
      </c>
      <c r="I281" s="3">
        <f t="shared" ref="I281:I282" si="29">J281*K281</f>
        <v>100.55977930975541</v>
      </c>
      <c r="J281" s="3">
        <f>MW_H2O</f>
        <v>1.8015280000000002E-2</v>
      </c>
      <c r="K281" s="3">
        <f>M281*E280</f>
        <v>5581.9159796436916</v>
      </c>
      <c r="L281" s="30" t="s">
        <v>36</v>
      </c>
      <c r="M281" s="3">
        <v>2</v>
      </c>
    </row>
    <row r="282" spans="2:15" ht="18" x14ac:dyDescent="0.25">
      <c r="B282" s="20" t="s">
        <v>67</v>
      </c>
      <c r="C282" s="3">
        <f>E282*D282</f>
        <v>587.94703263193287</v>
      </c>
      <c r="D282" s="3">
        <f>MW_N2</f>
        <v>2.801348E-2</v>
      </c>
      <c r="E282" s="3">
        <f>E281*G282</f>
        <v>20988.004083460281</v>
      </c>
      <c r="F282" s="30" t="s">
        <v>206</v>
      </c>
      <c r="G282" s="3">
        <v>3.76</v>
      </c>
      <c r="H282" s="20" t="s">
        <v>67</v>
      </c>
      <c r="I282" s="3">
        <f t="shared" si="29"/>
        <v>587.94703263193287</v>
      </c>
      <c r="J282" s="3">
        <f>MW_N2</f>
        <v>2.801348E-2</v>
      </c>
      <c r="K282" s="3">
        <f>E282</f>
        <v>20988.004083460281</v>
      </c>
      <c r="L282" s="30" t="s">
        <v>37</v>
      </c>
      <c r="M282" s="3">
        <f>G282*G281</f>
        <v>7.52</v>
      </c>
    </row>
    <row r="283" spans="2:15" x14ac:dyDescent="0.2">
      <c r="B283" s="3" t="s">
        <v>19</v>
      </c>
      <c r="C283" s="17">
        <f>SUM(C280:C282)</f>
        <v>811.33631488214974</v>
      </c>
      <c r="D283" s="17"/>
      <c r="E283" s="17">
        <f>SUM(E280:E282)</f>
        <v>29360.878052925818</v>
      </c>
      <c r="I283" s="17">
        <f>SUM(I280:I282)</f>
        <v>811.33631488214974</v>
      </c>
      <c r="J283" s="17"/>
      <c r="K283" s="17">
        <f>SUM(K280:K282)</f>
        <v>29360.878052925818</v>
      </c>
    </row>
    <row r="285" spans="2:15" x14ac:dyDescent="0.2">
      <c r="C285" s="3" t="s">
        <v>1</v>
      </c>
      <c r="D285" s="3" t="s">
        <v>5</v>
      </c>
      <c r="E285" s="132" t="s">
        <v>322</v>
      </c>
      <c r="F285" s="3" t="s">
        <v>392</v>
      </c>
      <c r="G285" s="3" t="s">
        <v>593</v>
      </c>
      <c r="H285" s="3" t="s">
        <v>593</v>
      </c>
    </row>
    <row r="286" spans="2:15" ht="18" x14ac:dyDescent="0.25">
      <c r="C286" s="13" t="s">
        <v>11</v>
      </c>
      <c r="D286" s="19" t="s">
        <v>84</v>
      </c>
      <c r="E286" s="13" t="s">
        <v>98</v>
      </c>
      <c r="F286" s="13" t="s">
        <v>346</v>
      </c>
      <c r="G286" s="13" t="s">
        <v>346</v>
      </c>
      <c r="H286" s="13" t="s">
        <v>58</v>
      </c>
    </row>
    <row r="287" spans="2:15" x14ac:dyDescent="0.2">
      <c r="B287" s="13" t="s">
        <v>182</v>
      </c>
      <c r="C287" s="3">
        <f>(C288*D287)/D288</f>
        <v>15.029616209890477</v>
      </c>
      <c r="D287" s="3">
        <f>MW_H*4</f>
        <v>4.0317600000000006E-3</v>
      </c>
      <c r="E287" s="3">
        <f>1.0401+(0.1728*(C290/C291))</f>
        <v>1.1274125921766986</v>
      </c>
      <c r="F287" s="3">
        <f>LHV_CH4</f>
        <v>50000</v>
      </c>
      <c r="G287" s="3">
        <f>E287*F287</f>
        <v>56370.629608834934</v>
      </c>
      <c r="H287" s="3">
        <f>G287*D280</f>
        <v>904.34048186343273</v>
      </c>
    </row>
    <row r="288" spans="2:15" ht="17" x14ac:dyDescent="0.25">
      <c r="B288" s="13" t="s">
        <v>65</v>
      </c>
      <c r="C288" s="3">
        <f>C280</f>
        <v>44.774669200794314</v>
      </c>
      <c r="D288" s="3">
        <f>MW_C</f>
        <v>1.2010999999999999E-2</v>
      </c>
    </row>
    <row r="290" spans="2:3" x14ac:dyDescent="0.2">
      <c r="B290" s="3" t="s">
        <v>591</v>
      </c>
      <c r="C290" s="3">
        <f>C287/C288</f>
        <v>0.33567230039130802</v>
      </c>
    </row>
    <row r="291" spans="2:3" x14ac:dyDescent="0.2">
      <c r="B291" s="3" t="s">
        <v>592</v>
      </c>
      <c r="C291" s="3">
        <f>(1-C290)</f>
        <v>0.66432769960869198</v>
      </c>
    </row>
  </sheetData>
  <mergeCells count="77">
    <mergeCell ref="A60:A61"/>
    <mergeCell ref="H51:M52"/>
    <mergeCell ref="B44:C44"/>
    <mergeCell ref="B35:B36"/>
    <mergeCell ref="C47:F48"/>
    <mergeCell ref="H48:M48"/>
    <mergeCell ref="J59:J62"/>
    <mergeCell ref="B19:B21"/>
    <mergeCell ref="B22:B23"/>
    <mergeCell ref="O17:U17"/>
    <mergeCell ref="H49:J49"/>
    <mergeCell ref="L49:M49"/>
    <mergeCell ref="B25:B26"/>
    <mergeCell ref="B29:B30"/>
    <mergeCell ref="B31:B32"/>
    <mergeCell ref="B37:B39"/>
    <mergeCell ref="B41:B42"/>
    <mergeCell ref="O10:U10"/>
    <mergeCell ref="O11:Q11"/>
    <mergeCell ref="T11:U11"/>
    <mergeCell ref="O12:Q12"/>
    <mergeCell ref="T12:U12"/>
    <mergeCell ref="O13:Q13"/>
    <mergeCell ref="T13:U13"/>
    <mergeCell ref="T15:U15"/>
    <mergeCell ref="R11:S11"/>
    <mergeCell ref="R12:S12"/>
    <mergeCell ref="R13:S13"/>
    <mergeCell ref="R14:S14"/>
    <mergeCell ref="R15:S15"/>
    <mergeCell ref="O15:Q15"/>
    <mergeCell ref="O14:Q14"/>
    <mergeCell ref="T14:U14"/>
    <mergeCell ref="V15:AB15"/>
    <mergeCell ref="V10:AB10"/>
    <mergeCell ref="V11:AB11"/>
    <mergeCell ref="V12:AB12"/>
    <mergeCell ref="V13:AB13"/>
    <mergeCell ref="V14:AB14"/>
    <mergeCell ref="V17:AB17"/>
    <mergeCell ref="O18:Q18"/>
    <mergeCell ref="R18:S18"/>
    <mergeCell ref="T18:U18"/>
    <mergeCell ref="V18:AB19"/>
    <mergeCell ref="Y69:AF71"/>
    <mergeCell ref="B215:E217"/>
    <mergeCell ref="J215:O215"/>
    <mergeCell ref="J216:L216"/>
    <mergeCell ref="N216:O216"/>
    <mergeCell ref="J217:O217"/>
    <mergeCell ref="B69:G70"/>
    <mergeCell ref="H77:L77"/>
    <mergeCell ref="H84:K84"/>
    <mergeCell ref="X87:X90"/>
    <mergeCell ref="B260:E260"/>
    <mergeCell ref="B276:E276"/>
    <mergeCell ref="B257:E259"/>
    <mergeCell ref="J257:O257"/>
    <mergeCell ref="J258:L258"/>
    <mergeCell ref="N258:O258"/>
    <mergeCell ref="J259:O259"/>
    <mergeCell ref="B273:E275"/>
    <mergeCell ref="J273:O273"/>
    <mergeCell ref="J274:L274"/>
    <mergeCell ref="N274:O274"/>
    <mergeCell ref="J275:O275"/>
    <mergeCell ref="A80:A85"/>
    <mergeCell ref="A91:A94"/>
    <mergeCell ref="J240:O240"/>
    <mergeCell ref="J241:L241"/>
    <mergeCell ref="B243:E243"/>
    <mergeCell ref="N241:O241"/>
    <mergeCell ref="J242:O242"/>
    <mergeCell ref="C147:G148"/>
    <mergeCell ref="B176:G178"/>
    <mergeCell ref="B218:E218"/>
    <mergeCell ref="B240:E242"/>
  </mergeCells>
  <conditionalFormatting sqref="I151">
    <cfRule type="cellIs" dxfId="35" priority="1" operator="notEqual">
      <formula>0</formula>
    </cfRule>
  </conditionalFormatting>
  <hyperlinks>
    <hyperlink ref="A2" r:id="rId1" xr:uid="{06BDC9B5-4B0A-4C45-943E-2ED9BE99B31A}"/>
    <hyperlink ref="M125" r:id="rId2" xr:uid="{F9BA8725-7C53-AB44-AF4C-E18E05DBDF2F}"/>
    <hyperlink ref="AE116" r:id="rId3" xr:uid="{308A9F46-42FF-1140-813D-6092AB213401}"/>
    <hyperlink ref="A59" r:id="rId4" xr:uid="{C6620225-6BCE-FC43-9B7E-6F33F87D9C91}"/>
    <hyperlink ref="J59" r:id="rId5" display="https://chem.libretexts.org/Bookshelves/Organic_Chemistry/Supplemental_Modules_(Organic_Chemistry)/Alkanes/Reactivity_of_Alkanes/Complete_vs._Incomplete_Combustion_of_Alkanes " xr:uid="{83FA2892-2277-B54B-BAA2-8CF8844F592B}"/>
    <hyperlink ref="AR116" r:id="rId6" xr:uid="{816AF03E-4724-254A-A9BB-64A411931216}"/>
  </hyperlinks>
  <pageMargins left="0.7" right="0.7" top="0.75" bottom="0.75" header="0.3" footer="0.3"/>
  <pageSetup paperSize="9" orientation="portrait" horizontalDpi="0" verticalDpi="0"/>
  <drawing r:id="rId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12539-C459-6940-994A-578BA5F638E2}">
  <dimension ref="B1:V34"/>
  <sheetViews>
    <sheetView topLeftCell="L1" zoomScale="212" workbookViewId="0">
      <selection activeCell="U19" sqref="U19"/>
    </sheetView>
  </sheetViews>
  <sheetFormatPr baseColWidth="10" defaultRowHeight="15" x14ac:dyDescent="0.2"/>
  <sheetData>
    <row r="1" spans="2:22" x14ac:dyDescent="0.2">
      <c r="C1" s="3" t="s">
        <v>627</v>
      </c>
    </row>
    <row r="2" spans="2:22" x14ac:dyDescent="0.2">
      <c r="C2" s="3">
        <f>298.15</f>
        <v>298.14999999999998</v>
      </c>
    </row>
    <row r="3" spans="2:22" ht="19" x14ac:dyDescent="0.25">
      <c r="B3" s="3"/>
      <c r="C3" s="3"/>
      <c r="D3" s="292" t="s">
        <v>617</v>
      </c>
      <c r="E3" s="3" t="s">
        <v>616</v>
      </c>
      <c r="F3" s="292" t="s">
        <v>611</v>
      </c>
      <c r="G3" s="292" t="s">
        <v>619</v>
      </c>
      <c r="H3" s="3" t="s">
        <v>620</v>
      </c>
      <c r="I3" s="292" t="s">
        <v>621</v>
      </c>
      <c r="J3" s="132" t="s">
        <v>34</v>
      </c>
      <c r="K3" s="132" t="s">
        <v>34</v>
      </c>
      <c r="L3" s="3"/>
      <c r="M3" s="3"/>
      <c r="N3" s="3"/>
      <c r="O3" s="3"/>
      <c r="P3" s="3"/>
      <c r="Q3" s="3"/>
      <c r="U3" s="3" t="s">
        <v>628</v>
      </c>
      <c r="V3" s="3" t="s">
        <v>629</v>
      </c>
    </row>
    <row r="4" spans="2:22" x14ac:dyDescent="0.2">
      <c r="B4" s="3"/>
      <c r="C4" s="171" t="s">
        <v>600</v>
      </c>
      <c r="D4" s="13" t="s">
        <v>618</v>
      </c>
      <c r="E4" s="13" t="s">
        <v>63</v>
      </c>
      <c r="F4" s="13" t="s">
        <v>346</v>
      </c>
      <c r="G4" s="13" t="s">
        <v>618</v>
      </c>
      <c r="H4" s="13" t="s">
        <v>98</v>
      </c>
      <c r="I4" s="13" t="s">
        <v>618</v>
      </c>
      <c r="J4" s="13" t="s">
        <v>346</v>
      </c>
      <c r="K4" s="13" t="s">
        <v>58</v>
      </c>
      <c r="L4" s="3"/>
      <c r="M4" s="3"/>
      <c r="N4" s="3"/>
      <c r="O4" s="3"/>
      <c r="P4" s="3"/>
      <c r="Q4" s="3"/>
      <c r="T4" s="171" t="s">
        <v>600</v>
      </c>
      <c r="U4" s="13" t="s">
        <v>58</v>
      </c>
      <c r="V4" s="13" t="s">
        <v>58</v>
      </c>
    </row>
    <row r="5" spans="2:22" ht="15" customHeight="1" x14ac:dyDescent="0.2">
      <c r="B5" s="343" t="s">
        <v>594</v>
      </c>
      <c r="C5" s="3" t="s">
        <v>599</v>
      </c>
      <c r="D5" s="3">
        <v>1.7535400000000001</v>
      </c>
      <c r="E5" s="3">
        <f>1173.15-298.15</f>
        <v>875.00000000000011</v>
      </c>
      <c r="F5" s="3">
        <f>D5*E5</f>
        <v>1534.3475000000003</v>
      </c>
      <c r="G5" s="3">
        <v>2.2536999999999998</v>
      </c>
      <c r="H5" s="3">
        <f>LN(1173.15/298.15)</f>
        <v>1.3698510021466155</v>
      </c>
      <c r="I5" s="3">
        <f>G5*H5</f>
        <v>3.0872332035378269</v>
      </c>
      <c r="J5" s="3">
        <f>-F5+(I5*C2)</f>
        <v>-613.88892036519724</v>
      </c>
      <c r="K5" s="3">
        <f>J5*MW_CH4</f>
        <v>-9.8484726160779719</v>
      </c>
      <c r="L5" s="3"/>
      <c r="M5" s="3"/>
      <c r="N5" s="3"/>
      <c r="O5" s="3"/>
      <c r="P5" s="3"/>
      <c r="Q5" s="3"/>
      <c r="T5" s="13" t="s">
        <v>599</v>
      </c>
      <c r="U5" s="3">
        <f>K5</f>
        <v>-9.8484726160779719</v>
      </c>
      <c r="V5">
        <f>K15</f>
        <v>880.83108552905367</v>
      </c>
    </row>
    <row r="6" spans="2:22" ht="18" x14ac:dyDescent="0.25">
      <c r="B6" s="343"/>
      <c r="C6" s="3"/>
      <c r="D6" s="3" t="s">
        <v>54</v>
      </c>
      <c r="E6" s="1" t="s">
        <v>604</v>
      </c>
      <c r="F6" s="1" t="s">
        <v>605</v>
      </c>
      <c r="G6" s="1" t="s">
        <v>606</v>
      </c>
      <c r="H6" s="3" t="s">
        <v>34</v>
      </c>
      <c r="I6" s="3"/>
      <c r="J6" s="3"/>
      <c r="K6" s="3"/>
      <c r="L6" s="3"/>
      <c r="M6" s="3"/>
      <c r="N6" s="3"/>
      <c r="O6" s="3"/>
      <c r="P6" s="3"/>
      <c r="Q6" s="3"/>
      <c r="T6" s="13" t="s">
        <v>602</v>
      </c>
      <c r="U6" s="3">
        <f>H8</f>
        <v>831.8</v>
      </c>
      <c r="V6" s="3">
        <f>H18</f>
        <v>831.8</v>
      </c>
    </row>
    <row r="7" spans="2:22" ht="16" x14ac:dyDescent="0.2">
      <c r="B7" s="343"/>
      <c r="C7" s="3"/>
      <c r="D7" s="13" t="s">
        <v>58</v>
      </c>
      <c r="E7" s="296" t="s">
        <v>58</v>
      </c>
      <c r="F7" s="296" t="s">
        <v>58</v>
      </c>
      <c r="G7" s="19" t="s">
        <v>58</v>
      </c>
      <c r="H7" s="19" t="s">
        <v>58</v>
      </c>
      <c r="I7" s="3"/>
      <c r="J7" s="3"/>
      <c r="K7" s="3"/>
      <c r="L7" s="3"/>
      <c r="M7" s="3"/>
      <c r="N7" s="3"/>
      <c r="O7" s="3"/>
      <c r="P7" s="3"/>
      <c r="Q7" s="3"/>
      <c r="T7" s="13" t="s">
        <v>601</v>
      </c>
      <c r="U7" s="3">
        <f>Q11</f>
        <v>-293.51452993154498</v>
      </c>
      <c r="V7">
        <f>P21</f>
        <v>-2123.0450060933322</v>
      </c>
    </row>
    <row r="8" spans="2:22" x14ac:dyDescent="0.2">
      <c r="B8" s="343"/>
      <c r="C8" s="3" t="s">
        <v>602</v>
      </c>
      <c r="D8" s="3">
        <f>Constants!C18</f>
        <v>-50.7</v>
      </c>
      <c r="E8" s="3">
        <f>b_ch_H2</f>
        <v>236.1</v>
      </c>
      <c r="F8" s="3">
        <f>Constants!J5</f>
        <v>410.3</v>
      </c>
      <c r="G8" s="3">
        <f>D8+(2*E8)+F8</f>
        <v>831.8</v>
      </c>
      <c r="H8" s="3">
        <f>G8</f>
        <v>831.8</v>
      </c>
      <c r="I8" s="3"/>
      <c r="J8" s="3"/>
      <c r="K8" s="3"/>
      <c r="L8" s="3"/>
      <c r="M8" s="3"/>
      <c r="N8" s="3"/>
      <c r="O8" s="3"/>
      <c r="P8" s="3"/>
      <c r="Q8" s="3"/>
    </row>
    <row r="9" spans="2:22" ht="19" x14ac:dyDescent="0.25">
      <c r="B9" s="343"/>
      <c r="C9" s="3"/>
      <c r="D9" s="3" t="s">
        <v>40</v>
      </c>
      <c r="E9" s="3" t="s">
        <v>596</v>
      </c>
      <c r="F9" s="3" t="s">
        <v>597</v>
      </c>
      <c r="G9" s="292" t="s">
        <v>608</v>
      </c>
      <c r="H9" s="292" t="s">
        <v>609</v>
      </c>
      <c r="I9" s="3" t="s">
        <v>610</v>
      </c>
      <c r="J9" s="292" t="s">
        <v>611</v>
      </c>
      <c r="K9" s="292" t="s">
        <v>612</v>
      </c>
      <c r="L9" s="292" t="s">
        <v>101</v>
      </c>
      <c r="M9" s="292" t="s">
        <v>613</v>
      </c>
      <c r="N9" s="292" t="s">
        <v>614</v>
      </c>
      <c r="O9" s="3" t="s">
        <v>54</v>
      </c>
      <c r="P9" s="292" t="s">
        <v>615</v>
      </c>
      <c r="Q9" s="292" t="s">
        <v>34</v>
      </c>
    </row>
    <row r="10" spans="2:22" ht="17" x14ac:dyDescent="0.25">
      <c r="B10" s="343"/>
      <c r="C10" s="3"/>
      <c r="D10" s="13" t="s">
        <v>630</v>
      </c>
      <c r="E10" s="13" t="s">
        <v>240</v>
      </c>
      <c r="F10" s="13" t="s">
        <v>240</v>
      </c>
      <c r="G10" s="13" t="s">
        <v>502</v>
      </c>
      <c r="H10" s="13" t="s">
        <v>502</v>
      </c>
      <c r="I10" s="13" t="s">
        <v>240</v>
      </c>
      <c r="J10" s="13" t="s">
        <v>502</v>
      </c>
      <c r="K10" s="13" t="s">
        <v>503</v>
      </c>
      <c r="L10" s="13" t="s">
        <v>503</v>
      </c>
      <c r="M10" s="13" t="s">
        <v>98</v>
      </c>
      <c r="N10" s="13" t="s">
        <v>98</v>
      </c>
      <c r="O10" s="13" t="s">
        <v>58</v>
      </c>
      <c r="P10" s="13" t="s">
        <v>58</v>
      </c>
      <c r="Q10" s="13" t="s">
        <v>58</v>
      </c>
      <c r="U10" s="3" t="s">
        <v>628</v>
      </c>
      <c r="V10" s="3" t="s">
        <v>629</v>
      </c>
    </row>
    <row r="11" spans="2:22" x14ac:dyDescent="0.2">
      <c r="B11" s="343"/>
      <c r="C11" s="3" t="s">
        <v>601</v>
      </c>
      <c r="D11" s="3">
        <f>(MW_C/MW_H)*(4)</f>
        <v>47.6655356469631</v>
      </c>
      <c r="E11" s="3">
        <f>((MW_C*D11)/MW_CH4)/D11</f>
        <v>0.74868663496804788</v>
      </c>
      <c r="F11" s="3">
        <f>1-E11</f>
        <v>0.25131336503195212</v>
      </c>
      <c r="G11" s="3">
        <v>94052</v>
      </c>
      <c r="H11" s="3">
        <v>28898</v>
      </c>
      <c r="I11" s="3">
        <f>E11</f>
        <v>0.74868663496804788</v>
      </c>
      <c r="J11" s="3">
        <f>((E11*G11)+(F11*H11))/I11</f>
        <v>103752.25813670801</v>
      </c>
      <c r="K11" s="3">
        <f>Constants!M5*((2.928*LN(Constants!N5))+(0.002569*Constants!N5)+((0.000007844)*((Constants!N5^2)/2))+((-0.00000000491)*((Constants!N5^3)/3))+((0.000000000000204)*((Constants!N5^4)/4))+4.634)</f>
        <v>0.18308605958078478</v>
      </c>
      <c r="L11" s="3">
        <f>((E11*('Fuel Exergy'!K11-(Constants!M5*LN(1))))+(F11*('Fuel Exergy'!K11-(Constants!M5*LN(1)))))/I11</f>
        <v>0.24454297836984687</v>
      </c>
      <c r="M11" s="3">
        <f>(4*F11)/E11</f>
        <v>1.3426892015652319</v>
      </c>
      <c r="N11" s="3">
        <f>(1*E11)/E11</f>
        <v>1</v>
      </c>
      <c r="O11" s="3">
        <f>(J11-(C2*'Fuel Exergy'!L11))*cal_to_kJ</f>
        <v>433.79439055800628</v>
      </c>
      <c r="P11" s="3">
        <f>(M11*E8)+(F8*N11)</f>
        <v>727.30892048955127</v>
      </c>
      <c r="Q11" s="3">
        <f>O11-P11</f>
        <v>-293.51452993154498</v>
      </c>
      <c r="T11" s="171" t="s">
        <v>600</v>
      </c>
      <c r="U11" s="13" t="s">
        <v>58</v>
      </c>
      <c r="V11" s="13" t="s">
        <v>58</v>
      </c>
    </row>
    <row r="12" spans="2:22" x14ac:dyDescent="0.2">
      <c r="S12" s="344" t="s">
        <v>631</v>
      </c>
      <c r="T12" s="13" t="s">
        <v>599</v>
      </c>
      <c r="U12" s="240" t="s">
        <v>478</v>
      </c>
      <c r="V12" s="240">
        <v>880.83</v>
      </c>
    </row>
    <row r="13" spans="2:22" x14ac:dyDescent="0.2">
      <c r="B13" s="240"/>
      <c r="C13" s="240"/>
      <c r="D13" s="240" t="s">
        <v>598</v>
      </c>
      <c r="E13" s="240" t="s">
        <v>596</v>
      </c>
      <c r="F13" s="240" t="s">
        <v>597</v>
      </c>
      <c r="G13" s="240" t="s">
        <v>33</v>
      </c>
      <c r="H13" s="240" t="s">
        <v>34</v>
      </c>
      <c r="I13" s="293" t="s">
        <v>322</v>
      </c>
      <c r="J13" s="293" t="s">
        <v>345</v>
      </c>
      <c r="K13" s="293" t="s">
        <v>34</v>
      </c>
      <c r="L13" s="240"/>
      <c r="M13" s="240"/>
      <c r="N13" s="240"/>
      <c r="O13" s="240"/>
      <c r="P13" s="240"/>
      <c r="S13" s="344"/>
      <c r="T13" s="13" t="s">
        <v>602</v>
      </c>
      <c r="U13" s="240">
        <v>831.8</v>
      </c>
      <c r="V13" s="240">
        <f>U13</f>
        <v>831.8</v>
      </c>
    </row>
    <row r="14" spans="2:22" x14ac:dyDescent="0.2">
      <c r="B14" s="240"/>
      <c r="C14" s="240"/>
      <c r="D14" s="294" t="s">
        <v>11</v>
      </c>
      <c r="E14" s="294" t="s">
        <v>240</v>
      </c>
      <c r="F14" s="294" t="s">
        <v>240</v>
      </c>
      <c r="G14" s="294" t="s">
        <v>603</v>
      </c>
      <c r="H14" s="294" t="s">
        <v>603</v>
      </c>
      <c r="I14" s="294" t="s">
        <v>98</v>
      </c>
      <c r="J14" s="294" t="s">
        <v>346</v>
      </c>
      <c r="K14" s="294" t="s">
        <v>58</v>
      </c>
      <c r="L14" s="240"/>
      <c r="M14" s="240"/>
      <c r="N14" s="240"/>
      <c r="O14" s="240"/>
      <c r="P14" s="240"/>
      <c r="S14" s="344"/>
      <c r="T14" s="13" t="s">
        <v>601</v>
      </c>
      <c r="U14" s="240">
        <v>869.44899999999996</v>
      </c>
      <c r="V14" s="240">
        <v>858.81600000000003</v>
      </c>
    </row>
    <row r="15" spans="2:22" x14ac:dyDescent="0.2">
      <c r="B15" s="343" t="s">
        <v>595</v>
      </c>
      <c r="C15" s="240" t="s">
        <v>599</v>
      </c>
      <c r="D15" s="240">
        <f>'Ore-&gt;PI'!BR156</f>
        <v>20798.316475388398</v>
      </c>
      <c r="E15" s="240">
        <f>((MW_C*D15)/MW_CH4)/D15</f>
        <v>0.74868663496804777</v>
      </c>
      <c r="F15" s="240">
        <f>1-E15</f>
        <v>0.25131336503195223</v>
      </c>
      <c r="G15" s="240">
        <v>1.0401</v>
      </c>
      <c r="H15" s="240">
        <v>0.17280000000000001</v>
      </c>
      <c r="I15" s="240">
        <f>G15+(H15*(F15/E15))</f>
        <v>1.098104173507618</v>
      </c>
      <c r="J15" s="240">
        <f>LHV_CH4</f>
        <v>50000</v>
      </c>
      <c r="K15" s="240">
        <f>I15*J15*MW_CH4</f>
        <v>880.83108552905367</v>
      </c>
      <c r="L15" s="240"/>
      <c r="M15" s="240"/>
      <c r="N15" s="240"/>
      <c r="O15" s="240"/>
      <c r="P15" s="240"/>
    </row>
    <row r="16" spans="2:22" ht="18" x14ac:dyDescent="0.2">
      <c r="B16" s="343"/>
      <c r="C16" s="240"/>
      <c r="D16" s="240" t="s">
        <v>54</v>
      </c>
      <c r="E16" s="295" t="s">
        <v>604</v>
      </c>
      <c r="F16" s="295" t="s">
        <v>605</v>
      </c>
      <c r="G16" s="295" t="s">
        <v>606</v>
      </c>
      <c r="H16" s="240" t="s">
        <v>34</v>
      </c>
      <c r="I16" s="240"/>
      <c r="J16" s="240"/>
      <c r="K16" s="240"/>
      <c r="L16" s="240"/>
      <c r="M16" s="240"/>
      <c r="N16" s="240"/>
      <c r="O16" s="240"/>
      <c r="P16" s="240"/>
    </row>
    <row r="17" spans="2:16" ht="16" x14ac:dyDescent="0.2">
      <c r="B17" s="343"/>
      <c r="C17" s="240"/>
      <c r="D17" s="294" t="s">
        <v>58</v>
      </c>
      <c r="E17" s="296" t="s">
        <v>58</v>
      </c>
      <c r="F17" s="296" t="s">
        <v>58</v>
      </c>
      <c r="G17" s="296" t="s">
        <v>58</v>
      </c>
      <c r="H17" s="296" t="s">
        <v>58</v>
      </c>
      <c r="I17" s="240"/>
      <c r="J17" s="240"/>
      <c r="K17" s="240"/>
      <c r="L17" s="240"/>
      <c r="M17" s="240"/>
      <c r="N17" s="240"/>
      <c r="O17" s="240"/>
      <c r="P17" s="240"/>
    </row>
    <row r="18" spans="2:16" x14ac:dyDescent="0.2">
      <c r="B18" s="343"/>
      <c r="C18" s="240" t="s">
        <v>602</v>
      </c>
      <c r="D18" s="240">
        <f>D8</f>
        <v>-50.7</v>
      </c>
      <c r="E18" s="240">
        <f>b_ch_H2</f>
        <v>236.1</v>
      </c>
      <c r="F18" s="240">
        <f>F8</f>
        <v>410.3</v>
      </c>
      <c r="G18" s="240">
        <f>D18+(2*E18)+F18</f>
        <v>831.8</v>
      </c>
      <c r="H18" s="240">
        <f>G18</f>
        <v>831.8</v>
      </c>
      <c r="I18" s="240"/>
      <c r="J18" s="240"/>
      <c r="K18" s="240"/>
      <c r="L18" s="240"/>
      <c r="M18" s="240"/>
      <c r="N18" s="240"/>
      <c r="O18" s="240"/>
      <c r="P18" s="240"/>
    </row>
    <row r="19" spans="2:16" ht="19" x14ac:dyDescent="0.2">
      <c r="B19" s="343"/>
      <c r="C19" s="240"/>
      <c r="D19" s="240" t="s">
        <v>501</v>
      </c>
      <c r="E19" s="240" t="s">
        <v>501</v>
      </c>
      <c r="F19" s="297" t="s">
        <v>623</v>
      </c>
      <c r="G19" s="297" t="s">
        <v>624</v>
      </c>
      <c r="H19" s="297" t="s">
        <v>611</v>
      </c>
      <c r="I19" s="297" t="s">
        <v>621</v>
      </c>
      <c r="J19" s="297" t="s">
        <v>621</v>
      </c>
      <c r="K19" s="240" t="s">
        <v>40</v>
      </c>
      <c r="L19" s="297" t="s">
        <v>613</v>
      </c>
      <c r="M19" s="297" t="s">
        <v>614</v>
      </c>
      <c r="N19" s="297" t="s">
        <v>625</v>
      </c>
      <c r="O19" s="297" t="s">
        <v>626</v>
      </c>
      <c r="P19" s="297" t="s">
        <v>34</v>
      </c>
    </row>
    <row r="20" spans="2:16" x14ac:dyDescent="0.2">
      <c r="B20" s="343"/>
      <c r="C20" s="240"/>
      <c r="D20" s="294" t="s">
        <v>502</v>
      </c>
      <c r="E20" s="294" t="s">
        <v>58</v>
      </c>
      <c r="F20" s="294" t="s">
        <v>58</v>
      </c>
      <c r="G20" s="294" t="s">
        <v>58</v>
      </c>
      <c r="H20" s="294" t="s">
        <v>58</v>
      </c>
      <c r="I20" s="294" t="s">
        <v>503</v>
      </c>
      <c r="J20" s="294" t="s">
        <v>622</v>
      </c>
      <c r="K20" s="294" t="s">
        <v>607</v>
      </c>
      <c r="L20" s="294" t="s">
        <v>98</v>
      </c>
      <c r="M20" s="294" t="s">
        <v>98</v>
      </c>
      <c r="N20" s="294" t="s">
        <v>58</v>
      </c>
      <c r="O20" s="294" t="s">
        <v>58</v>
      </c>
      <c r="P20" s="294" t="s">
        <v>58</v>
      </c>
    </row>
    <row r="21" spans="2:16" x14ac:dyDescent="0.2">
      <c r="B21" s="343"/>
      <c r="C21" s="240" t="s">
        <v>601</v>
      </c>
      <c r="D21" s="240">
        <f>102720+(27360*D11)</f>
        <v>1406849.0553009105</v>
      </c>
      <c r="E21" s="240">
        <f>D21*cal_to_kJ</f>
        <v>5886.2564473790098</v>
      </c>
      <c r="F21" s="240">
        <f>-393.52</f>
        <v>-393.52</v>
      </c>
      <c r="G21" s="240">
        <f>-285830/1000</f>
        <v>-285.83</v>
      </c>
      <c r="H21" s="240">
        <f>E21+F21+((D11/2)*G21)</f>
        <v>-1319.3835796067215</v>
      </c>
      <c r="I21" s="240">
        <f>1.12+(4.4*D11)</f>
        <v>210.84835684663767</v>
      </c>
      <c r="J21" s="240">
        <f>I21*cal_to_kJ</f>
        <v>0.88218952504633208</v>
      </c>
      <c r="K21" s="240">
        <f>(12.011*4)/1.008</f>
        <v>47.662698412698411</v>
      </c>
      <c r="L21" s="240">
        <f>(4*F11)/E11</f>
        <v>1.3426892015652319</v>
      </c>
      <c r="M21" s="240">
        <f>(1*D21)/D21</f>
        <v>1</v>
      </c>
      <c r="N21" s="240">
        <f>((28898-(C2*10.3))+(1.987*C2*LN(4)))*cal_to_kJ</f>
        <v>111.49660903769009</v>
      </c>
      <c r="O21" s="240">
        <f>(94052-(C2*2.07))*cal_to_kJ</f>
        <v>390.93132662800002</v>
      </c>
      <c r="P21" s="240">
        <f>H21-(J21*C2)-((L21*N21)+(M21*O21))</f>
        <v>-2123.0450060933322</v>
      </c>
    </row>
    <row r="31" spans="2:16" x14ac:dyDescent="0.2">
      <c r="C31" s="3"/>
    </row>
    <row r="32" spans="2:16" x14ac:dyDescent="0.2">
      <c r="C32" s="3" t="s">
        <v>572</v>
      </c>
    </row>
    <row r="33" spans="3:3" x14ac:dyDescent="0.2">
      <c r="C33" s="3" t="s">
        <v>573</v>
      </c>
    </row>
    <row r="34" spans="3:3" x14ac:dyDescent="0.2">
      <c r="C34" s="3" t="s">
        <v>557</v>
      </c>
    </row>
  </sheetData>
  <mergeCells count="3">
    <mergeCell ref="B5:B11"/>
    <mergeCell ref="B15:B21"/>
    <mergeCell ref="S12:S1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E0F91-34ED-4AB8-B1F9-F49F809CBF98}">
  <sheetPr>
    <pageSetUpPr fitToPage="1"/>
  </sheetPr>
  <dimension ref="A1:FT260"/>
  <sheetViews>
    <sheetView tabSelected="1" topLeftCell="AO138" zoomScale="75" zoomScaleNormal="120" workbookViewId="0">
      <selection activeCell="BD149" sqref="BD149"/>
    </sheetView>
  </sheetViews>
  <sheetFormatPr baseColWidth="10" defaultColWidth="8.83203125" defaultRowHeight="15" x14ac:dyDescent="0.2"/>
  <cols>
    <col min="1" max="5" width="8.83203125" style="3"/>
    <col min="6" max="6" width="11.1640625" style="3" bestFit="1" customWidth="1"/>
    <col min="7" max="7" width="8.83203125" style="3"/>
    <col min="8" max="8" width="11.1640625" style="3" bestFit="1" customWidth="1"/>
    <col min="9" max="9" width="9.1640625" style="3" bestFit="1" customWidth="1"/>
    <col min="10" max="10" width="13.33203125" style="3" customWidth="1"/>
    <col min="11" max="11" width="10.1640625" style="3" bestFit="1" customWidth="1"/>
    <col min="12" max="13" width="9.33203125" style="3" bestFit="1" customWidth="1"/>
    <col min="14" max="14" width="14.5" style="3" bestFit="1" customWidth="1"/>
    <col min="15" max="15" width="14.5" style="3" customWidth="1"/>
    <col min="16" max="16" width="9.33203125" style="3" bestFit="1" customWidth="1"/>
    <col min="17" max="17" width="13.5" style="3" bestFit="1" customWidth="1"/>
    <col min="18" max="18" width="13.1640625" style="3" bestFit="1" customWidth="1"/>
    <col min="19" max="19" width="18.1640625" style="3" bestFit="1" customWidth="1"/>
    <col min="20" max="20" width="9.5" style="3" bestFit="1" customWidth="1"/>
    <col min="21" max="21" width="18.1640625" style="3" bestFit="1" customWidth="1"/>
    <col min="22" max="22" width="14.83203125" style="3" bestFit="1" customWidth="1"/>
    <col min="23" max="23" width="9.1640625" style="3" bestFit="1" customWidth="1"/>
    <col min="24" max="24" width="13.5" style="3" customWidth="1"/>
    <col min="25" max="25" width="12.6640625" style="3" bestFit="1" customWidth="1"/>
    <col min="26" max="27" width="12" style="3" bestFit="1" customWidth="1"/>
    <col min="28" max="28" width="9.5" style="3" bestFit="1" customWidth="1"/>
    <col min="29" max="29" width="12" style="3" bestFit="1" customWidth="1"/>
    <col min="30" max="30" width="9.33203125" style="3" bestFit="1" customWidth="1"/>
    <col min="31" max="31" width="18.1640625" style="3" bestFit="1" customWidth="1"/>
    <col min="32" max="32" width="9.6640625" style="3" bestFit="1" customWidth="1"/>
    <col min="33" max="33" width="12" style="3" bestFit="1" customWidth="1"/>
    <col min="34" max="34" width="12" style="3" customWidth="1"/>
    <col min="35" max="35" width="17.5" style="3" bestFit="1" customWidth="1"/>
    <col min="36" max="36" width="13.6640625" style="3" bestFit="1" customWidth="1"/>
    <col min="37" max="37" width="10" style="3" bestFit="1" customWidth="1"/>
    <col min="38" max="39" width="18.33203125" style="3" bestFit="1" customWidth="1"/>
    <col min="40" max="40" width="14.33203125" style="3" bestFit="1" customWidth="1"/>
    <col min="41" max="41" width="18.33203125" style="3" bestFit="1" customWidth="1"/>
    <col min="42" max="42" width="15" style="3" bestFit="1" customWidth="1"/>
    <col min="43" max="43" width="13.1640625" style="3" bestFit="1" customWidth="1"/>
    <col min="44" max="44" width="13.6640625" style="3" bestFit="1" customWidth="1"/>
    <col min="45" max="45" width="9" style="3" customWidth="1"/>
    <col min="46" max="46" width="10" style="3" bestFit="1" customWidth="1"/>
    <col min="47" max="47" width="14.5" style="3" customWidth="1"/>
    <col min="48" max="48" width="12.6640625" style="3" bestFit="1" customWidth="1"/>
    <col min="49" max="49" width="29.6640625" style="3" customWidth="1"/>
    <col min="50" max="52" width="10.5" style="3" bestFit="1" customWidth="1"/>
    <col min="53" max="53" width="10.33203125" style="3" customWidth="1"/>
    <col min="54" max="54" width="14.83203125" style="3" bestFit="1" customWidth="1"/>
    <col min="55" max="55" width="10.5" style="3" bestFit="1" customWidth="1"/>
    <col min="56" max="56" width="15.6640625" style="3" customWidth="1"/>
    <col min="57" max="57" width="13.6640625" style="3" customWidth="1"/>
    <col min="58" max="58" width="14.83203125" style="3" bestFit="1" customWidth="1"/>
    <col min="59" max="59" width="11.33203125" style="3" customWidth="1"/>
    <col min="60" max="60" width="13.5" style="3" bestFit="1" customWidth="1"/>
    <col min="61" max="61" width="15.1640625" style="3" bestFit="1" customWidth="1"/>
    <col min="62" max="62" width="10.5" style="3" bestFit="1" customWidth="1"/>
    <col min="63" max="63" width="9" style="3" customWidth="1"/>
    <col min="64" max="64" width="11.33203125" style="3" bestFit="1" customWidth="1"/>
    <col min="65" max="65" width="11.6640625" style="3" bestFit="1" customWidth="1"/>
    <col min="66" max="66" width="10.83203125" style="3" customWidth="1"/>
    <col min="67" max="67" width="10" style="3" bestFit="1" customWidth="1"/>
    <col min="68" max="69" width="11.33203125" style="3" bestFit="1" customWidth="1"/>
    <col min="70" max="71" width="10.5" style="3" bestFit="1" customWidth="1"/>
    <col min="72" max="72" width="10.33203125" style="3" customWidth="1"/>
    <col min="73" max="73" width="12" style="3" bestFit="1" customWidth="1"/>
    <col min="74" max="74" width="14.33203125" style="3" customWidth="1"/>
    <col min="75" max="75" width="14.5" style="3" customWidth="1"/>
    <col min="76" max="76" width="12" style="3" customWidth="1"/>
    <col min="77" max="77" width="13.33203125" style="3" bestFit="1" customWidth="1"/>
    <col min="78" max="78" width="13.1640625" style="3" bestFit="1" customWidth="1"/>
    <col min="79" max="79" width="14.5" style="3" bestFit="1" customWidth="1"/>
    <col min="80" max="80" width="10.83203125" style="3" customWidth="1"/>
    <col min="81" max="81" width="13.1640625" style="3" customWidth="1"/>
    <col min="82" max="82" width="11.5" style="3" customWidth="1"/>
    <col min="83" max="83" width="12.5" style="3" customWidth="1"/>
    <col min="84" max="84" width="11.33203125" style="3" bestFit="1" customWidth="1"/>
    <col min="85" max="85" width="12.33203125" style="3" bestFit="1" customWidth="1"/>
    <col min="86" max="86" width="9" style="3" bestFit="1" customWidth="1"/>
    <col min="87" max="87" width="13.6640625" style="3" bestFit="1" customWidth="1"/>
    <col min="88" max="88" width="12.1640625" style="3" customWidth="1"/>
    <col min="89" max="89" width="11.33203125" style="3" bestFit="1" customWidth="1"/>
    <col min="90" max="90" width="15" style="3" bestFit="1" customWidth="1"/>
    <col min="91" max="91" width="10" style="3" bestFit="1" customWidth="1"/>
    <col min="92" max="92" width="9.83203125" style="3" bestFit="1" customWidth="1"/>
    <col min="93" max="93" width="11.83203125" style="3" bestFit="1" customWidth="1"/>
    <col min="94" max="94" width="11.83203125" style="3" customWidth="1"/>
    <col min="95" max="95" width="12.1640625" style="3" bestFit="1" customWidth="1"/>
    <col min="96" max="96" width="9.83203125" style="3" bestFit="1" customWidth="1"/>
    <col min="97" max="97" width="13.6640625" style="3" customWidth="1"/>
    <col min="98" max="98" width="12.1640625" style="3" bestFit="1" customWidth="1"/>
    <col min="99" max="99" width="13.33203125" style="3" bestFit="1" customWidth="1"/>
    <col min="100" max="100" width="9.5" style="3" bestFit="1" customWidth="1"/>
    <col min="101" max="101" width="11.83203125" style="3" bestFit="1" customWidth="1"/>
    <col min="102" max="102" width="9.33203125" style="3" bestFit="1" customWidth="1"/>
    <col min="103" max="106" width="9" style="3" bestFit="1" customWidth="1"/>
    <col min="107" max="107" width="8.83203125" style="3"/>
    <col min="108" max="118" width="9" style="3" bestFit="1" customWidth="1"/>
    <col min="119" max="121" width="8.83203125" style="3"/>
    <col min="122" max="122" width="10.6640625" style="3" bestFit="1" customWidth="1"/>
    <col min="123" max="123" width="9.1640625" style="3" bestFit="1" customWidth="1"/>
    <col min="124" max="124" width="9.33203125" style="3" bestFit="1" customWidth="1"/>
    <col min="125" max="125" width="10.33203125" style="3" bestFit="1" customWidth="1"/>
    <col min="126" max="126" width="9.33203125" style="3" bestFit="1" customWidth="1"/>
    <col min="127" max="127" width="8.83203125" style="3"/>
    <col min="128" max="128" width="9.33203125" style="3" bestFit="1" customWidth="1"/>
    <col min="129" max="129" width="9.83203125" style="3" bestFit="1" customWidth="1"/>
    <col min="130" max="130" width="9.33203125" style="3" customWidth="1"/>
    <col min="131" max="131" width="11.83203125" style="3" bestFit="1" customWidth="1"/>
    <col min="132" max="132" width="10.33203125" style="3" bestFit="1" customWidth="1"/>
    <col min="133" max="133" width="13" style="3" bestFit="1" customWidth="1"/>
    <col min="134" max="134" width="10.83203125" style="3" bestFit="1" customWidth="1"/>
    <col min="135" max="135" width="14.5" style="3" bestFit="1" customWidth="1"/>
    <col min="136" max="136" width="14.5" style="3" customWidth="1"/>
    <col min="137" max="137" width="14.5" style="3" bestFit="1" customWidth="1"/>
    <col min="138" max="138" width="11.33203125" style="3" bestFit="1" customWidth="1"/>
    <col min="139" max="139" width="15.1640625" style="3" bestFit="1" customWidth="1"/>
    <col min="140" max="140" width="9.5" style="3" bestFit="1" customWidth="1"/>
    <col min="141" max="141" width="11.1640625" style="3" bestFit="1" customWidth="1"/>
    <col min="142" max="142" width="12.83203125" style="3" bestFit="1" customWidth="1"/>
    <col min="143" max="143" width="13.33203125" style="3" bestFit="1" customWidth="1"/>
    <col min="144" max="145" width="11.6640625" style="3" bestFit="1" customWidth="1"/>
    <col min="146" max="146" width="10.6640625" style="3" bestFit="1" customWidth="1"/>
    <col min="147" max="147" width="11.5" style="3" bestFit="1" customWidth="1"/>
    <col min="148" max="150" width="9" style="3" bestFit="1" customWidth="1"/>
    <col min="151" max="151" width="8.83203125" style="3"/>
    <col min="152" max="152" width="12.1640625" style="3" bestFit="1" customWidth="1"/>
    <col min="153" max="153" width="8.83203125" style="3"/>
    <col min="154" max="155" width="9" style="3" bestFit="1" customWidth="1"/>
    <col min="156" max="156" width="10.6640625" style="3" bestFit="1" customWidth="1"/>
    <col min="157" max="161" width="9.1640625" style="3" bestFit="1" customWidth="1"/>
    <col min="162" max="162" width="9.1640625" style="3" customWidth="1"/>
    <col min="163" max="163" width="9.1640625" style="3" bestFit="1" customWidth="1"/>
    <col min="164" max="164" width="13.5" style="3" bestFit="1" customWidth="1"/>
    <col min="165" max="167" width="9" style="3" bestFit="1" customWidth="1"/>
    <col min="168" max="16384" width="8.83203125" style="3"/>
  </cols>
  <sheetData>
    <row r="1" spans="20:20" x14ac:dyDescent="0.2">
      <c r="T1" s="16"/>
    </row>
    <row r="2" spans="20:20" x14ac:dyDescent="0.2">
      <c r="T2" s="16"/>
    </row>
    <row r="3" spans="20:20" x14ac:dyDescent="0.2">
      <c r="T3" s="16"/>
    </row>
    <row r="6" spans="20:20" x14ac:dyDescent="0.2">
      <c r="T6" s="16"/>
    </row>
    <row r="7" spans="20:20" x14ac:dyDescent="0.2">
      <c r="T7" s="16"/>
    </row>
    <row r="8" spans="20:20" x14ac:dyDescent="0.2">
      <c r="T8" s="16"/>
    </row>
    <row r="9" spans="20:20" x14ac:dyDescent="0.2">
      <c r="T9" s="16"/>
    </row>
    <row r="11" spans="20:20" x14ac:dyDescent="0.2">
      <c r="T11" s="16"/>
    </row>
    <row r="12" spans="20:20" x14ac:dyDescent="0.2">
      <c r="T12" s="16"/>
    </row>
    <row r="13" spans="20:20" x14ac:dyDescent="0.2">
      <c r="T13" s="16"/>
    </row>
    <row r="22" spans="14:66" x14ac:dyDescent="0.2">
      <c r="AO22" s="16" t="s">
        <v>193</v>
      </c>
      <c r="AP22" s="3" t="s">
        <v>195</v>
      </c>
      <c r="AQ22" s="3" t="s">
        <v>194</v>
      </c>
    </row>
    <row r="23" spans="14:66" ht="15" customHeight="1" x14ac:dyDescent="0.2">
      <c r="P23" s="369" t="s">
        <v>364</v>
      </c>
      <c r="Q23" s="369"/>
      <c r="BG23" s="16" t="s">
        <v>191</v>
      </c>
      <c r="BH23" s="3" t="s">
        <v>300</v>
      </c>
      <c r="BI23" s="3" t="s">
        <v>301</v>
      </c>
    </row>
    <row r="24" spans="14:66" ht="16" customHeight="1" thickBot="1" x14ac:dyDescent="0.25">
      <c r="P24" s="370"/>
      <c r="Q24" s="370"/>
    </row>
    <row r="25" spans="14:66" ht="16" x14ac:dyDescent="0.2">
      <c r="P25" s="358" t="s">
        <v>344</v>
      </c>
      <c r="Q25" s="138" t="s">
        <v>317</v>
      </c>
      <c r="AO25" s="355" t="s">
        <v>438</v>
      </c>
      <c r="AP25" s="355"/>
      <c r="AQ25" s="355"/>
      <c r="AR25" s="355"/>
      <c r="AS25" s="355"/>
      <c r="AT25" s="355"/>
      <c r="AU25" s="355"/>
      <c r="BH25" s="355" t="s">
        <v>442</v>
      </c>
      <c r="BI25" s="355"/>
      <c r="BJ25" s="355"/>
      <c r="BK25" s="355"/>
      <c r="BL25" s="355"/>
      <c r="BM25" s="355"/>
      <c r="BN25" s="355"/>
    </row>
    <row r="26" spans="14:66" x14ac:dyDescent="0.2">
      <c r="P26" s="359"/>
      <c r="Q26" s="136" t="s">
        <v>48</v>
      </c>
      <c r="AO26" s="13" t="s">
        <v>289</v>
      </c>
      <c r="AP26" s="13" t="s">
        <v>266</v>
      </c>
      <c r="AQ26" s="13" t="s">
        <v>235</v>
      </c>
      <c r="AR26" s="13" t="s">
        <v>36</v>
      </c>
      <c r="AS26" s="13" t="s">
        <v>235</v>
      </c>
      <c r="AT26" s="105" t="s">
        <v>322</v>
      </c>
      <c r="AU26" s="13" t="s">
        <v>316</v>
      </c>
      <c r="BH26" s="13" t="s">
        <v>264</v>
      </c>
      <c r="BI26" s="13" t="s">
        <v>266</v>
      </c>
      <c r="BJ26" s="13" t="s">
        <v>235</v>
      </c>
      <c r="BK26" s="13" t="s">
        <v>235</v>
      </c>
      <c r="BL26" s="13" t="s">
        <v>235</v>
      </c>
      <c r="BM26" s="105" t="s">
        <v>322</v>
      </c>
      <c r="BN26" s="13" t="s">
        <v>316</v>
      </c>
    </row>
    <row r="27" spans="14:66" ht="17" x14ac:dyDescent="0.25">
      <c r="P27" s="139" t="s">
        <v>341</v>
      </c>
      <c r="Q27" s="136">
        <f>(($AG$46*($AN$46-0))/$H$72)</f>
        <v>0.71020207646031153</v>
      </c>
      <c r="AO27" s="13" t="s">
        <v>98</v>
      </c>
      <c r="AP27" s="13" t="s">
        <v>98</v>
      </c>
      <c r="AQ27" s="13" t="s">
        <v>237</v>
      </c>
      <c r="AR27" s="13" t="s">
        <v>236</v>
      </c>
      <c r="AS27" s="13" t="s">
        <v>48</v>
      </c>
      <c r="AT27" s="34" t="s">
        <v>98</v>
      </c>
      <c r="AU27" s="13" t="s">
        <v>48</v>
      </c>
      <c r="BH27" s="13" t="s">
        <v>98</v>
      </c>
      <c r="BI27" s="13" t="s">
        <v>98</v>
      </c>
      <c r="BJ27" s="13" t="s">
        <v>231</v>
      </c>
      <c r="BK27" s="13" t="s">
        <v>234</v>
      </c>
      <c r="BL27" s="13" t="s">
        <v>48</v>
      </c>
      <c r="BM27" s="34" t="s">
        <v>98</v>
      </c>
      <c r="BN27" s="13" t="s">
        <v>48</v>
      </c>
    </row>
    <row r="28" spans="14:66" x14ac:dyDescent="0.2">
      <c r="N28" s="4"/>
      <c r="O28" s="4"/>
      <c r="P28" s="139" t="s">
        <v>637</v>
      </c>
      <c r="Q28" s="136">
        <f>V42/V59</f>
        <v>1.1602561161065021</v>
      </c>
      <c r="AO28" s="13" t="s">
        <v>265</v>
      </c>
      <c r="AP28" s="13" t="s">
        <v>293</v>
      </c>
      <c r="AQ28" s="13">
        <v>700</v>
      </c>
      <c r="AR28" s="13">
        <v>861</v>
      </c>
      <c r="AS28" s="61">
        <f>AQ28*AR28*(AD52/1000)</f>
        <v>609792.2517593482</v>
      </c>
      <c r="AT28" s="34">
        <v>1</v>
      </c>
      <c r="AU28" s="13">
        <f>AS28*AT28</f>
        <v>609792.2517593482</v>
      </c>
      <c r="BH28" s="13" t="s">
        <v>265</v>
      </c>
      <c r="BI28" s="13" t="s">
        <v>294</v>
      </c>
      <c r="BJ28" s="13">
        <v>3870</v>
      </c>
      <c r="BK28" s="13">
        <f t="shared" ref="BK28:BK34" si="0">BJ28*Btu_to_kJ</f>
        <v>4083.0822000000003</v>
      </c>
      <c r="BL28" s="61">
        <f t="shared" ref="BL28:BL34" si="1">BK28*($AW$52/1000)</f>
        <v>4131.1297309714846</v>
      </c>
      <c r="BM28" s="13">
        <v>1</v>
      </c>
      <c r="BN28" s="13">
        <f>BL28*BM28</f>
        <v>4131.1297309714846</v>
      </c>
    </row>
    <row r="29" spans="14:66" ht="16" thickBot="1" x14ac:dyDescent="0.25">
      <c r="N29" s="4"/>
      <c r="O29" s="4"/>
      <c r="P29" s="140" t="s">
        <v>343</v>
      </c>
      <c r="Q29" s="137">
        <f>V46/V59</f>
        <v>0.97422228752096129</v>
      </c>
      <c r="BH29" s="13" t="s">
        <v>265</v>
      </c>
      <c r="BI29" s="13" t="s">
        <v>295</v>
      </c>
      <c r="BJ29" s="13">
        <f>2580+1940+1550</f>
        <v>6070</v>
      </c>
      <c r="BK29" s="13">
        <f t="shared" si="0"/>
        <v>6404.2142000000003</v>
      </c>
      <c r="BL29" s="61">
        <f t="shared" si="1"/>
        <v>6479.5755728674185</v>
      </c>
      <c r="BM29" s="13">
        <v>1</v>
      </c>
      <c r="BN29" s="13">
        <f t="shared" ref="BN29:BN34" si="2">BL29*BM29</f>
        <v>6479.5755728674185</v>
      </c>
    </row>
    <row r="30" spans="14:66" x14ac:dyDescent="0.2">
      <c r="BH30" s="13" t="s">
        <v>265</v>
      </c>
      <c r="BI30" s="13" t="s">
        <v>296</v>
      </c>
      <c r="BJ30" s="13">
        <v>1550</v>
      </c>
      <c r="BK30" s="13">
        <f t="shared" si="0"/>
        <v>1635.3430000000001</v>
      </c>
      <c r="BL30" s="61">
        <f t="shared" si="1"/>
        <v>1654.5868431539536</v>
      </c>
      <c r="BM30" s="13">
        <v>1</v>
      </c>
      <c r="BN30" s="13">
        <f t="shared" si="2"/>
        <v>1654.5868431539536</v>
      </c>
    </row>
    <row r="31" spans="14:66" x14ac:dyDescent="0.2">
      <c r="BH31" s="13" t="s">
        <v>265</v>
      </c>
      <c r="BI31" s="13" t="s">
        <v>249</v>
      </c>
      <c r="BJ31" s="13">
        <v>205</v>
      </c>
      <c r="BK31" s="13">
        <f t="shared" si="0"/>
        <v>216.28730000000002</v>
      </c>
      <c r="BL31" s="61">
        <f t="shared" si="1"/>
        <v>218.83245344939388</v>
      </c>
      <c r="BM31" s="13">
        <v>1</v>
      </c>
      <c r="BN31" s="13">
        <f t="shared" si="2"/>
        <v>218.83245344939388</v>
      </c>
    </row>
    <row r="32" spans="14:66" x14ac:dyDescent="0.2">
      <c r="BH32" s="13" t="s">
        <v>265</v>
      </c>
      <c r="BI32" s="13" t="s">
        <v>297</v>
      </c>
      <c r="BJ32" s="13">
        <v>76</v>
      </c>
      <c r="BK32" s="13">
        <f t="shared" si="0"/>
        <v>80.184560000000005</v>
      </c>
      <c r="BL32" s="61">
        <f t="shared" si="1"/>
        <v>81.128129083677734</v>
      </c>
      <c r="BM32" s="13">
        <v>1</v>
      </c>
      <c r="BN32" s="13">
        <f t="shared" si="2"/>
        <v>81.128129083677734</v>
      </c>
    </row>
    <row r="33" spans="5:80" x14ac:dyDescent="0.2">
      <c r="T33" s="4"/>
      <c r="U33" s="4"/>
      <c r="V33" s="4"/>
      <c r="BH33" s="13" t="s">
        <v>265</v>
      </c>
      <c r="BI33" s="13" t="s">
        <v>298</v>
      </c>
      <c r="BJ33" s="13">
        <v>38</v>
      </c>
      <c r="BK33" s="13">
        <f t="shared" si="0"/>
        <v>40.092280000000002</v>
      </c>
      <c r="BL33" s="61">
        <f t="shared" si="1"/>
        <v>40.564064541838867</v>
      </c>
      <c r="BM33" s="13">
        <v>1</v>
      </c>
      <c r="BN33" s="13">
        <f t="shared" si="2"/>
        <v>40.564064541838867</v>
      </c>
    </row>
    <row r="34" spans="5:80" x14ac:dyDescent="0.2">
      <c r="BH34" s="13" t="s">
        <v>265</v>
      </c>
      <c r="BI34" s="13" t="s">
        <v>299</v>
      </c>
      <c r="BJ34" s="13">
        <v>19</v>
      </c>
      <c r="BK34" s="13">
        <f t="shared" si="0"/>
        <v>20.046140000000001</v>
      </c>
      <c r="BL34" s="61">
        <f t="shared" si="1"/>
        <v>20.282032270919434</v>
      </c>
      <c r="BM34" s="13">
        <v>1</v>
      </c>
      <c r="BN34" s="13">
        <f t="shared" si="2"/>
        <v>20.282032270919434</v>
      </c>
    </row>
    <row r="35" spans="5:80" x14ac:dyDescent="0.2">
      <c r="BH35" s="13"/>
      <c r="BI35" s="13" t="s">
        <v>19</v>
      </c>
      <c r="BJ35" s="13">
        <f>SUM(BI28:BI34)</f>
        <v>0</v>
      </c>
      <c r="BK35" s="13">
        <f>SUM(BJ28:BJ34)</f>
        <v>11828</v>
      </c>
      <c r="BL35" s="13">
        <f>SUM(BK28:BK34)</f>
        <v>12479.249680000003</v>
      </c>
      <c r="BM35" s="13"/>
      <c r="BN35" s="13">
        <f>SUM(BN28:BN34)</f>
        <v>12626.098826338684</v>
      </c>
    </row>
    <row r="39" spans="5:80" ht="16" thickBot="1" x14ac:dyDescent="0.25"/>
    <row r="40" spans="5:80" x14ac:dyDescent="0.2">
      <c r="U40" s="63" t="s">
        <v>1</v>
      </c>
      <c r="V40" s="58" t="s">
        <v>0</v>
      </c>
      <c r="AN40" s="63" t="s">
        <v>1</v>
      </c>
      <c r="AO40" s="58" t="s">
        <v>0</v>
      </c>
      <c r="BG40" s="63" t="s">
        <v>1</v>
      </c>
      <c r="BH40" s="58" t="s">
        <v>0</v>
      </c>
      <c r="BZ40" s="63" t="s">
        <v>1</v>
      </c>
      <c r="CA40" s="58" t="s">
        <v>0</v>
      </c>
    </row>
    <row r="41" spans="5:80" ht="18" x14ac:dyDescent="0.25">
      <c r="J41" s="4"/>
      <c r="K41" s="4"/>
      <c r="N41" s="4"/>
      <c r="O41" s="4"/>
      <c r="Q41" s="271"/>
      <c r="R41" s="271"/>
      <c r="S41" s="4"/>
      <c r="T41" s="4"/>
      <c r="U41" s="65" t="s">
        <v>89</v>
      </c>
      <c r="V41" s="64" t="s">
        <v>93</v>
      </c>
      <c r="W41" s="4"/>
      <c r="X41" s="4"/>
      <c r="Y41" s="4" t="s">
        <v>175</v>
      </c>
      <c r="Z41" s="4"/>
      <c r="AA41" s="4"/>
      <c r="AB41" s="4"/>
      <c r="AC41" s="4"/>
      <c r="AD41" s="4"/>
      <c r="AG41" s="4"/>
      <c r="AH41" s="4"/>
      <c r="AI41" s="4"/>
      <c r="AJ41" s="4"/>
      <c r="AK41" s="4"/>
      <c r="AL41" s="4"/>
      <c r="AM41" s="4"/>
      <c r="AN41" s="65" t="s">
        <v>89</v>
      </c>
      <c r="AO41" s="64" t="s">
        <v>93</v>
      </c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65" t="s">
        <v>89</v>
      </c>
      <c r="BH41" s="64" t="s">
        <v>93</v>
      </c>
      <c r="BI41" s="4"/>
      <c r="BZ41" s="65" t="s">
        <v>89</v>
      </c>
      <c r="CA41" s="64" t="s">
        <v>93</v>
      </c>
    </row>
    <row r="42" spans="5:80" ht="16" customHeight="1" thickBot="1" x14ac:dyDescent="0.25">
      <c r="E42" s="357" t="s">
        <v>422</v>
      </c>
      <c r="F42" s="357"/>
      <c r="G42" s="357"/>
      <c r="H42" s="357"/>
      <c r="J42" s="4"/>
      <c r="K42" s="4"/>
      <c r="L42" s="4"/>
      <c r="M42" s="4"/>
      <c r="N42" s="4"/>
      <c r="O42" s="4"/>
      <c r="P42" s="271"/>
      <c r="Q42" s="271" t="s">
        <v>423</v>
      </c>
      <c r="R42" s="271"/>
      <c r="S42" s="4"/>
      <c r="T42" s="4"/>
      <c r="U42" s="50">
        <f>K52</f>
        <v>1011.7674660019052</v>
      </c>
      <c r="V42" s="48">
        <f>V52</f>
        <v>109233.7126431732</v>
      </c>
      <c r="W42" s="367" t="s">
        <v>415</v>
      </c>
      <c r="X42" s="367"/>
      <c r="Y42" s="367"/>
      <c r="Z42" s="367"/>
      <c r="AA42" s="367"/>
      <c r="AB42" s="4"/>
      <c r="AC42" s="4"/>
      <c r="AD42" s="4"/>
      <c r="AE42" s="4"/>
      <c r="AF42" s="4"/>
      <c r="AG42" s="4"/>
      <c r="AH42" s="4"/>
      <c r="AI42" s="97"/>
      <c r="AJ42" s="4" t="s">
        <v>551</v>
      </c>
      <c r="AK42" s="4"/>
      <c r="AL42" s="4"/>
      <c r="AM42" s="4"/>
      <c r="AN42" s="50">
        <f>AD52</f>
        <v>1011.7674660019052</v>
      </c>
      <c r="AO42" s="48">
        <f>AO52</f>
        <v>109233.7126431732</v>
      </c>
      <c r="AP42" s="367" t="s">
        <v>565</v>
      </c>
      <c r="AQ42" s="367"/>
      <c r="AR42" s="367"/>
      <c r="AS42" s="367"/>
      <c r="AT42" s="367"/>
      <c r="AV42" s="4"/>
      <c r="AW42" s="4"/>
      <c r="AX42" s="4"/>
      <c r="AY42" s="4"/>
      <c r="AZ42" s="4"/>
      <c r="BA42" s="4"/>
      <c r="BB42" s="4"/>
      <c r="BC42" s="4" t="s">
        <v>550</v>
      </c>
      <c r="BD42" s="4"/>
      <c r="BE42" s="4"/>
      <c r="BF42" s="4"/>
      <c r="BG42" s="50">
        <f>AW52</f>
        <v>1011.7674660019052</v>
      </c>
      <c r="BH42" s="48">
        <f>BH52</f>
        <v>109233.7126431732</v>
      </c>
      <c r="BI42" s="367" t="s">
        <v>443</v>
      </c>
      <c r="BJ42" s="367"/>
      <c r="BK42" s="367"/>
      <c r="BL42" s="367"/>
      <c r="BM42" s="367"/>
      <c r="BV42" s="3" t="s">
        <v>548</v>
      </c>
      <c r="BZ42" s="50">
        <f>BP48</f>
        <v>1000.0000000000001</v>
      </c>
      <c r="CA42" s="48">
        <f>CA48</f>
        <v>88965.799815334409</v>
      </c>
    </row>
    <row r="43" spans="5:80" ht="16" customHeight="1" thickBot="1" x14ac:dyDescent="0.25">
      <c r="E43" s="357"/>
      <c r="F43" s="357"/>
      <c r="G43" s="357"/>
      <c r="H43" s="357"/>
      <c r="J43" s="4"/>
      <c r="K43" s="4"/>
      <c r="L43" s="4"/>
      <c r="M43" s="4"/>
      <c r="N43" s="4"/>
      <c r="O43" s="4"/>
      <c r="P43" s="4"/>
      <c r="Q43" s="4"/>
      <c r="R43" s="4"/>
      <c r="S43" s="4"/>
      <c r="W43" s="368"/>
      <c r="X43" s="368"/>
      <c r="Y43" s="368"/>
      <c r="Z43" s="368"/>
      <c r="AA43" s="368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P43" s="367"/>
      <c r="AQ43" s="367"/>
      <c r="AR43" s="367"/>
      <c r="AS43" s="367"/>
      <c r="AT43" s="367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367"/>
      <c r="BJ43" s="367"/>
      <c r="BK43" s="367"/>
      <c r="BL43" s="367"/>
      <c r="BM43" s="367"/>
    </row>
    <row r="44" spans="5:80" ht="19.25" customHeight="1" x14ac:dyDescent="0.25">
      <c r="J44" s="4"/>
      <c r="K44" s="1" t="s">
        <v>558</v>
      </c>
      <c r="L44" s="1" t="s">
        <v>559</v>
      </c>
      <c r="M44" s="1" t="s">
        <v>561</v>
      </c>
      <c r="N44" s="1" t="s">
        <v>85</v>
      </c>
      <c r="O44" s="1" t="s">
        <v>665</v>
      </c>
      <c r="P44" s="1" t="s">
        <v>6</v>
      </c>
      <c r="Q44" s="1" t="s">
        <v>7</v>
      </c>
      <c r="R44" s="1" t="s">
        <v>8</v>
      </c>
      <c r="S44" s="1" t="s">
        <v>9</v>
      </c>
      <c r="T44" s="1" t="s">
        <v>49</v>
      </c>
      <c r="U44" s="1" t="s">
        <v>560</v>
      </c>
      <c r="V44" s="1" t="s">
        <v>50</v>
      </c>
      <c r="W44" s="22" t="s">
        <v>431</v>
      </c>
      <c r="X44" s="100" t="s">
        <v>479</v>
      </c>
      <c r="Y44" s="192" t="s">
        <v>337</v>
      </c>
      <c r="Z44" s="382" t="s">
        <v>344</v>
      </c>
      <c r="AA44" s="138" t="s">
        <v>317</v>
      </c>
      <c r="AB44" s="4"/>
      <c r="AC44" s="4"/>
      <c r="AD44" s="1" t="s">
        <v>558</v>
      </c>
      <c r="AE44" s="1" t="s">
        <v>559</v>
      </c>
      <c r="AF44" s="1" t="s">
        <v>561</v>
      </c>
      <c r="AG44" s="1" t="s">
        <v>85</v>
      </c>
      <c r="AH44" s="1" t="s">
        <v>665</v>
      </c>
      <c r="AI44" s="1" t="s">
        <v>6</v>
      </c>
      <c r="AJ44" s="1" t="s">
        <v>7</v>
      </c>
      <c r="AK44" s="1" t="s">
        <v>8</v>
      </c>
      <c r="AL44" s="1" t="s">
        <v>9</v>
      </c>
      <c r="AM44" s="1" t="s">
        <v>49</v>
      </c>
      <c r="AN44" s="1" t="s">
        <v>560</v>
      </c>
      <c r="AO44" s="1" t="s">
        <v>50</v>
      </c>
      <c r="AP44" s="22" t="s">
        <v>431</v>
      </c>
      <c r="AQ44" s="22" t="s">
        <v>479</v>
      </c>
      <c r="AR44" s="161" t="s">
        <v>337</v>
      </c>
      <c r="AS44" s="358" t="s">
        <v>344</v>
      </c>
      <c r="AT44" s="138" t="s">
        <v>317</v>
      </c>
      <c r="AU44" s="4"/>
      <c r="AV44" s="4"/>
      <c r="AW44" s="1" t="s">
        <v>558</v>
      </c>
      <c r="AX44" s="1" t="s">
        <v>559</v>
      </c>
      <c r="AY44" s="1" t="s">
        <v>561</v>
      </c>
      <c r="AZ44" s="1" t="s">
        <v>85</v>
      </c>
      <c r="BA44" s="1" t="s">
        <v>665</v>
      </c>
      <c r="BB44" s="1" t="s">
        <v>6</v>
      </c>
      <c r="BC44" s="1" t="s">
        <v>7</v>
      </c>
      <c r="BD44" s="1" t="s">
        <v>8</v>
      </c>
      <c r="BE44" s="1" t="s">
        <v>9</v>
      </c>
      <c r="BF44" s="1" t="s">
        <v>49</v>
      </c>
      <c r="BG44" s="1" t="s">
        <v>560</v>
      </c>
      <c r="BH44" s="1" t="s">
        <v>50</v>
      </c>
      <c r="BI44" s="22" t="s">
        <v>431</v>
      </c>
      <c r="BJ44" s="22" t="s">
        <v>479</v>
      </c>
      <c r="BK44" s="192" t="s">
        <v>337</v>
      </c>
      <c r="BL44" s="358" t="s">
        <v>344</v>
      </c>
      <c r="BM44" s="138" t="s">
        <v>317</v>
      </c>
      <c r="BN44" s="1"/>
      <c r="BO44" s="4"/>
      <c r="BP44" s="1" t="s">
        <v>558</v>
      </c>
      <c r="BQ44" s="1" t="s">
        <v>559</v>
      </c>
      <c r="BR44" s="1" t="s">
        <v>561</v>
      </c>
      <c r="BS44" s="1" t="s">
        <v>85</v>
      </c>
      <c r="BT44" s="1" t="s">
        <v>665</v>
      </c>
      <c r="BU44" s="1" t="s">
        <v>6</v>
      </c>
      <c r="BV44" s="1" t="s">
        <v>7</v>
      </c>
      <c r="BW44" s="1" t="s">
        <v>8</v>
      </c>
      <c r="BX44" s="1" t="s">
        <v>9</v>
      </c>
      <c r="BY44" s="1" t="s">
        <v>49</v>
      </c>
      <c r="BZ44" s="1" t="s">
        <v>560</v>
      </c>
      <c r="CA44" s="1" t="s">
        <v>50</v>
      </c>
      <c r="CB44" s="1"/>
    </row>
    <row r="45" spans="5:80" ht="18" x14ac:dyDescent="0.25">
      <c r="J45" s="4"/>
      <c r="K45" s="1" t="s">
        <v>88</v>
      </c>
      <c r="L45" s="4" t="s">
        <v>283</v>
      </c>
      <c r="M45" s="1" t="s">
        <v>90</v>
      </c>
      <c r="N45" s="1" t="s">
        <v>86</v>
      </c>
      <c r="O45" s="1" t="s">
        <v>650</v>
      </c>
      <c r="P45" s="1" t="s">
        <v>95</v>
      </c>
      <c r="Q45" s="1" t="s">
        <v>25</v>
      </c>
      <c r="R45" s="1" t="s">
        <v>98</v>
      </c>
      <c r="S45" s="1" t="s">
        <v>95</v>
      </c>
      <c r="T45" s="1" t="s">
        <v>95</v>
      </c>
      <c r="U45" s="1" t="s">
        <v>94</v>
      </c>
      <c r="V45" s="1" t="s">
        <v>92</v>
      </c>
      <c r="W45" s="213" t="s">
        <v>48</v>
      </c>
      <c r="X45" s="75" t="s">
        <v>48</v>
      </c>
      <c r="Y45" s="193" t="s">
        <v>89</v>
      </c>
      <c r="Z45" s="383"/>
      <c r="AA45" s="136" t="s">
        <v>82</v>
      </c>
      <c r="AB45" s="4"/>
      <c r="AC45" s="4"/>
      <c r="AD45" s="1" t="s">
        <v>88</v>
      </c>
      <c r="AE45" s="4" t="s">
        <v>283</v>
      </c>
      <c r="AF45" s="1" t="s">
        <v>90</v>
      </c>
      <c r="AG45" s="1" t="s">
        <v>86</v>
      </c>
      <c r="AH45" s="1" t="s">
        <v>650</v>
      </c>
      <c r="AI45" s="1" t="s">
        <v>95</v>
      </c>
      <c r="AJ45" s="1" t="s">
        <v>25</v>
      </c>
      <c r="AK45" s="1" t="s">
        <v>98</v>
      </c>
      <c r="AL45" s="1" t="s">
        <v>95</v>
      </c>
      <c r="AM45" s="1" t="s">
        <v>95</v>
      </c>
      <c r="AN45" s="1" t="s">
        <v>94</v>
      </c>
      <c r="AO45" s="1" t="s">
        <v>92</v>
      </c>
      <c r="AP45" s="213" t="s">
        <v>48</v>
      </c>
      <c r="AQ45" s="9" t="s">
        <v>48</v>
      </c>
      <c r="AR45" s="1" t="s">
        <v>89</v>
      </c>
      <c r="AS45" s="359"/>
      <c r="AT45" s="136" t="s">
        <v>82</v>
      </c>
      <c r="AU45" s="4"/>
      <c r="AV45" s="4"/>
      <c r="AW45" s="1" t="s">
        <v>88</v>
      </c>
      <c r="AX45" s="4" t="s">
        <v>283</v>
      </c>
      <c r="AY45" s="1" t="s">
        <v>90</v>
      </c>
      <c r="AZ45" s="1" t="s">
        <v>86</v>
      </c>
      <c r="BA45" s="1" t="s">
        <v>650</v>
      </c>
      <c r="BB45" s="1" t="s">
        <v>95</v>
      </c>
      <c r="BC45" s="1" t="s">
        <v>25</v>
      </c>
      <c r="BD45" s="1" t="s">
        <v>98</v>
      </c>
      <c r="BE45" s="1" t="s">
        <v>95</v>
      </c>
      <c r="BF45" s="1" t="s">
        <v>95</v>
      </c>
      <c r="BG45" s="1" t="s">
        <v>94</v>
      </c>
      <c r="BH45" s="1" t="s">
        <v>92</v>
      </c>
      <c r="BI45" s="213" t="s">
        <v>48</v>
      </c>
      <c r="BJ45" s="9" t="s">
        <v>48</v>
      </c>
      <c r="BK45" s="9" t="s">
        <v>89</v>
      </c>
      <c r="BL45" s="359"/>
      <c r="BM45" s="136" t="s">
        <v>82</v>
      </c>
      <c r="BN45" s="4"/>
      <c r="BO45" s="4" t="s">
        <v>41</v>
      </c>
      <c r="BP45" s="1" t="s">
        <v>88</v>
      </c>
      <c r="BQ45" s="4" t="s">
        <v>283</v>
      </c>
      <c r="BR45" s="2" t="s">
        <v>90</v>
      </c>
      <c r="BS45" s="2" t="s">
        <v>86</v>
      </c>
      <c r="BT45" s="1" t="s">
        <v>650</v>
      </c>
      <c r="BU45" s="2" t="s">
        <v>95</v>
      </c>
      <c r="BV45" s="2" t="s">
        <v>25</v>
      </c>
      <c r="BW45" s="2" t="s">
        <v>98</v>
      </c>
      <c r="BX45" s="2" t="s">
        <v>95</v>
      </c>
      <c r="BY45" s="2" t="s">
        <v>95</v>
      </c>
      <c r="BZ45" s="2" t="s">
        <v>94</v>
      </c>
      <c r="CA45" s="2" t="s">
        <v>92</v>
      </c>
      <c r="CB45" s="1"/>
    </row>
    <row r="46" spans="5:80" ht="19" customHeight="1" thickBot="1" x14ac:dyDescent="0.3">
      <c r="I46" s="348" t="s">
        <v>423</v>
      </c>
      <c r="J46" s="8" t="s">
        <v>15</v>
      </c>
      <c r="K46" s="62">
        <f>AD46</f>
        <v>881.06000000000006</v>
      </c>
      <c r="L46" s="62">
        <f>K46/$K$52</f>
        <v>0.87081274068002201</v>
      </c>
      <c r="M46" s="62">
        <f>MW_Fe2O3</f>
        <v>0.1596882</v>
      </c>
      <c r="N46" s="62">
        <f t="shared" ref="N46:N51" si="3">K46/M46</f>
        <v>5517.3769884061567</v>
      </c>
      <c r="O46" s="62">
        <f>h_Fe2O3</f>
        <v>-5161.3080991582347</v>
      </c>
      <c r="P46" s="62">
        <f>b_ch_Fe2O3</f>
        <v>17.358400000000074</v>
      </c>
      <c r="Q46" s="62">
        <f t="shared" ref="Q46:Q51" si="4">N46/$AZ$52</f>
        <v>0.72360528709446914</v>
      </c>
      <c r="R46" s="62">
        <f>LN(Q46)</f>
        <v>-0.3235092188341952</v>
      </c>
      <c r="S46" s="62">
        <f t="shared" ref="S46:S51" si="5">RT0*R46</f>
        <v>-0.73467943953759529</v>
      </c>
      <c r="T46" s="62">
        <f>S46+P46</f>
        <v>16.62372056046248</v>
      </c>
      <c r="U46" s="62">
        <f>Q46*T46</f>
        <v>12.029012088731683</v>
      </c>
      <c r="V46" s="62">
        <f t="shared" ref="V46:V51" si="6">U46*$AZ$52</f>
        <v>91719.333281989995</v>
      </c>
      <c r="W46" s="104">
        <f>AO63</f>
        <v>2418.6577581793781</v>
      </c>
      <c r="X46" s="101">
        <f>SUM(V42,V59,V72) -AO63-AO42</f>
        <v>91963.568251286255</v>
      </c>
      <c r="Y46" s="194">
        <f>ROUND(U42+U59+U72-AN42-AN63, 10)</f>
        <v>0</v>
      </c>
      <c r="Z46" s="191" t="s">
        <v>341</v>
      </c>
      <c r="AA46" s="136">
        <f>(($AG$46*($AN$46-$U$46))/V59)</f>
        <v>0</v>
      </c>
      <c r="AB46" s="348" t="s">
        <v>551</v>
      </c>
      <c r="AC46" s="8" t="s">
        <v>15</v>
      </c>
      <c r="AD46" s="62">
        <f>AW46</f>
        <v>881.06000000000006</v>
      </c>
      <c r="AE46" s="62">
        <f t="shared" ref="AE46:AE51" si="7">AD46/$AW$52</f>
        <v>0.87081274068002201</v>
      </c>
      <c r="AF46" s="62">
        <f>MW_Fe2O3</f>
        <v>0.1596882</v>
      </c>
      <c r="AG46" s="62">
        <f>AD46/AF46</f>
        <v>5517.3769884061567</v>
      </c>
      <c r="AH46" s="62">
        <f>h_Fe2O3</f>
        <v>-5161.3080991582347</v>
      </c>
      <c r="AI46" s="62">
        <f>b_ch_Fe2O3</f>
        <v>17.358400000000074</v>
      </c>
      <c r="AJ46" s="62">
        <f t="shared" ref="AJ46:AJ51" si="8">AG46/$AZ$52</f>
        <v>0.72360528709446914</v>
      </c>
      <c r="AK46" s="62">
        <f>LN(AJ46)</f>
        <v>-0.3235092188341952</v>
      </c>
      <c r="AL46" s="62">
        <f t="shared" ref="AL46:AL51" si="9">RT0*AK46</f>
        <v>-0.73467943953759529</v>
      </c>
      <c r="AM46" s="62">
        <f>AL46+AI46</f>
        <v>16.62372056046248</v>
      </c>
      <c r="AN46" s="62">
        <f>AJ46*AM46</f>
        <v>12.029012088731683</v>
      </c>
      <c r="AO46" s="62">
        <f t="shared" ref="AO46:AO51" si="10">AN46*$AZ$52</f>
        <v>91719.333281989995</v>
      </c>
      <c r="AP46" s="104">
        <f>0</f>
        <v>0</v>
      </c>
      <c r="AQ46" s="99">
        <f>(AO42+AU28)-BH42</f>
        <v>609792.2517593482</v>
      </c>
      <c r="AR46" s="141">
        <f>BG42-AN42</f>
        <v>0</v>
      </c>
      <c r="AS46" s="139" t="s">
        <v>341</v>
      </c>
      <c r="AT46" s="136">
        <f>((AZ46*(BG46-AN46))/AU28)</f>
        <v>0</v>
      </c>
      <c r="AU46" s="348" t="s">
        <v>550</v>
      </c>
      <c r="AV46" s="8" t="s">
        <v>15</v>
      </c>
      <c r="AW46" s="62">
        <f>BP46</f>
        <v>881.06000000000006</v>
      </c>
      <c r="AX46" s="62">
        <f t="shared" ref="AX46:AX51" si="11">AW46/$AW$52</f>
        <v>0.87081274068002201</v>
      </c>
      <c r="AY46" s="62">
        <f>MW_Fe2O3</f>
        <v>0.1596882</v>
      </c>
      <c r="AZ46" s="62">
        <f>AW46/AY46</f>
        <v>5517.3769884061567</v>
      </c>
      <c r="BA46" s="62">
        <f>h_Fe2O3</f>
        <v>-5161.3080991582347</v>
      </c>
      <c r="BB46" s="62">
        <f>b_ch_Fe2O3</f>
        <v>17.358400000000074</v>
      </c>
      <c r="BC46" s="62">
        <f t="shared" ref="BC46:BC51" si="12">AZ46/$AZ$52</f>
        <v>0.72360528709446914</v>
      </c>
      <c r="BD46" s="62">
        <f>LN(BC46)</f>
        <v>-0.3235092188341952</v>
      </c>
      <c r="BE46" s="62">
        <f t="shared" ref="BE46:BE51" si="13">RT0*BD46</f>
        <v>-0.73467943953759529</v>
      </c>
      <c r="BF46" s="62">
        <f>BE46+BB46</f>
        <v>16.62372056046248</v>
      </c>
      <c r="BG46" s="62">
        <f>BC46*BF46</f>
        <v>12.029012088731683</v>
      </c>
      <c r="BH46" s="62">
        <f t="shared" ref="BH46:BH51" si="14">BG46*$AZ$52</f>
        <v>91719.333281989995</v>
      </c>
      <c r="BI46" s="104">
        <f>CA55</f>
        <v>21743.416787545681</v>
      </c>
      <c r="BJ46" s="104">
        <f>BH42+BN35-CA42-CA55</f>
        <v>11150.594866631796</v>
      </c>
      <c r="BK46" s="194">
        <f>BZ42+BZ55-BG42</f>
        <v>0</v>
      </c>
      <c r="BL46" s="139" t="s">
        <v>341</v>
      </c>
      <c r="BM46" s="136">
        <f>((BS46*(BZ46-BG46))/BN35)</f>
        <v>0.10204303400670409</v>
      </c>
      <c r="BN46" s="348" t="s">
        <v>548</v>
      </c>
      <c r="BO46" s="1" t="s">
        <v>15</v>
      </c>
      <c r="BP46" s="17">
        <f>EB130</f>
        <v>881.06000000000006</v>
      </c>
      <c r="BQ46" s="17">
        <f>BP46/$BP$48</f>
        <v>0.88105999999999995</v>
      </c>
      <c r="BR46" s="3">
        <f>MW_Fe2O3</f>
        <v>0.1596882</v>
      </c>
      <c r="BS46" s="3">
        <f>BP46/BR46</f>
        <v>5517.3769884061567</v>
      </c>
      <c r="BT46" s="62">
        <f>h_Fe2O3</f>
        <v>-5161.3080991582347</v>
      </c>
      <c r="BU46" s="3">
        <f>b_ch_Fe2O3</f>
        <v>17.358400000000074</v>
      </c>
      <c r="BV46" s="3">
        <f>BS46/$BS$48</f>
        <v>0.73595160775903645</v>
      </c>
      <c r="BW46" s="3">
        <f>LN(BV46)</f>
        <v>-0.30659091274230449</v>
      </c>
      <c r="BX46" s="3">
        <f>RT0*BW46</f>
        <v>-0.69625848917856969</v>
      </c>
      <c r="BY46" s="3">
        <f>BX46+BU46</f>
        <v>16.662141510821506</v>
      </c>
      <c r="BZ46" s="3">
        <f>BY46*BV46</f>
        <v>12.262529833597668</v>
      </c>
      <c r="CA46" s="3">
        <f>BZ46*$BS$48</f>
        <v>91931.316149373568</v>
      </c>
    </row>
    <row r="47" spans="5:80" ht="18" x14ac:dyDescent="0.25">
      <c r="I47" s="348"/>
      <c r="J47" s="1" t="s">
        <v>17</v>
      </c>
      <c r="K47" s="4">
        <f t="shared" ref="K47:K51" si="15">AD47</f>
        <v>118.94000000000001</v>
      </c>
      <c r="L47" s="4">
        <f t="shared" ref="L47:L51" si="16">K47/$K$52</f>
        <v>0.11755665604667312</v>
      </c>
      <c r="M47" s="4">
        <f>MW_SIO2</f>
        <v>6.00843E-2</v>
      </c>
      <c r="N47" s="4">
        <f t="shared" si="3"/>
        <v>1979.5520626852608</v>
      </c>
      <c r="O47" s="4">
        <f>h_SiO2</f>
        <v>-15157.037695371337</v>
      </c>
      <c r="P47" s="4">
        <f>b_ch_SiO2</f>
        <v>1.5260000000000673</v>
      </c>
      <c r="Q47" s="4">
        <f t="shared" si="4"/>
        <v>0.25961871767105915</v>
      </c>
      <c r="R47" s="4">
        <f t="shared" ref="R47:R51" si="17">LN(Q47)</f>
        <v>-1.3485411947827832</v>
      </c>
      <c r="S47" s="4">
        <f t="shared" si="5"/>
        <v>-3.0624953834287818</v>
      </c>
      <c r="T47" s="4">
        <f t="shared" ref="T47:T51" si="18">S47+P47</f>
        <v>-1.5364953834287145</v>
      </c>
      <c r="U47" s="4">
        <f t="shared" ref="U47:U51" si="19">Q47*T47</f>
        <v>-0.39890296115326523</v>
      </c>
      <c r="V47" s="4">
        <f t="shared" si="6"/>
        <v>-3041.5726055726927</v>
      </c>
      <c r="X47" s="4"/>
      <c r="Y47" s="4"/>
      <c r="Z47" s="139" t="s">
        <v>637</v>
      </c>
      <c r="AA47" s="136">
        <f>($AO$42+AO63)/(V59+V72+$V$42)</f>
        <v>0.54834789034775577</v>
      </c>
      <c r="AB47" s="348"/>
      <c r="AC47" s="1" t="s">
        <v>17</v>
      </c>
      <c r="AD47" s="4">
        <f>AW47</f>
        <v>118.94000000000001</v>
      </c>
      <c r="AE47" s="4">
        <f t="shared" si="7"/>
        <v>0.11755665604667312</v>
      </c>
      <c r="AF47" s="4">
        <f>MW_SIO2</f>
        <v>6.00843E-2</v>
      </c>
      <c r="AG47" s="4">
        <f t="shared" ref="AG47:AG51" si="20">AD47/AF47</f>
        <v>1979.5520626852608</v>
      </c>
      <c r="AH47" s="4">
        <f>h_SiO2</f>
        <v>-15157.037695371337</v>
      </c>
      <c r="AI47" s="4">
        <f>b_ch_SiO2</f>
        <v>1.5260000000000673</v>
      </c>
      <c r="AJ47" s="4">
        <f t="shared" si="8"/>
        <v>0.25961871767105915</v>
      </c>
      <c r="AK47" s="4">
        <f t="shared" ref="AK47:AK51" si="21">LN(AJ47)</f>
        <v>-1.3485411947827832</v>
      </c>
      <c r="AL47" s="4">
        <f t="shared" si="9"/>
        <v>-3.0624953834287818</v>
      </c>
      <c r="AM47" s="4">
        <f t="shared" ref="AM47:AM51" si="22">AL47+AI47</f>
        <v>-1.5364953834287145</v>
      </c>
      <c r="AN47" s="4">
        <f t="shared" ref="AN47:AN51" si="23">AJ47*AM47</f>
        <v>-0.39890296115326523</v>
      </c>
      <c r="AO47" s="4">
        <f t="shared" si="10"/>
        <v>-3041.5726055726927</v>
      </c>
      <c r="AP47" s="4"/>
      <c r="AQ47" s="4"/>
      <c r="AR47" s="4"/>
      <c r="AS47" s="139" t="s">
        <v>637</v>
      </c>
      <c r="AT47" s="136">
        <f>BH42/(AU28+AO42)</f>
        <v>0.15191900995389168</v>
      </c>
      <c r="AU47" s="348"/>
      <c r="AV47" s="1" t="s">
        <v>17</v>
      </c>
      <c r="AW47" s="4">
        <f>BP47</f>
        <v>118.94000000000001</v>
      </c>
      <c r="AX47" s="4">
        <f t="shared" si="11"/>
        <v>0.11755665604667312</v>
      </c>
      <c r="AY47" s="4">
        <f>MW_SIO2</f>
        <v>6.00843E-2</v>
      </c>
      <c r="AZ47" s="4">
        <f t="shared" ref="AZ47:AZ51" si="24">AW47/AY47</f>
        <v>1979.5520626852608</v>
      </c>
      <c r="BA47" s="4">
        <f>h_SiO2</f>
        <v>-15157.037695371337</v>
      </c>
      <c r="BB47" s="4">
        <f>b_ch_SiO2</f>
        <v>1.5260000000000673</v>
      </c>
      <c r="BC47" s="4">
        <f t="shared" si="12"/>
        <v>0.25961871767105915</v>
      </c>
      <c r="BD47" s="4">
        <f t="shared" ref="BD47:BD51" si="25">LN(BC47)</f>
        <v>-1.3485411947827832</v>
      </c>
      <c r="BE47" s="4">
        <f t="shared" si="13"/>
        <v>-3.0624953834287818</v>
      </c>
      <c r="BF47" s="4">
        <f t="shared" ref="BF47:BF51" si="26">BE47+BB47</f>
        <v>-1.5364953834287145</v>
      </c>
      <c r="BG47" s="4">
        <f t="shared" ref="BG47:BG51" si="27">BC47*BF47</f>
        <v>-0.39890296115326523</v>
      </c>
      <c r="BH47" s="4">
        <f t="shared" si="14"/>
        <v>-3041.5726055726927</v>
      </c>
      <c r="BI47" s="4"/>
      <c r="BL47" s="139" t="s">
        <v>637</v>
      </c>
      <c r="BM47" s="136">
        <f>(CA42+CA55)/(BN35+BH42)</f>
        <v>0.9084965360427989</v>
      </c>
      <c r="BN47" s="348"/>
      <c r="BO47" s="1" t="s">
        <v>17</v>
      </c>
      <c r="BP47" s="28">
        <f>EB131</f>
        <v>118.94000000000001</v>
      </c>
      <c r="BQ47" s="28">
        <f>BP47/$BP$48</f>
        <v>0.11894</v>
      </c>
      <c r="BR47" s="28">
        <f>MW_SIO2</f>
        <v>6.00843E-2</v>
      </c>
      <c r="BS47" s="28">
        <f>BP47/BR47</f>
        <v>1979.5520626852608</v>
      </c>
      <c r="BT47" s="4">
        <f>h_SiO2</f>
        <v>-15157.037695371337</v>
      </c>
      <c r="BU47" s="28">
        <f>b_ch_SiO2</f>
        <v>1.5260000000000673</v>
      </c>
      <c r="BV47" s="28">
        <f>BS47/$BS$48</f>
        <v>0.26404839224096349</v>
      </c>
      <c r="BW47" s="28">
        <f>LN(BV47)</f>
        <v>-1.3316228886908923</v>
      </c>
      <c r="BX47" s="28">
        <f>RT0*BW47</f>
        <v>-3.0240744330697558</v>
      </c>
      <c r="BY47" s="28">
        <f>BX47+BU47</f>
        <v>-1.4980744330696885</v>
      </c>
      <c r="BZ47" s="28">
        <f>BY47*BV47</f>
        <v>-0.3955641455093441</v>
      </c>
      <c r="CA47" s="28">
        <f>BZ47*$BS$48</f>
        <v>-2965.5163340391546</v>
      </c>
    </row>
    <row r="48" spans="5:80" ht="18" customHeight="1" thickBot="1" x14ac:dyDescent="0.3">
      <c r="I48" s="348" t="s">
        <v>553</v>
      </c>
      <c r="J48" s="4" t="s">
        <v>315</v>
      </c>
      <c r="K48" s="4">
        <f t="shared" si="15"/>
        <v>1.249958452402667</v>
      </c>
      <c r="L48" s="4">
        <f t="shared" si="16"/>
        <v>1.2354206815346574E-3</v>
      </c>
      <c r="M48" s="4">
        <f>MW_K2O</f>
        <v>9.4196000000000002E-2</v>
      </c>
      <c r="N48" s="4">
        <f t="shared" si="3"/>
        <v>13.269761480345949</v>
      </c>
      <c r="O48" s="4">
        <f>h_K2O</f>
        <v>-3024.5445666482651</v>
      </c>
      <c r="P48" s="4">
        <f>b_ch_K2O</f>
        <v>412.83199999999999</v>
      </c>
      <c r="Q48" s="4">
        <f t="shared" si="4"/>
        <v>1.7403323328889792E-3</v>
      </c>
      <c r="R48" s="4">
        <f t="shared" si="17"/>
        <v>-6.35367918807989</v>
      </c>
      <c r="S48" s="4">
        <f t="shared" si="5"/>
        <v>-14.429009107442518</v>
      </c>
      <c r="T48" s="4">
        <f t="shared" si="18"/>
        <v>398.40299089255745</v>
      </c>
      <c r="U48" s="4">
        <f t="shared" si="19"/>
        <v>0.69335360656999123</v>
      </c>
      <c r="V48" s="4">
        <f t="shared" si="6"/>
        <v>5286.7126622006763</v>
      </c>
      <c r="X48" s="4"/>
      <c r="Y48" s="4"/>
      <c r="Z48" s="140" t="s">
        <v>406</v>
      </c>
      <c r="AA48" s="137">
        <f>$AO$46/(V59+V72+$V$42)</f>
        <v>0.4504526211892465</v>
      </c>
      <c r="AB48" s="348" t="s">
        <v>552</v>
      </c>
      <c r="AC48" s="4" t="s">
        <v>315</v>
      </c>
      <c r="AD48" s="4">
        <v>1.249958452402667</v>
      </c>
      <c r="AE48" s="4">
        <f t="shared" si="7"/>
        <v>1.2354206815346574E-3</v>
      </c>
      <c r="AF48" s="4">
        <f>MW_K2O</f>
        <v>9.4196000000000002E-2</v>
      </c>
      <c r="AG48" s="4">
        <f t="shared" si="20"/>
        <v>13.269761480345949</v>
      </c>
      <c r="AH48" s="4">
        <f>h_K2O</f>
        <v>-3024.5445666482651</v>
      </c>
      <c r="AI48" s="4">
        <f>b_ch_K2O</f>
        <v>412.83199999999999</v>
      </c>
      <c r="AJ48" s="4">
        <f t="shared" si="8"/>
        <v>1.7403323328889792E-3</v>
      </c>
      <c r="AK48" s="4">
        <f t="shared" si="21"/>
        <v>-6.35367918807989</v>
      </c>
      <c r="AL48" s="4">
        <f t="shared" si="9"/>
        <v>-14.429009107442518</v>
      </c>
      <c r="AM48" s="4">
        <f t="shared" si="22"/>
        <v>398.40299089255745</v>
      </c>
      <c r="AN48" s="4">
        <f t="shared" si="23"/>
        <v>0.69335360656999123</v>
      </c>
      <c r="AO48" s="4">
        <f t="shared" si="10"/>
        <v>5286.7126622006763</v>
      </c>
      <c r="AP48" s="4"/>
      <c r="AQ48" s="4"/>
      <c r="AR48" s="4"/>
      <c r="AS48" s="140" t="s">
        <v>406</v>
      </c>
      <c r="AT48" s="137">
        <f>BH46/(AU28+AO42)</f>
        <v>0.12756053024900801</v>
      </c>
      <c r="AU48" s="348" t="s">
        <v>549</v>
      </c>
      <c r="AV48" s="4" t="s">
        <v>315</v>
      </c>
      <c r="AW48" s="4">
        <f>AD48</f>
        <v>1.249958452402667</v>
      </c>
      <c r="AX48" s="4">
        <f t="shared" si="11"/>
        <v>1.2354206815346574E-3</v>
      </c>
      <c r="AY48" s="4">
        <f>MW_K2O</f>
        <v>9.4196000000000002E-2</v>
      </c>
      <c r="AZ48" s="4">
        <f t="shared" si="24"/>
        <v>13.269761480345949</v>
      </c>
      <c r="BA48" s="4">
        <f>h_K2O</f>
        <v>-3024.5445666482651</v>
      </c>
      <c r="BB48" s="4">
        <f>b_ch_K2O</f>
        <v>412.83199999999999</v>
      </c>
      <c r="BC48" s="4">
        <f t="shared" si="12"/>
        <v>1.7403323328889792E-3</v>
      </c>
      <c r="BD48" s="4">
        <f t="shared" si="25"/>
        <v>-6.35367918807989</v>
      </c>
      <c r="BE48" s="4">
        <f t="shared" si="13"/>
        <v>-14.429009107442518</v>
      </c>
      <c r="BF48" s="4">
        <f t="shared" si="26"/>
        <v>398.40299089255745</v>
      </c>
      <c r="BG48" s="4">
        <f t="shared" si="27"/>
        <v>0.69335360656999123</v>
      </c>
      <c r="BH48" s="4">
        <f t="shared" si="14"/>
        <v>5286.7126622006763</v>
      </c>
      <c r="BI48" s="4"/>
      <c r="BL48" s="140" t="s">
        <v>406</v>
      </c>
      <c r="BM48" s="137">
        <f>CA46/(BN35+BH42)</f>
        <v>0.75440225157720575</v>
      </c>
      <c r="BN48" s="4"/>
      <c r="BO48" s="17"/>
      <c r="BP48" s="3">
        <f>SUM(BP46:BP47)</f>
        <v>1000.0000000000001</v>
      </c>
      <c r="BR48" s="3">
        <f>SUM(BR46:BR47)</f>
        <v>0.21977250000000001</v>
      </c>
      <c r="BS48" s="3">
        <f>SUM(BS46:BS47)</f>
        <v>7496.9290510914179</v>
      </c>
      <c r="BT48" s="17" cm="1">
        <f t="array" ref="BT48">SUM(BP46:BP47*BT46:BT47) / BP48</f>
        <v>-6350.2001773318216</v>
      </c>
      <c r="BZ48" s="3">
        <f>SUM(BZ46:BZ47)</f>
        <v>11.866965688088325</v>
      </c>
      <c r="CA48" s="3">
        <f>SUM(CA46:CA47)</f>
        <v>88965.799815334409</v>
      </c>
    </row>
    <row r="49" spans="2:86" ht="18" x14ac:dyDescent="0.25">
      <c r="I49" s="348"/>
      <c r="J49" s="4" t="s">
        <v>307</v>
      </c>
      <c r="K49" s="4">
        <f t="shared" si="15"/>
        <v>9.9996676192213361</v>
      </c>
      <c r="L49" s="4">
        <f t="shared" si="16"/>
        <v>9.8833654522772589E-3</v>
      </c>
      <c r="M49" s="4">
        <f>MW_Al2O3</f>
        <v>0.10196127799999999</v>
      </c>
      <c r="N49" s="4">
        <f t="shared" si="3"/>
        <v>98.073188325683176</v>
      </c>
      <c r="O49" s="4">
        <f>h_Al2O3</f>
        <v>-16434.670424590011</v>
      </c>
      <c r="P49" s="4">
        <f>b_ch_Al2O3</f>
        <v>31.875999999999976</v>
      </c>
      <c r="Q49" s="4">
        <f t="shared" si="4"/>
        <v>1.2862321669119157E-2</v>
      </c>
      <c r="R49" s="4">
        <f t="shared" si="17"/>
        <v>-4.3534530423208677</v>
      </c>
      <c r="S49" s="4">
        <f t="shared" si="5"/>
        <v>-9.8865573374116824</v>
      </c>
      <c r="T49" s="4">
        <f t="shared" si="18"/>
        <v>21.989442662588296</v>
      </c>
      <c r="U49" s="4">
        <f t="shared" si="19"/>
        <v>0.28283528485086268</v>
      </c>
      <c r="V49" s="4">
        <f t="shared" si="6"/>
        <v>2156.5747514248337</v>
      </c>
      <c r="X49" s="4"/>
      <c r="Y49" s="4"/>
      <c r="Z49" s="4"/>
      <c r="AA49" s="4"/>
      <c r="AB49" s="348"/>
      <c r="AC49" s="4" t="s">
        <v>307</v>
      </c>
      <c r="AD49" s="4">
        <v>9.9996676192213361</v>
      </c>
      <c r="AE49" s="4">
        <f t="shared" si="7"/>
        <v>9.8833654522772589E-3</v>
      </c>
      <c r="AF49" s="4">
        <f>MW_Al2O3</f>
        <v>0.10196127799999999</v>
      </c>
      <c r="AG49" s="4">
        <f t="shared" si="20"/>
        <v>98.073188325683176</v>
      </c>
      <c r="AH49" s="4">
        <f>h_Al2O3</f>
        <v>-16434.670424590011</v>
      </c>
      <c r="AI49" s="4">
        <f>b_ch_Al2O3</f>
        <v>31.875999999999976</v>
      </c>
      <c r="AJ49" s="4">
        <f t="shared" si="8"/>
        <v>1.2862321669119157E-2</v>
      </c>
      <c r="AK49" s="4">
        <f t="shared" si="21"/>
        <v>-4.3534530423208677</v>
      </c>
      <c r="AL49" s="4">
        <f t="shared" si="9"/>
        <v>-9.8865573374116824</v>
      </c>
      <c r="AM49" s="4">
        <f t="shared" si="22"/>
        <v>21.989442662588296</v>
      </c>
      <c r="AN49" s="4">
        <f t="shared" si="23"/>
        <v>0.28283528485086268</v>
      </c>
      <c r="AO49" s="4">
        <f t="shared" si="10"/>
        <v>2156.5747514248337</v>
      </c>
      <c r="AP49" s="4"/>
      <c r="AQ49" s="4"/>
      <c r="AR49" s="4"/>
      <c r="AS49" s="4"/>
      <c r="AT49" s="4"/>
      <c r="AU49" s="348"/>
      <c r="AV49" s="4" t="s">
        <v>307</v>
      </c>
      <c r="AW49" s="4">
        <f>AD49</f>
        <v>9.9996676192213361</v>
      </c>
      <c r="AX49" s="4">
        <f t="shared" si="11"/>
        <v>9.8833654522772589E-3</v>
      </c>
      <c r="AY49" s="4">
        <f>MW_Al2O3</f>
        <v>0.10196127799999999</v>
      </c>
      <c r="AZ49" s="4">
        <f t="shared" si="24"/>
        <v>98.073188325683176</v>
      </c>
      <c r="BA49" s="4">
        <f>h_Al2O3</f>
        <v>-16434.670424590011</v>
      </c>
      <c r="BB49" s="4">
        <f>b_ch_Al2O3</f>
        <v>31.875999999999976</v>
      </c>
      <c r="BC49" s="4">
        <f t="shared" si="12"/>
        <v>1.2862321669119157E-2</v>
      </c>
      <c r="BD49" s="4">
        <f t="shared" si="25"/>
        <v>-4.3534530423208677</v>
      </c>
      <c r="BE49" s="4">
        <f t="shared" si="13"/>
        <v>-9.8865573374116824</v>
      </c>
      <c r="BF49" s="4">
        <f t="shared" si="26"/>
        <v>21.989442662588296</v>
      </c>
      <c r="BG49" s="4">
        <f t="shared" si="27"/>
        <v>0.28283528485086268</v>
      </c>
      <c r="BH49" s="4">
        <f t="shared" si="14"/>
        <v>2156.5747514248337</v>
      </c>
      <c r="BI49" s="4"/>
      <c r="BP49" s="1" t="s">
        <v>89</v>
      </c>
      <c r="BR49" s="3" t="s">
        <v>91</v>
      </c>
      <c r="BS49" s="3" t="s">
        <v>87</v>
      </c>
      <c r="BT49" s="1" t="s">
        <v>666</v>
      </c>
      <c r="BU49" s="4"/>
      <c r="BV49" s="4"/>
      <c r="BZ49" s="3" t="s">
        <v>96</v>
      </c>
      <c r="CA49" s="1" t="s">
        <v>93</v>
      </c>
    </row>
    <row r="50" spans="2:86" x14ac:dyDescent="0.2">
      <c r="I50" s="348"/>
      <c r="J50" s="4" t="s">
        <v>181</v>
      </c>
      <c r="K50" s="4">
        <f t="shared" si="15"/>
        <v>0.38391581038081912</v>
      </c>
      <c r="L50" s="4">
        <f t="shared" si="16"/>
        <v>3.7945063789993045E-4</v>
      </c>
      <c r="M50" s="4">
        <f>MW_P</f>
        <v>3.0973762000000002E-2</v>
      </c>
      <c r="N50" s="4">
        <f t="shared" si="3"/>
        <v>12.394871839617645</v>
      </c>
      <c r="O50" s="4">
        <f>h_P</f>
        <v>0</v>
      </c>
      <c r="P50" s="4">
        <f>b_ch_P</f>
        <v>873.60807999999997</v>
      </c>
      <c r="Q50" s="4">
        <f t="shared" si="4"/>
        <v>1.6255903511491995E-3</v>
      </c>
      <c r="R50" s="4">
        <f t="shared" si="17"/>
        <v>-6.4218842361604729</v>
      </c>
      <c r="S50" s="4">
        <f t="shared" si="5"/>
        <v>-14.583900664097536</v>
      </c>
      <c r="T50" s="4">
        <f t="shared" si="18"/>
        <v>859.02417933590243</v>
      </c>
      <c r="U50" s="4">
        <f t="shared" si="19"/>
        <v>1.3964214173323026</v>
      </c>
      <c r="V50" s="4">
        <f t="shared" si="6"/>
        <v>10647.494610001237</v>
      </c>
      <c r="X50" s="4"/>
      <c r="Y50" s="4"/>
      <c r="Z50" s="4"/>
      <c r="AA50" s="4"/>
      <c r="AB50" s="348"/>
      <c r="AC50" s="4" t="s">
        <v>181</v>
      </c>
      <c r="AD50" s="4">
        <v>0.38391581038081912</v>
      </c>
      <c r="AE50" s="4">
        <f t="shared" si="7"/>
        <v>3.7945063789993045E-4</v>
      </c>
      <c r="AF50" s="4">
        <f>MW_P</f>
        <v>3.0973762000000002E-2</v>
      </c>
      <c r="AG50" s="4">
        <f t="shared" si="20"/>
        <v>12.394871839617645</v>
      </c>
      <c r="AH50" s="4">
        <f>h_P</f>
        <v>0</v>
      </c>
      <c r="AI50" s="4">
        <f>b_ch_P</f>
        <v>873.60807999999997</v>
      </c>
      <c r="AJ50" s="4">
        <f t="shared" si="8"/>
        <v>1.6255903511491995E-3</v>
      </c>
      <c r="AK50" s="4">
        <f t="shared" si="21"/>
        <v>-6.4218842361604729</v>
      </c>
      <c r="AL50" s="4">
        <f t="shared" si="9"/>
        <v>-14.583900664097536</v>
      </c>
      <c r="AM50" s="4">
        <f t="shared" si="22"/>
        <v>859.02417933590243</v>
      </c>
      <c r="AN50" s="4">
        <f t="shared" si="23"/>
        <v>1.3964214173323026</v>
      </c>
      <c r="AO50" s="4">
        <f t="shared" si="10"/>
        <v>10647.494610001237</v>
      </c>
      <c r="AP50" s="4"/>
      <c r="AQ50" s="4"/>
      <c r="AR50" s="4"/>
      <c r="AS50" s="4"/>
      <c r="AT50" s="4"/>
      <c r="AU50" s="348"/>
      <c r="AV50" s="4" t="s">
        <v>181</v>
      </c>
      <c r="AW50" s="4">
        <f>AD50</f>
        <v>0.38391581038081912</v>
      </c>
      <c r="AX50" s="4">
        <f t="shared" si="11"/>
        <v>3.7945063789993045E-4</v>
      </c>
      <c r="AY50" s="4">
        <f>MW_P</f>
        <v>3.0973762000000002E-2</v>
      </c>
      <c r="AZ50" s="4">
        <f t="shared" si="24"/>
        <v>12.394871839617645</v>
      </c>
      <c r="BA50" s="4">
        <f>h_P</f>
        <v>0</v>
      </c>
      <c r="BB50" s="4">
        <f>b_ch_P</f>
        <v>873.60807999999997</v>
      </c>
      <c r="BC50" s="4">
        <f t="shared" si="12"/>
        <v>1.6255903511491995E-3</v>
      </c>
      <c r="BD50" s="4">
        <f t="shared" si="25"/>
        <v>-6.4218842361604729</v>
      </c>
      <c r="BE50" s="4">
        <f t="shared" si="13"/>
        <v>-14.583900664097536</v>
      </c>
      <c r="BF50" s="4">
        <f t="shared" si="26"/>
        <v>859.02417933590243</v>
      </c>
      <c r="BG50" s="4">
        <f t="shared" si="27"/>
        <v>1.3964214173323026</v>
      </c>
      <c r="BH50" s="4">
        <f t="shared" si="14"/>
        <v>10647.494610001237</v>
      </c>
      <c r="BI50" s="4"/>
    </row>
    <row r="51" spans="2:86" x14ac:dyDescent="0.2">
      <c r="I51" s="348"/>
      <c r="J51" s="4" t="s">
        <v>180</v>
      </c>
      <c r="K51" s="4">
        <f t="shared" si="15"/>
        <v>0.13392411990028574</v>
      </c>
      <c r="L51" s="4">
        <f t="shared" si="16"/>
        <v>1.3236650159299899E-4</v>
      </c>
      <c r="M51" s="4">
        <f>MW_S</f>
        <v>3.2066000000000004E-2</v>
      </c>
      <c r="N51" s="4">
        <f t="shared" si="3"/>
        <v>4.1765146853454036</v>
      </c>
      <c r="O51" s="4">
        <f>h_S</f>
        <v>0</v>
      </c>
      <c r="P51" s="4">
        <f>b_ch_S</f>
        <v>607.29999999999995</v>
      </c>
      <c r="Q51" s="4">
        <f t="shared" si="4"/>
        <v>5.4775088131446613E-4</v>
      </c>
      <c r="R51" s="4">
        <f t="shared" si="17"/>
        <v>-7.5096899705178952</v>
      </c>
      <c r="S51" s="4">
        <f t="shared" si="5"/>
        <v>-17.054273873626048</v>
      </c>
      <c r="T51" s="4">
        <f t="shared" si="18"/>
        <v>590.24572612637394</v>
      </c>
      <c r="U51" s="4">
        <f t="shared" si="19"/>
        <v>0.32330761667781832</v>
      </c>
      <c r="V51" s="4">
        <f t="shared" si="6"/>
        <v>2465.1699431291622</v>
      </c>
      <c r="X51" s="4"/>
      <c r="Y51" s="4"/>
      <c r="Z51" s="4"/>
      <c r="AA51" s="4"/>
      <c r="AB51" s="348"/>
      <c r="AC51" s="4" t="s">
        <v>180</v>
      </c>
      <c r="AD51" s="4">
        <v>0.13392411990028574</v>
      </c>
      <c r="AE51" s="4">
        <f t="shared" si="7"/>
        <v>1.3236650159299899E-4</v>
      </c>
      <c r="AF51" s="4">
        <f>MW_S</f>
        <v>3.2066000000000004E-2</v>
      </c>
      <c r="AG51" s="4">
        <f t="shared" si="20"/>
        <v>4.1765146853454036</v>
      </c>
      <c r="AH51" s="4">
        <f>h_S</f>
        <v>0</v>
      </c>
      <c r="AI51" s="4">
        <f>b_ch_S</f>
        <v>607.29999999999995</v>
      </c>
      <c r="AJ51" s="4">
        <f t="shared" si="8"/>
        <v>5.4775088131446613E-4</v>
      </c>
      <c r="AK51" s="4">
        <f t="shared" si="21"/>
        <v>-7.5096899705178952</v>
      </c>
      <c r="AL51" s="4">
        <f t="shared" si="9"/>
        <v>-17.054273873626048</v>
      </c>
      <c r="AM51" s="4">
        <f t="shared" si="22"/>
        <v>590.24572612637394</v>
      </c>
      <c r="AN51" s="4">
        <f t="shared" si="23"/>
        <v>0.32330761667781832</v>
      </c>
      <c r="AO51" s="4">
        <f t="shared" si="10"/>
        <v>2465.1699431291622</v>
      </c>
      <c r="AP51" s="4"/>
      <c r="AQ51" s="4"/>
      <c r="AR51" s="4"/>
      <c r="AS51" s="4"/>
      <c r="AT51" s="4"/>
      <c r="AU51" s="348"/>
      <c r="AV51" s="4" t="s">
        <v>180</v>
      </c>
      <c r="AW51" s="4">
        <f>AD51</f>
        <v>0.13392411990028574</v>
      </c>
      <c r="AX51" s="4">
        <f t="shared" si="11"/>
        <v>1.3236650159299899E-4</v>
      </c>
      <c r="AY51" s="4">
        <f>MW_S</f>
        <v>3.2066000000000004E-2</v>
      </c>
      <c r="AZ51" s="4">
        <f t="shared" si="24"/>
        <v>4.1765146853454036</v>
      </c>
      <c r="BA51" s="4">
        <f>h_S</f>
        <v>0</v>
      </c>
      <c r="BB51" s="4">
        <f>b_ch_S</f>
        <v>607.29999999999995</v>
      </c>
      <c r="BC51" s="4">
        <f t="shared" si="12"/>
        <v>5.4775088131446613E-4</v>
      </c>
      <c r="BD51" s="4">
        <f t="shared" si="25"/>
        <v>-7.5096899705178952</v>
      </c>
      <c r="BE51" s="4">
        <f t="shared" si="13"/>
        <v>-17.054273873626048</v>
      </c>
      <c r="BF51" s="4">
        <f t="shared" si="26"/>
        <v>590.24572612637394</v>
      </c>
      <c r="BG51" s="4">
        <f t="shared" si="27"/>
        <v>0.32330761667781832</v>
      </c>
      <c r="BH51" s="4">
        <f t="shared" si="14"/>
        <v>2465.1699431291622</v>
      </c>
      <c r="BI51" s="4"/>
    </row>
    <row r="52" spans="2:86" ht="16" thickBot="1" x14ac:dyDescent="0.25">
      <c r="J52" s="62" t="s">
        <v>19</v>
      </c>
      <c r="K52" s="62">
        <f>SUM(K46:K51)</f>
        <v>1011.7674660019052</v>
      </c>
      <c r="L52" s="62">
        <f>SUM(L46:L51)</f>
        <v>1</v>
      </c>
      <c r="M52" s="62">
        <f>SUM(M46:M51)</f>
        <v>0.47896953999999997</v>
      </c>
      <c r="N52" s="62">
        <f>SUM(N46:N51)</f>
        <v>7624.8433874224093</v>
      </c>
      <c r="O52" s="17" cm="1">
        <f t="array" ref="O52">SUM(K46:K51*O46:O51) / K52</f>
        <v>-6442.5099571670216</v>
      </c>
      <c r="P52" s="62"/>
      <c r="Q52" s="62"/>
      <c r="R52" s="62"/>
      <c r="S52" s="62"/>
      <c r="T52" s="62"/>
      <c r="U52" s="62">
        <f>SUM(U46:U51)</f>
        <v>14.326027053009392</v>
      </c>
      <c r="V52" s="62">
        <f>SUM(V46:V51)</f>
        <v>109233.7126431732</v>
      </c>
      <c r="X52" s="4"/>
      <c r="Y52" s="3" t="s">
        <v>2</v>
      </c>
      <c r="Z52" s="3" t="s">
        <v>3</v>
      </c>
      <c r="AA52" s="132" t="s">
        <v>585</v>
      </c>
      <c r="AB52" s="4"/>
      <c r="AC52" s="62" t="s">
        <v>19</v>
      </c>
      <c r="AD52" s="62">
        <f>SUM(AD46:AD51)</f>
        <v>1011.7674660019052</v>
      </c>
      <c r="AE52" s="62">
        <f>SUM(AE46:AE51)</f>
        <v>1</v>
      </c>
      <c r="AF52" s="62">
        <f>SUM(AF46:AF51)</f>
        <v>0.47896953999999997</v>
      </c>
      <c r="AG52" s="62">
        <f>SUM(AG46:AG51)</f>
        <v>7624.8433874224093</v>
      </c>
      <c r="AH52" s="17" cm="1">
        <f t="array" ref="AH52">SUM(AD46:AD51*AH46:AH51) / AD52</f>
        <v>-6442.5099571670216</v>
      </c>
      <c r="AI52" s="62"/>
      <c r="AJ52" s="62"/>
      <c r="AK52" s="62"/>
      <c r="AL52" s="62"/>
      <c r="AM52" s="62"/>
      <c r="AN52" s="62">
        <f>SUM(AN46:AN51)</f>
        <v>14.326027053009392</v>
      </c>
      <c r="AO52" s="62">
        <f>SUM(AO46:AO51)</f>
        <v>109233.7126431732</v>
      </c>
      <c r="AP52" s="4"/>
      <c r="AQ52" s="4"/>
      <c r="AR52" s="3" t="s">
        <v>2</v>
      </c>
      <c r="AS52" s="3" t="s">
        <v>3</v>
      </c>
      <c r="AT52" s="132" t="s">
        <v>585</v>
      </c>
      <c r="AU52" s="4"/>
      <c r="AV52" s="62" t="s">
        <v>19</v>
      </c>
      <c r="AW52" s="62">
        <f>SUM(AW46:AW51)</f>
        <v>1011.7674660019052</v>
      </c>
      <c r="AX52" s="62">
        <f>SUM(AX46:AX51)</f>
        <v>1</v>
      </c>
      <c r="AY52" s="62">
        <f>SUM(AY46:AY51)</f>
        <v>0.47896953999999997</v>
      </c>
      <c r="AZ52" s="62">
        <f>SUM(AZ46:AZ51)</f>
        <v>7624.8433874224093</v>
      </c>
      <c r="BA52" s="17" cm="1">
        <f t="array" ref="BA52">SUM(AW46:AW51*BA46:BA51) / AW52</f>
        <v>-6442.5099571670216</v>
      </c>
      <c r="BB52" s="62"/>
      <c r="BC52" s="62"/>
      <c r="BD52" s="62"/>
      <c r="BE52" s="62"/>
      <c r="BF52" s="62"/>
      <c r="BG52" s="62">
        <f>SUM(BG46:BG51)</f>
        <v>14.326027053009392</v>
      </c>
      <c r="BH52" s="62">
        <f>SUM(BH46:BH51)</f>
        <v>109233.7126431732</v>
      </c>
      <c r="BI52" s="4"/>
      <c r="BJ52" s="3" t="s">
        <v>2</v>
      </c>
      <c r="BK52" s="3" t="s">
        <v>3</v>
      </c>
      <c r="BL52" s="132" t="s">
        <v>585</v>
      </c>
    </row>
    <row r="53" spans="2:86" ht="18" x14ac:dyDescent="0.25">
      <c r="J53" s="4"/>
      <c r="K53" s="1" t="s">
        <v>89</v>
      </c>
      <c r="L53" s="4"/>
      <c r="M53" s="3" t="s">
        <v>91</v>
      </c>
      <c r="N53" s="3" t="s">
        <v>87</v>
      </c>
      <c r="O53" s="1" t="s">
        <v>666</v>
      </c>
      <c r="P53" s="4"/>
      <c r="Q53" s="4"/>
      <c r="R53" s="4"/>
      <c r="S53" s="4"/>
      <c r="T53" s="4"/>
      <c r="U53" s="3" t="s">
        <v>96</v>
      </c>
      <c r="V53" s="1" t="s">
        <v>93</v>
      </c>
      <c r="X53" s="4"/>
      <c r="Y53" s="1" t="s">
        <v>587</v>
      </c>
      <c r="Z53" s="1" t="s">
        <v>587</v>
      </c>
      <c r="AA53" s="1" t="s">
        <v>587</v>
      </c>
      <c r="AB53" s="4"/>
      <c r="AC53" s="4"/>
      <c r="AD53" s="1" t="s">
        <v>89</v>
      </c>
      <c r="AE53" s="4"/>
      <c r="AF53" s="3" t="s">
        <v>91</v>
      </c>
      <c r="AG53" s="3" t="s">
        <v>87</v>
      </c>
      <c r="AH53" s="1" t="s">
        <v>666</v>
      </c>
      <c r="AI53" s="4"/>
      <c r="AJ53" s="4"/>
      <c r="AK53" s="4"/>
      <c r="AL53" s="4"/>
      <c r="AM53" s="4"/>
      <c r="AN53" s="3" t="s">
        <v>96</v>
      </c>
      <c r="AO53" s="1" t="s">
        <v>93</v>
      </c>
      <c r="AP53" s="4"/>
      <c r="AQ53" s="4"/>
      <c r="AR53" s="1" t="s">
        <v>587</v>
      </c>
      <c r="AS53" s="1" t="s">
        <v>587</v>
      </c>
      <c r="AT53" s="1" t="s">
        <v>587</v>
      </c>
      <c r="AU53" s="4"/>
      <c r="AV53" s="4"/>
      <c r="AW53" s="1" t="s">
        <v>89</v>
      </c>
      <c r="AX53" s="4"/>
      <c r="AY53" s="3" t="s">
        <v>91</v>
      </c>
      <c r="AZ53" s="3" t="s">
        <v>87</v>
      </c>
      <c r="BA53" s="1" t="s">
        <v>666</v>
      </c>
      <c r="BB53" s="4"/>
      <c r="BC53" s="4"/>
      <c r="BD53" s="4"/>
      <c r="BE53" s="4"/>
      <c r="BF53" s="4"/>
      <c r="BG53" s="3" t="s">
        <v>96</v>
      </c>
      <c r="BH53" s="1" t="s">
        <v>93</v>
      </c>
      <c r="BI53" s="4"/>
      <c r="BJ53" s="1" t="s">
        <v>587</v>
      </c>
      <c r="BK53" s="1" t="s">
        <v>587</v>
      </c>
      <c r="BL53" s="1" t="s">
        <v>587</v>
      </c>
      <c r="BZ53" s="63" t="s">
        <v>1</v>
      </c>
      <c r="CA53" s="58" t="s">
        <v>0</v>
      </c>
    </row>
    <row r="54" spans="2:86" ht="18" x14ac:dyDescent="0.25">
      <c r="T54" s="4"/>
      <c r="X54" s="4" t="s">
        <v>60</v>
      </c>
      <c r="Y54" s="3" t="s">
        <v>586</v>
      </c>
      <c r="Z54" s="3" t="s">
        <v>586</v>
      </c>
      <c r="AA54" s="3" t="s">
        <v>586</v>
      </c>
      <c r="AB54" s="4"/>
      <c r="AC54" s="4"/>
      <c r="AD54" s="1"/>
      <c r="AE54" s="4"/>
      <c r="AI54" s="4"/>
      <c r="AJ54" s="4"/>
      <c r="AK54" s="4"/>
      <c r="AL54" s="4"/>
      <c r="AM54" s="4"/>
      <c r="AO54" s="1"/>
      <c r="AP54" s="4"/>
      <c r="AQ54" s="4" t="s">
        <v>60</v>
      </c>
      <c r="AR54" s="3" t="s">
        <v>586</v>
      </c>
      <c r="AS54" s="3" t="s">
        <v>586</v>
      </c>
      <c r="AT54" s="3" t="s">
        <v>586</v>
      </c>
      <c r="AU54" s="4"/>
      <c r="AV54" s="4"/>
      <c r="AW54" s="1"/>
      <c r="AX54" s="4"/>
      <c r="BB54" s="4"/>
      <c r="BC54" s="4"/>
      <c r="BD54" s="4"/>
      <c r="BE54" s="4"/>
      <c r="BF54" s="4"/>
      <c r="BH54" s="1"/>
      <c r="BI54" s="4" t="s">
        <v>60</v>
      </c>
      <c r="BJ54" s="3" t="s">
        <v>586</v>
      </c>
      <c r="BK54" s="3" t="s">
        <v>586</v>
      </c>
      <c r="BL54" s="3" t="s">
        <v>586</v>
      </c>
      <c r="BZ54" s="65" t="s">
        <v>89</v>
      </c>
      <c r="CA54" s="64" t="s">
        <v>93</v>
      </c>
    </row>
    <row r="55" spans="2:86" ht="17" thickBot="1" x14ac:dyDescent="0.25">
      <c r="T55" s="4"/>
      <c r="X55" s="3" t="s">
        <v>16</v>
      </c>
      <c r="Y55" s="83">
        <f>2*N46</f>
        <v>11034.753976812313</v>
      </c>
      <c r="Z55" s="83">
        <f>2*AG46</f>
        <v>11034.753976812313</v>
      </c>
      <c r="AA55" s="3">
        <f>Y55-Z55</f>
        <v>0</v>
      </c>
      <c r="AB55" s="4"/>
      <c r="AC55" s="4"/>
      <c r="AD55" s="1"/>
      <c r="AE55" s="4"/>
      <c r="AI55" s="4"/>
      <c r="AJ55" s="4"/>
      <c r="AK55" s="4"/>
      <c r="AL55" s="4"/>
      <c r="AM55" s="4"/>
      <c r="AO55" s="1"/>
      <c r="AP55" s="4"/>
      <c r="AQ55" s="3" t="s">
        <v>16</v>
      </c>
      <c r="AR55" s="83">
        <f>2*AG46</f>
        <v>11034.753976812313</v>
      </c>
      <c r="AS55" s="83">
        <f>2*AZ46</f>
        <v>11034.753976812313</v>
      </c>
      <c r="AT55" s="3">
        <f>AR55-AS55</f>
        <v>0</v>
      </c>
      <c r="AU55" s="4"/>
      <c r="AV55" s="4"/>
      <c r="AW55" s="1"/>
      <c r="AX55" s="4"/>
      <c r="BB55" s="4"/>
      <c r="BC55" s="4"/>
      <c r="BD55" s="4"/>
      <c r="BE55" s="4"/>
      <c r="BF55" s="4"/>
      <c r="BH55" s="1"/>
      <c r="BI55" s="3" t="s">
        <v>16</v>
      </c>
      <c r="BJ55" s="83">
        <f>2*AZ46</f>
        <v>11034.753976812313</v>
      </c>
      <c r="BK55" s="83">
        <f>2*BS46</f>
        <v>11034.753976812313</v>
      </c>
      <c r="BL55" s="3">
        <f>BJ55-BK55</f>
        <v>0</v>
      </c>
      <c r="BV55" s="3" t="s">
        <v>547</v>
      </c>
      <c r="BZ55" s="50">
        <f>BP63</f>
        <v>11.767466001905108</v>
      </c>
      <c r="CA55" s="48">
        <f>CA63</f>
        <v>21743.416787545681</v>
      </c>
    </row>
    <row r="56" spans="2:86" ht="17" thickBot="1" x14ac:dyDescent="0.25">
      <c r="T56" s="4"/>
      <c r="X56" s="4" t="s">
        <v>30</v>
      </c>
      <c r="Y56" s="286">
        <f>N47</f>
        <v>1979.5520626852608</v>
      </c>
      <c r="Z56" s="286">
        <f>AG47</f>
        <v>1979.5520626852608</v>
      </c>
      <c r="AA56" s="3">
        <f t="shared" ref="AA56:AA64" si="28">Y56-Z56</f>
        <v>0</v>
      </c>
      <c r="AB56" s="4"/>
      <c r="AC56" s="4"/>
      <c r="AD56" s="1"/>
      <c r="AE56" s="4"/>
      <c r="AI56" s="4"/>
      <c r="AJ56" s="4"/>
      <c r="AK56" s="4"/>
      <c r="AL56" s="4"/>
      <c r="AM56" s="4"/>
      <c r="AO56" s="1"/>
      <c r="AP56" s="4"/>
      <c r="AQ56" s="4" t="s">
        <v>30</v>
      </c>
      <c r="AR56" s="286">
        <f>AG47</f>
        <v>1979.5520626852608</v>
      </c>
      <c r="AS56" s="286">
        <f>AZ47</f>
        <v>1979.5520626852608</v>
      </c>
      <c r="AT56" s="3">
        <f t="shared" ref="AT56:AT61" si="29">AR56-AS56</f>
        <v>0</v>
      </c>
      <c r="AU56" s="4"/>
      <c r="AV56" s="4"/>
      <c r="AW56" s="1"/>
      <c r="AX56" s="4"/>
      <c r="BB56" s="4"/>
      <c r="BC56" s="4"/>
      <c r="BD56" s="4"/>
      <c r="BE56" s="4"/>
      <c r="BF56" s="4"/>
      <c r="BH56" s="1"/>
      <c r="BI56" s="4" t="s">
        <v>30</v>
      </c>
      <c r="BJ56" s="83">
        <f>AZ47</f>
        <v>1979.5520626852608</v>
      </c>
      <c r="BK56" s="83">
        <f>BS47</f>
        <v>1979.5520626852608</v>
      </c>
      <c r="BL56" s="3">
        <f t="shared" ref="BL56:BL61" si="30">BJ56-BK56</f>
        <v>0</v>
      </c>
    </row>
    <row r="57" spans="2:86" ht="18" x14ac:dyDescent="0.25"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63" t="s">
        <v>1</v>
      </c>
      <c r="V57" s="58" t="s">
        <v>0</v>
      </c>
      <c r="X57" s="4" t="s">
        <v>318</v>
      </c>
      <c r="Y57" s="286">
        <f>2*N48</f>
        <v>26.539522960691897</v>
      </c>
      <c r="Z57" s="286">
        <f>2*AG48</f>
        <v>26.539522960691897</v>
      </c>
      <c r="AA57" s="3">
        <f t="shared" si="28"/>
        <v>0</v>
      </c>
      <c r="AB57" s="4"/>
      <c r="AC57" s="4"/>
      <c r="AD57" s="1"/>
      <c r="AE57" s="4"/>
      <c r="AI57" s="4"/>
      <c r="AJ57" s="4"/>
      <c r="AK57" s="4"/>
      <c r="AL57" s="4"/>
      <c r="AM57" s="4"/>
      <c r="AO57" s="1"/>
      <c r="AP57" s="4"/>
      <c r="AQ57" s="4" t="s">
        <v>318</v>
      </c>
      <c r="AR57" s="286">
        <f>2*AG48</f>
        <v>26.539522960691897</v>
      </c>
      <c r="AS57" s="286">
        <f>2*AZ48</f>
        <v>26.539522960691897</v>
      </c>
      <c r="AT57" s="3">
        <f t="shared" si="29"/>
        <v>0</v>
      </c>
      <c r="AU57" s="4"/>
      <c r="AV57" s="4"/>
      <c r="AW57" s="1"/>
      <c r="AX57" s="4"/>
      <c r="BB57" s="4"/>
      <c r="BC57" s="4"/>
      <c r="BD57" s="4"/>
      <c r="BE57" s="4"/>
      <c r="BF57" s="4"/>
      <c r="BG57" s="4"/>
      <c r="BH57" s="1"/>
      <c r="BI57" s="4" t="s">
        <v>318</v>
      </c>
      <c r="BJ57" s="83">
        <f>2*AZ48</f>
        <v>26.539522960691897</v>
      </c>
      <c r="BK57" s="83">
        <f>2*BS59</f>
        <v>26.539522960691897</v>
      </c>
      <c r="BL57" s="3">
        <f t="shared" si="30"/>
        <v>0</v>
      </c>
      <c r="BO57" s="4"/>
      <c r="BP57" s="1" t="s">
        <v>558</v>
      </c>
      <c r="BQ57" s="1" t="s">
        <v>559</v>
      </c>
      <c r="BR57" s="1" t="s">
        <v>561</v>
      </c>
      <c r="BS57" s="1" t="s">
        <v>85</v>
      </c>
      <c r="BT57" s="1" t="s">
        <v>665</v>
      </c>
      <c r="BU57" s="1" t="s">
        <v>6</v>
      </c>
      <c r="BV57" s="1" t="s">
        <v>7</v>
      </c>
      <c r="BW57" s="1" t="s">
        <v>8</v>
      </c>
      <c r="BX57" s="1" t="s">
        <v>9</v>
      </c>
      <c r="BY57" s="1" t="s">
        <v>49</v>
      </c>
      <c r="BZ57" s="1" t="s">
        <v>560</v>
      </c>
      <c r="CA57" s="1" t="s">
        <v>50</v>
      </c>
      <c r="CG57" s="132"/>
      <c r="CH57" s="132"/>
    </row>
    <row r="58" spans="2:86" ht="18" customHeight="1" x14ac:dyDescent="0.25"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65" t="s">
        <v>89</v>
      </c>
      <c r="V58" s="64" t="s">
        <v>93</v>
      </c>
      <c r="X58" s="4" t="s">
        <v>311</v>
      </c>
      <c r="Y58" s="286">
        <f>2*N49</f>
        <v>196.14637665136635</v>
      </c>
      <c r="Z58" s="286">
        <f>2*AG49</f>
        <v>196.14637665136635</v>
      </c>
      <c r="AA58" s="3">
        <f t="shared" si="28"/>
        <v>0</v>
      </c>
      <c r="AB58" s="4"/>
      <c r="AC58" s="4"/>
      <c r="AD58" s="1"/>
      <c r="AE58" s="4"/>
      <c r="AI58" s="4"/>
      <c r="AJ58" s="4"/>
      <c r="AK58" s="4"/>
      <c r="AL58" s="4"/>
      <c r="AM58" s="4"/>
      <c r="AO58" s="1"/>
      <c r="AP58" s="4"/>
      <c r="AQ58" s="4" t="s">
        <v>311</v>
      </c>
      <c r="AR58" s="286">
        <f>2*AG49</f>
        <v>196.14637665136635</v>
      </c>
      <c r="AS58" s="286">
        <f>2*AZ49</f>
        <v>196.14637665136635</v>
      </c>
      <c r="AT58" s="3">
        <f t="shared" si="29"/>
        <v>0</v>
      </c>
      <c r="AU58" s="4"/>
      <c r="AV58" s="4"/>
      <c r="AW58" s="1"/>
      <c r="AX58" s="4"/>
      <c r="BB58" s="4"/>
      <c r="BC58" s="4"/>
      <c r="BD58" s="4"/>
      <c r="BE58" s="4"/>
      <c r="BF58" s="4"/>
      <c r="BG58" s="4"/>
      <c r="BH58" s="1"/>
      <c r="BI58" s="4" t="s">
        <v>311</v>
      </c>
      <c r="BJ58" s="83">
        <f>2*AZ49</f>
        <v>196.14637665136635</v>
      </c>
      <c r="BK58" s="83">
        <f>2*BS60</f>
        <v>196.14637665136635</v>
      </c>
      <c r="BL58" s="3">
        <f t="shared" si="30"/>
        <v>0</v>
      </c>
      <c r="BN58" s="251"/>
      <c r="BO58" s="4" t="s">
        <v>41</v>
      </c>
      <c r="BP58" s="1" t="s">
        <v>88</v>
      </c>
      <c r="BQ58" s="4" t="s">
        <v>283</v>
      </c>
      <c r="BR58" s="2" t="s">
        <v>90</v>
      </c>
      <c r="BS58" s="2" t="s">
        <v>86</v>
      </c>
      <c r="BT58" s="1" t="s">
        <v>650</v>
      </c>
      <c r="BU58" s="2" t="s">
        <v>95</v>
      </c>
      <c r="BV58" s="2" t="s">
        <v>25</v>
      </c>
      <c r="BW58" s="2" t="s">
        <v>98</v>
      </c>
      <c r="BX58" s="2" t="s">
        <v>95</v>
      </c>
      <c r="BY58" s="2" t="s">
        <v>95</v>
      </c>
      <c r="BZ58" s="2" t="s">
        <v>94</v>
      </c>
      <c r="CA58" s="2" t="s">
        <v>92</v>
      </c>
    </row>
    <row r="59" spans="2:86" ht="24" customHeight="1" thickBot="1" x14ac:dyDescent="0.3">
      <c r="D59" s="16" t="s">
        <v>191</v>
      </c>
      <c r="E59" s="3" t="s">
        <v>189</v>
      </c>
      <c r="F59" s="3" t="s">
        <v>196</v>
      </c>
      <c r="G59" s="3" t="s">
        <v>190</v>
      </c>
      <c r="J59" s="4"/>
      <c r="K59" s="4"/>
      <c r="L59" s="4"/>
      <c r="M59" s="4"/>
      <c r="N59" s="4"/>
      <c r="O59" s="4"/>
      <c r="P59" s="4"/>
      <c r="Q59" s="283" t="s">
        <v>576</v>
      </c>
      <c r="R59" s="4"/>
      <c r="S59" s="4"/>
      <c r="T59" s="4"/>
      <c r="U59" s="50">
        <f>L64</f>
        <v>2.0694989883749622</v>
      </c>
      <c r="V59" s="48">
        <f>V64</f>
        <v>94146.207140653787</v>
      </c>
      <c r="X59" s="4" t="s">
        <v>181</v>
      </c>
      <c r="Y59" s="286">
        <f>N50</f>
        <v>12.394871839617645</v>
      </c>
      <c r="Z59" s="286">
        <f>AG50</f>
        <v>12.394871839617645</v>
      </c>
      <c r="AA59" s="3">
        <f t="shared" si="28"/>
        <v>0</v>
      </c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 t="s">
        <v>181</v>
      </c>
      <c r="AR59" s="286">
        <f>AG50</f>
        <v>12.394871839617645</v>
      </c>
      <c r="AS59" s="286">
        <f>AZ50</f>
        <v>12.394871839617645</v>
      </c>
      <c r="AT59" s="3">
        <f t="shared" si="29"/>
        <v>0</v>
      </c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 t="s">
        <v>181</v>
      </c>
      <c r="BJ59" s="286">
        <f>AZ50</f>
        <v>12.394871839617645</v>
      </c>
      <c r="BK59" s="83">
        <f>BS61</f>
        <v>12.394871839617645</v>
      </c>
      <c r="BL59" s="3">
        <f t="shared" si="30"/>
        <v>0</v>
      </c>
      <c r="BM59" s="4"/>
      <c r="BN59" s="348" t="s">
        <v>547</v>
      </c>
      <c r="BO59" s="62" t="s">
        <v>315</v>
      </c>
      <c r="BP59" s="62">
        <f>AW48</f>
        <v>1.249958452402667</v>
      </c>
      <c r="BQ59" s="62">
        <f>BP59/$BP$63</f>
        <v>0.10622154779969652</v>
      </c>
      <c r="BR59" s="4">
        <f>MW_K2O</f>
        <v>9.4196000000000002E-2</v>
      </c>
      <c r="BS59" s="4">
        <f>BP59/BR59</f>
        <v>13.269761480345949</v>
      </c>
      <c r="BT59" s="62">
        <f>h_K2O</f>
        <v>-3024.5445666482651</v>
      </c>
      <c r="BU59" s="4">
        <f>b_ch_K2O</f>
        <v>412.83199999999999</v>
      </c>
      <c r="BV59" s="4">
        <f>BS59/$BS$63</f>
        <v>0.10373943891644018</v>
      </c>
      <c r="BW59" s="4">
        <f t="shared" ref="BW59:BW62" si="31">LN(BV59)</f>
        <v>-2.2658729186291273</v>
      </c>
      <c r="BX59" s="4">
        <f t="shared" ref="BX59:BX62" si="32">RT0*BW59</f>
        <v>-5.1457273827335621</v>
      </c>
      <c r="BY59" s="4">
        <f t="shared" ref="BY59:BY62" si="33">BX59+BU59</f>
        <v>407.68627261726641</v>
      </c>
      <c r="BZ59" s="4">
        <f>BV59*BY59</f>
        <v>42.293145175250089</v>
      </c>
      <c r="CA59" s="4">
        <f>BZ59*$BS$63</f>
        <v>5409.8995964424194</v>
      </c>
    </row>
    <row r="60" spans="2:86" ht="18" thickBot="1" x14ac:dyDescent="0.3">
      <c r="E60" s="3" t="s">
        <v>319</v>
      </c>
      <c r="F60" s="3" t="s">
        <v>320</v>
      </c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X60" s="4" t="s">
        <v>180</v>
      </c>
      <c r="Y60" s="286">
        <f>N51</f>
        <v>4.1765146853454036</v>
      </c>
      <c r="Z60" s="286">
        <f>AG51</f>
        <v>4.1765146853454036</v>
      </c>
      <c r="AA60" s="3">
        <f t="shared" si="28"/>
        <v>0</v>
      </c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 t="s">
        <v>180</v>
      </c>
      <c r="AR60" s="286">
        <f>AG51</f>
        <v>4.1765146853454036</v>
      </c>
      <c r="AS60" s="286">
        <f>AZ51</f>
        <v>4.1765146853454036</v>
      </c>
      <c r="AT60" s="3">
        <f t="shared" si="29"/>
        <v>0</v>
      </c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 t="s">
        <v>180</v>
      </c>
      <c r="BJ60" s="286">
        <f>AZ51</f>
        <v>4.1765146853454036</v>
      </c>
      <c r="BK60" s="286">
        <f>BS62</f>
        <v>4.1765146853454036</v>
      </c>
      <c r="BL60" s="3">
        <f t="shared" si="30"/>
        <v>0</v>
      </c>
      <c r="BM60" s="4"/>
      <c r="BN60" s="348"/>
      <c r="BO60" s="4" t="s">
        <v>307</v>
      </c>
      <c r="BP60" s="4">
        <f>AW49</f>
        <v>9.9996676192213361</v>
      </c>
      <c r="BQ60" s="4">
        <f>BP60/$BP$63</f>
        <v>0.84977238239757213</v>
      </c>
      <c r="BR60" s="4">
        <f>MW_Al2O3</f>
        <v>0.10196127799999999</v>
      </c>
      <c r="BS60" s="4">
        <f t="shared" ref="BS60:BS62" si="34">BP60/BR60</f>
        <v>98.073188325683176</v>
      </c>
      <c r="BT60" s="4">
        <f>h_Al2O3</f>
        <v>-16434.670424590011</v>
      </c>
      <c r="BU60" s="4">
        <f>b_ch_Al2O3</f>
        <v>31.875999999999976</v>
      </c>
      <c r="BV60" s="4">
        <f>BS60/$BS$63</f>
        <v>0.7667099024139733</v>
      </c>
      <c r="BW60" s="4">
        <f t="shared" si="31"/>
        <v>-0.26564677287010441</v>
      </c>
      <c r="BX60" s="4">
        <f t="shared" si="32"/>
        <v>-0.60327561270272534</v>
      </c>
      <c r="BY60" s="4">
        <f t="shared" si="33"/>
        <v>31.272724387297252</v>
      </c>
      <c r="BZ60" s="4">
        <f t="shared" ref="BZ60:BZ62" si="35">BV60*BY60</f>
        <v>23.977107463203758</v>
      </c>
      <c r="CA60" s="4">
        <f>BZ60*$BS$63</f>
        <v>3067.0157882925882</v>
      </c>
    </row>
    <row r="61" spans="2:86" ht="18" x14ac:dyDescent="0.25">
      <c r="B61" s="346" t="s">
        <v>489</v>
      </c>
      <c r="C61" s="346"/>
      <c r="D61" s="346"/>
      <c r="E61" s="346"/>
      <c r="F61" s="346"/>
      <c r="G61" s="346"/>
      <c r="H61" s="346"/>
      <c r="J61" s="4"/>
      <c r="K61" s="3" t="s">
        <v>564</v>
      </c>
      <c r="L61" s="1" t="s">
        <v>558</v>
      </c>
      <c r="M61" s="1" t="s">
        <v>561</v>
      </c>
      <c r="N61" s="1" t="s">
        <v>85</v>
      </c>
      <c r="O61" s="1" t="s">
        <v>665</v>
      </c>
      <c r="P61" s="1" t="s">
        <v>6</v>
      </c>
      <c r="Q61" s="1" t="s">
        <v>7</v>
      </c>
      <c r="R61" s="1" t="s">
        <v>8</v>
      </c>
      <c r="S61" s="1" t="s">
        <v>9</v>
      </c>
      <c r="T61" s="1" t="s">
        <v>49</v>
      </c>
      <c r="U61" s="1" t="s">
        <v>560</v>
      </c>
      <c r="V61" s="1" t="s">
        <v>50</v>
      </c>
      <c r="X61" s="4" t="s">
        <v>18</v>
      </c>
      <c r="Y61" s="286">
        <f>12*N63</f>
        <v>148.42688499366969</v>
      </c>
      <c r="Z61" s="286">
        <f>AG67</f>
        <v>148.42688499366969</v>
      </c>
      <c r="AA61" s="3">
        <f t="shared" si="28"/>
        <v>0</v>
      </c>
      <c r="AD61" s="4"/>
      <c r="AE61" s="4"/>
      <c r="AN61" s="63" t="s">
        <v>1</v>
      </c>
      <c r="AO61" s="58" t="s">
        <v>0</v>
      </c>
      <c r="AP61" s="4"/>
      <c r="AQ61" s="4" t="s">
        <v>29</v>
      </c>
      <c r="AR61" s="286">
        <f>(3*AG46)+(2*AG47)+AG48+(3*AG49)</f>
        <v>20818.724417046393</v>
      </c>
      <c r="AS61" s="286">
        <f>(3*AZ46)+(2*AZ47)+AZ48+(3*AZ49)</f>
        <v>20818.724417046393</v>
      </c>
      <c r="AT61" s="3">
        <f t="shared" si="29"/>
        <v>0</v>
      </c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 t="s">
        <v>29</v>
      </c>
      <c r="BJ61" s="286">
        <f>(3*AZ46)+(2*AZ47)+AZ48+(3*AZ49)</f>
        <v>20818.724417046393</v>
      </c>
      <c r="BK61" s="286">
        <f>(3*BS46)+(2*BS47)+BS59+(3*BS60)</f>
        <v>20818.724417046393</v>
      </c>
      <c r="BL61" s="3">
        <f t="shared" si="30"/>
        <v>0</v>
      </c>
      <c r="BM61" s="4"/>
      <c r="BN61" s="348"/>
      <c r="BO61" s="4" t="s">
        <v>181</v>
      </c>
      <c r="BP61" s="4">
        <f>AW50</f>
        <v>0.38391581038081912</v>
      </c>
      <c r="BQ61" s="4">
        <f>BP61/$BP$63</f>
        <v>3.2625189681335355E-2</v>
      </c>
      <c r="BR61" s="4">
        <f>MW_P</f>
        <v>3.0973762000000002E-2</v>
      </c>
      <c r="BS61" s="4">
        <f t="shared" si="34"/>
        <v>12.394871839617645</v>
      </c>
      <c r="BT61" s="4">
        <f>h_P</f>
        <v>0</v>
      </c>
      <c r="BU61" s="4">
        <f>b_ch_P</f>
        <v>873.60807999999997</v>
      </c>
      <c r="BV61" s="4">
        <f>BS61/$BS$63</f>
        <v>9.6899786178341829E-2</v>
      </c>
      <c r="BW61" s="4">
        <f t="shared" si="31"/>
        <v>-2.3340779667097102</v>
      </c>
      <c r="BX61" s="4">
        <f t="shared" si="32"/>
        <v>-5.3006189393885803</v>
      </c>
      <c r="BY61" s="4">
        <f t="shared" si="33"/>
        <v>868.30746106061144</v>
      </c>
      <c r="BZ61" s="4">
        <f t="shared" si="35"/>
        <v>84.138807313832118</v>
      </c>
      <c r="CA61" s="4">
        <f>BZ61*$BS$63</f>
        <v>10762.559697230066</v>
      </c>
    </row>
    <row r="62" spans="2:86" ht="18" x14ac:dyDescent="0.25">
      <c r="B62" s="347"/>
      <c r="C62" s="347"/>
      <c r="D62" s="347"/>
      <c r="E62" s="347"/>
      <c r="F62" s="347"/>
      <c r="G62" s="347"/>
      <c r="H62" s="347"/>
      <c r="J62" s="4" t="s">
        <v>41</v>
      </c>
      <c r="K62" s="3" t="s">
        <v>563</v>
      </c>
      <c r="L62" s="1" t="s">
        <v>88</v>
      </c>
      <c r="M62" s="1" t="s">
        <v>90</v>
      </c>
      <c r="N62" s="1" t="s">
        <v>86</v>
      </c>
      <c r="O62" s="1" t="s">
        <v>650</v>
      </c>
      <c r="P62" s="1" t="s">
        <v>651</v>
      </c>
      <c r="Q62" s="1" t="s">
        <v>25</v>
      </c>
      <c r="R62" s="1" t="s">
        <v>98</v>
      </c>
      <c r="S62" s="1" t="s">
        <v>95</v>
      </c>
      <c r="T62" s="1" t="s">
        <v>95</v>
      </c>
      <c r="U62" s="1" t="s">
        <v>94</v>
      </c>
      <c r="V62" s="1" t="s">
        <v>92</v>
      </c>
      <c r="X62" s="4" t="s">
        <v>182</v>
      </c>
      <c r="Y62" s="286">
        <f>23*N63</f>
        <v>284.48486290453354</v>
      </c>
      <c r="Z62" s="286">
        <f>2*AG68</f>
        <v>284.48486290453354</v>
      </c>
      <c r="AA62" s="3">
        <f t="shared" si="28"/>
        <v>0</v>
      </c>
      <c r="AD62" s="4"/>
      <c r="AE62" s="4"/>
      <c r="AN62" s="65" t="s">
        <v>89</v>
      </c>
      <c r="AO62" s="64" t="s">
        <v>93</v>
      </c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348"/>
      <c r="BO62" s="4" t="s">
        <v>180</v>
      </c>
      <c r="BP62" s="4">
        <f>AW51</f>
        <v>0.13392411990028574</v>
      </c>
      <c r="BQ62" s="4">
        <f>BP62/$BP$63</f>
        <v>1.1380880121396054E-2</v>
      </c>
      <c r="BR62" s="4">
        <f>MW_S</f>
        <v>3.2066000000000004E-2</v>
      </c>
      <c r="BS62" s="4">
        <f t="shared" si="34"/>
        <v>4.1765146853454036</v>
      </c>
      <c r="BT62" s="4">
        <f>h_S</f>
        <v>0</v>
      </c>
      <c r="BU62" s="4">
        <f>b_ch_S</f>
        <v>607.29999999999995</v>
      </c>
      <c r="BV62" s="4">
        <f>BS62/$BS$63</f>
        <v>3.2650872491244612E-2</v>
      </c>
      <c r="BW62" s="4">
        <f t="shared" si="31"/>
        <v>-3.4218837010671326</v>
      </c>
      <c r="BX62" s="4">
        <f t="shared" si="32"/>
        <v>-7.7709921489170943</v>
      </c>
      <c r="BY62" s="4">
        <f t="shared" si="33"/>
        <v>599.52900785108284</v>
      </c>
      <c r="BZ62" s="4">
        <f t="shared" si="35"/>
        <v>19.575145190148096</v>
      </c>
      <c r="CA62" s="4">
        <f>BZ62*$BS$63</f>
        <v>2503.9417055806075</v>
      </c>
    </row>
    <row r="63" spans="2:86" ht="18" thickBot="1" x14ac:dyDescent="0.3">
      <c r="B63" s="13" t="s">
        <v>264</v>
      </c>
      <c r="C63" s="13" t="s">
        <v>266</v>
      </c>
      <c r="D63" s="13" t="s">
        <v>235</v>
      </c>
      <c r="E63" s="13" t="s">
        <v>235</v>
      </c>
      <c r="F63" s="13" t="s">
        <v>235</v>
      </c>
      <c r="G63" s="105" t="s">
        <v>322</v>
      </c>
      <c r="H63" s="13" t="s">
        <v>316</v>
      </c>
      <c r="I63" s="282" t="s">
        <v>576</v>
      </c>
      <c r="J63" s="62" t="s">
        <v>492</v>
      </c>
      <c r="K63" s="17">
        <f>F72</f>
        <v>88160.656904773379</v>
      </c>
      <c r="L63" s="17">
        <f>K63/LHV_Diesel</f>
        <v>2.0694989883749622</v>
      </c>
      <c r="M63" s="17">
        <f>MW_C12H23</f>
        <v>0.16731462</v>
      </c>
      <c r="N63" s="17">
        <f>L63/M63</f>
        <v>12.368907082805807</v>
      </c>
      <c r="O63" s="17">
        <f>LHV_Diesel</f>
        <v>42600</v>
      </c>
      <c r="P63" s="17">
        <f>b_ch_Diesel</f>
        <v>45492.270191724252</v>
      </c>
      <c r="Q63" s="17">
        <f>N63/N64</f>
        <v>1</v>
      </c>
      <c r="R63" s="17">
        <f>LN(Q63)</f>
        <v>0</v>
      </c>
      <c r="S63" s="17">
        <f>RT0*R63</f>
        <v>0</v>
      </c>
      <c r="T63" s="17">
        <f>S63+P63</f>
        <v>45492.270191724252</v>
      </c>
      <c r="U63" s="17">
        <f>Q63*T63</f>
        <v>45492.270191724252</v>
      </c>
      <c r="V63" s="17">
        <f>U63*L63</f>
        <v>94146.207140653787</v>
      </c>
      <c r="X63" s="4" t="s">
        <v>29</v>
      </c>
      <c r="Y63" s="286">
        <f>(3*N46)+(2*N47)+N48+(3*N49)+(2*N76)</f>
        <v>21257.820618485999</v>
      </c>
      <c r="Z63" s="286">
        <f>(3*AG46)+(2*AG47)+AG48+(3*AG49)+(2*AG67)+AG68</f>
        <v>21257.820618485996</v>
      </c>
      <c r="AA63" s="3">
        <f t="shared" si="28"/>
        <v>0</v>
      </c>
      <c r="AB63" s="1"/>
      <c r="AC63" s="1"/>
      <c r="AD63" s="1"/>
      <c r="AG63" s="4"/>
      <c r="AH63" s="4"/>
      <c r="AI63" s="4"/>
      <c r="AJ63" s="3" t="s">
        <v>517</v>
      </c>
      <c r="AN63" s="50">
        <f>AD70</f>
        <v>32.219926549044033</v>
      </c>
      <c r="AO63" s="48">
        <f>AO70</f>
        <v>2418.6577581793781</v>
      </c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251"/>
      <c r="BO63" s="62" t="s">
        <v>19</v>
      </c>
      <c r="BP63" s="62">
        <f>SUM(BP57:BP62)</f>
        <v>11.767466001905108</v>
      </c>
      <c r="BQ63" s="62">
        <f>SUM(BQ57:BQ62)</f>
        <v>1</v>
      </c>
      <c r="BR63" s="62">
        <f>SUM(BR57:BR62)</f>
        <v>0.25919703999999999</v>
      </c>
      <c r="BS63" s="62">
        <f>SUM(BS57:BS62)</f>
        <v>127.91433633099219</v>
      </c>
      <c r="BT63" s="17" cm="1">
        <f t="array" ref="BT63">SUM(BP59:BP62*BT59:BT62) / BP63</f>
        <v>-14287.000845881314</v>
      </c>
      <c r="BU63" s="62"/>
      <c r="BV63" s="62"/>
      <c r="BW63" s="62"/>
      <c r="BX63" s="62"/>
      <c r="BY63" s="62"/>
      <c r="BZ63" s="62">
        <f>SUM(BZ57:BZ62)</f>
        <v>169.98420514243409</v>
      </c>
      <c r="CA63" s="62">
        <f>SUM(CA57:CA62)</f>
        <v>21743.416787545681</v>
      </c>
    </row>
    <row r="64" spans="2:86" ht="18" x14ac:dyDescent="0.25">
      <c r="B64" s="13" t="s">
        <v>98</v>
      </c>
      <c r="C64" s="13" t="s">
        <v>98</v>
      </c>
      <c r="D64" s="13" t="s">
        <v>231</v>
      </c>
      <c r="E64" s="13" t="s">
        <v>234</v>
      </c>
      <c r="F64" s="13" t="s">
        <v>48</v>
      </c>
      <c r="G64" s="34" t="s">
        <v>98</v>
      </c>
      <c r="H64" s="13" t="s">
        <v>48</v>
      </c>
      <c r="J64" s="17" t="s">
        <v>19</v>
      </c>
      <c r="K64" s="17">
        <f>SUM(K63)</f>
        <v>88160.656904773379</v>
      </c>
      <c r="L64" s="17">
        <f>SUM(L63)</f>
        <v>2.0694989883749622</v>
      </c>
      <c r="M64" s="17">
        <f>SUM(M63)</f>
        <v>0.16731462</v>
      </c>
      <c r="N64" s="17">
        <f>SUM(N63)</f>
        <v>12.368907082805807</v>
      </c>
      <c r="O64" s="17">
        <f>SUM(O63)</f>
        <v>42600</v>
      </c>
      <c r="P64" s="17"/>
      <c r="Q64" s="17"/>
      <c r="R64" s="17"/>
      <c r="S64" s="17"/>
      <c r="T64" s="17"/>
      <c r="U64" s="17">
        <f>SUM(U63)</f>
        <v>45492.270191724252</v>
      </c>
      <c r="V64" s="17">
        <f>SUM(V63)</f>
        <v>94146.207140653787</v>
      </c>
      <c r="X64" s="4" t="s">
        <v>363</v>
      </c>
      <c r="Y64" s="286">
        <f>2*N77</f>
        <v>1651.0017174129191</v>
      </c>
      <c r="Z64" s="286">
        <f>2*AG69</f>
        <v>1651.0017174129191</v>
      </c>
      <c r="AA64" s="3">
        <f t="shared" si="28"/>
        <v>0</v>
      </c>
      <c r="AC64" s="1"/>
      <c r="AD64" s="1"/>
      <c r="AE64" s="4"/>
      <c r="AF64" s="4"/>
      <c r="AG64" s="4"/>
      <c r="AH64" s="4"/>
      <c r="AI64" s="4"/>
      <c r="AJ64" s="4"/>
      <c r="AK64" s="4"/>
      <c r="AL64" s="4"/>
      <c r="AM64" s="4"/>
      <c r="AN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1" t="s">
        <v>89</v>
      </c>
      <c r="BQ64" s="4"/>
      <c r="BR64" s="3" t="s">
        <v>91</v>
      </c>
      <c r="BS64" s="3" t="s">
        <v>87</v>
      </c>
      <c r="BT64" s="1" t="s">
        <v>666</v>
      </c>
      <c r="BU64" s="4"/>
      <c r="BV64" s="4"/>
      <c r="BW64" s="4"/>
      <c r="BX64" s="4"/>
      <c r="BY64" s="4"/>
      <c r="BZ64" s="3" t="s">
        <v>96</v>
      </c>
      <c r="CA64" s="1" t="s">
        <v>93</v>
      </c>
    </row>
    <row r="65" spans="2:78" ht="18" x14ac:dyDescent="0.25">
      <c r="B65" s="13" t="s">
        <v>278</v>
      </c>
      <c r="C65" s="61" t="s">
        <v>252</v>
      </c>
      <c r="D65" s="61">
        <f>22700+23200+793+793+2420</f>
        <v>49906</v>
      </c>
      <c r="E65" s="61">
        <f t="shared" ref="E65:E71" si="36">D65*Btu_to_kJ</f>
        <v>52653.824360000006</v>
      </c>
      <c r="F65" s="61">
        <f t="shared" ref="F65:F71" si="37">E65*($AD$52/1000)</f>
        <v>53273.426448026592</v>
      </c>
      <c r="G65" s="3">
        <v>1.06</v>
      </c>
      <c r="H65" s="13">
        <f>F65*G65</f>
        <v>56469.832034908191</v>
      </c>
      <c r="K65" s="3" t="s">
        <v>48</v>
      </c>
      <c r="L65" s="1" t="s">
        <v>89</v>
      </c>
      <c r="M65" s="3" t="s">
        <v>91</v>
      </c>
      <c r="N65" s="3" t="s">
        <v>87</v>
      </c>
      <c r="O65" s="1" t="s">
        <v>666</v>
      </c>
      <c r="P65" s="4"/>
      <c r="Q65" s="4"/>
      <c r="U65" s="3" t="s">
        <v>96</v>
      </c>
      <c r="V65" s="1" t="s">
        <v>93</v>
      </c>
      <c r="X65" s="4"/>
      <c r="Y65" s="4"/>
      <c r="Z65" s="4"/>
      <c r="AA65" s="4"/>
      <c r="AC65" s="1"/>
      <c r="AD65" s="1" t="s">
        <v>558</v>
      </c>
      <c r="AE65" s="1" t="s">
        <v>559</v>
      </c>
      <c r="AF65" s="1" t="s">
        <v>561</v>
      </c>
      <c r="AG65" s="1" t="s">
        <v>85</v>
      </c>
      <c r="AH65" s="1" t="s">
        <v>665</v>
      </c>
      <c r="AI65" s="1" t="s">
        <v>6</v>
      </c>
      <c r="AJ65" s="1" t="s">
        <v>7</v>
      </c>
      <c r="AK65" s="1" t="s">
        <v>8</v>
      </c>
      <c r="AL65" s="1" t="s">
        <v>9</v>
      </c>
      <c r="AM65" s="1" t="s">
        <v>49</v>
      </c>
      <c r="AN65" s="1" t="s">
        <v>560</v>
      </c>
      <c r="AO65" s="1" t="s">
        <v>50</v>
      </c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</row>
    <row r="66" spans="2:78" ht="18" x14ac:dyDescent="0.25">
      <c r="B66" s="13" t="s">
        <v>278</v>
      </c>
      <c r="C66" s="61" t="s">
        <v>272</v>
      </c>
      <c r="D66" s="61">
        <v>19100</v>
      </c>
      <c r="E66" s="61">
        <f t="shared" si="36"/>
        <v>20151.646000000001</v>
      </c>
      <c r="F66" s="61">
        <f t="shared" si="37"/>
        <v>20388.779809187428</v>
      </c>
      <c r="G66" s="106">
        <v>1.06</v>
      </c>
      <c r="H66" s="13">
        <f t="shared" ref="H66:H71" si="38">F66*G66</f>
        <v>21612.106597738675</v>
      </c>
      <c r="L66" s="1"/>
      <c r="P66" s="4"/>
      <c r="Q66" s="4"/>
      <c r="V66" s="1"/>
      <c r="X66" s="4"/>
      <c r="Y66" s="4"/>
      <c r="Z66" s="4"/>
      <c r="AA66" s="4"/>
      <c r="AC66" s="2" t="s">
        <v>41</v>
      </c>
      <c r="AD66" s="2" t="s">
        <v>11</v>
      </c>
      <c r="AE66" s="4" t="s">
        <v>283</v>
      </c>
      <c r="AF66" s="2" t="s">
        <v>12</v>
      </c>
      <c r="AG66" s="2" t="s">
        <v>13</v>
      </c>
      <c r="AH66" s="1" t="s">
        <v>650</v>
      </c>
      <c r="AI66" s="2" t="s">
        <v>14</v>
      </c>
      <c r="AJ66" s="2" t="s">
        <v>25</v>
      </c>
      <c r="AK66" s="2" t="s">
        <v>25</v>
      </c>
      <c r="AL66" s="2" t="s">
        <v>14</v>
      </c>
      <c r="AM66" s="2" t="s">
        <v>14</v>
      </c>
      <c r="AN66" s="2" t="s">
        <v>26</v>
      </c>
      <c r="AO66" s="1" t="s">
        <v>48</v>
      </c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</row>
    <row r="67" spans="2:78" ht="17" x14ac:dyDescent="0.25">
      <c r="B67" s="13" t="s">
        <v>278</v>
      </c>
      <c r="C67" s="61" t="s">
        <v>253</v>
      </c>
      <c r="D67" s="61">
        <v>5800</v>
      </c>
      <c r="E67" s="61">
        <f t="shared" si="36"/>
        <v>6119.3480000000009</v>
      </c>
      <c r="F67" s="61">
        <f t="shared" si="37"/>
        <v>6191.3572195438273</v>
      </c>
      <c r="G67" s="106">
        <v>1.06</v>
      </c>
      <c r="H67" s="13">
        <f t="shared" si="38"/>
        <v>6562.8386527164575</v>
      </c>
      <c r="L67" s="1"/>
      <c r="P67" s="4"/>
      <c r="Q67" s="4"/>
      <c r="V67" s="1"/>
      <c r="X67" s="4"/>
      <c r="Y67" s="4"/>
      <c r="Z67" s="4"/>
      <c r="AA67" s="4"/>
      <c r="AB67" s="348" t="s">
        <v>517</v>
      </c>
      <c r="AC67" s="3" t="s">
        <v>23</v>
      </c>
      <c r="AD67" s="1">
        <f>AF67*AG67</f>
        <v>6.5322375231944045</v>
      </c>
      <c r="AE67" s="8">
        <f>AD67/AD70</f>
        <v>0.20273905693891833</v>
      </c>
      <c r="AF67" s="1">
        <f>MW_CO2</f>
        <v>4.4009800000000002E-2</v>
      </c>
      <c r="AG67" s="1">
        <f>CO2_molcoeff*N63</f>
        <v>148.42688499366969</v>
      </c>
      <c r="AH67" s="8">
        <f>h_CO2</f>
        <v>-8941.1903712354979</v>
      </c>
      <c r="AI67" s="1">
        <f>b_ch_CO2</f>
        <v>19.900000000000034</v>
      </c>
      <c r="AJ67" s="1">
        <f>AG67/AG70</f>
        <v>0.13297872340425532</v>
      </c>
      <c r="AK67" s="1">
        <f>LN(AJ67)</f>
        <v>-2.0175661379617487</v>
      </c>
      <c r="AL67" s="1">
        <f>RT0*AK67</f>
        <v>-4.5818303565174681</v>
      </c>
      <c r="AM67" s="1">
        <f>AI67+AL67</f>
        <v>15.318169643482566</v>
      </c>
      <c r="AN67" s="1">
        <f>AM67*AJ67</f>
        <v>2.0369906440801286</v>
      </c>
      <c r="AO67" s="8">
        <f>AG70*AN67</f>
        <v>2273.6282039867092</v>
      </c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</row>
    <row r="68" spans="2:78" ht="17" customHeight="1" x14ac:dyDescent="0.25">
      <c r="B68" s="13" t="s">
        <v>278</v>
      </c>
      <c r="C68" s="61" t="s">
        <v>290</v>
      </c>
      <c r="D68" s="61">
        <v>5530</v>
      </c>
      <c r="E68" s="61">
        <f t="shared" si="36"/>
        <v>5834.4818000000005</v>
      </c>
      <c r="F68" s="61">
        <f t="shared" si="37"/>
        <v>5903.1388662202344</v>
      </c>
      <c r="G68" s="106">
        <v>1.06</v>
      </c>
      <c r="H68" s="13">
        <f t="shared" si="38"/>
        <v>6257.3271981934486</v>
      </c>
      <c r="L68" s="1"/>
      <c r="P68" s="4"/>
      <c r="Q68" s="4"/>
      <c r="V68" s="1"/>
      <c r="X68" s="4"/>
      <c r="Y68" s="4"/>
      <c r="Z68" s="4"/>
      <c r="AA68" s="4"/>
      <c r="AB68" s="348"/>
      <c r="AC68" s="3" t="s">
        <v>68</v>
      </c>
      <c r="AD68" s="1">
        <f t="shared" ref="AD68:AD69" si="39">AF68*AG68</f>
        <v>2.5625372304933927</v>
      </c>
      <c r="AE68" s="1">
        <f>AD68/AD70</f>
        <v>7.9532683806488175E-2</v>
      </c>
      <c r="AF68" s="6">
        <f>MW_H2O</f>
        <v>1.8015280000000002E-2</v>
      </c>
      <c r="AG68" s="1">
        <f>H2O_molcoeff*N63</f>
        <v>142.24243145226677</v>
      </c>
      <c r="AH68" s="1">
        <f>h_H2O</f>
        <v>-13421.939597941302</v>
      </c>
      <c r="AI68" s="6">
        <f>b_ch_H2O</f>
        <v>9.5113440000000082</v>
      </c>
      <c r="AJ68" s="1">
        <f>AG68/AG70</f>
        <v>0.12743794326241134</v>
      </c>
      <c r="AK68" s="1">
        <f t="shared" ref="AK68:AK69" si="40">LN(AJ68)</f>
        <v>-2.0601257523805443</v>
      </c>
      <c r="AL68" s="1">
        <f>RT0*AK68</f>
        <v>-4.6784819257704671</v>
      </c>
      <c r="AM68" s="1">
        <f t="shared" ref="AM68:AM69" si="41">AI68+AL68</f>
        <v>4.8328620742295412</v>
      </c>
      <c r="AN68" s="1">
        <f>AM68*AJ68</f>
        <v>0.61589000281072381</v>
      </c>
      <c r="AO68" s="1">
        <f>AG70*AN68</f>
        <v>687.43805231185524</v>
      </c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</row>
    <row r="69" spans="2:78" ht="19" thickBot="1" x14ac:dyDescent="0.3">
      <c r="B69" s="13" t="s">
        <v>278</v>
      </c>
      <c r="C69" s="61" t="s">
        <v>291</v>
      </c>
      <c r="D69" s="61">
        <v>213</v>
      </c>
      <c r="E69" s="61">
        <f t="shared" si="36"/>
        <v>224.72778000000002</v>
      </c>
      <c r="F69" s="61">
        <f t="shared" si="37"/>
        <v>227.37225651083364</v>
      </c>
      <c r="G69" s="106">
        <v>1.06</v>
      </c>
      <c r="H69" s="13">
        <f t="shared" si="38"/>
        <v>241.01459190148367</v>
      </c>
      <c r="L69" s="1"/>
      <c r="P69" s="4"/>
      <c r="Q69" s="4"/>
      <c r="V69" s="1"/>
      <c r="X69" s="4"/>
      <c r="Y69" s="4"/>
      <c r="Z69" s="4"/>
      <c r="AA69" s="4"/>
      <c r="AB69" s="348"/>
      <c r="AC69" s="7" t="s">
        <v>67</v>
      </c>
      <c r="AD69" s="1">
        <f t="shared" si="39"/>
        <v>23.125151795356231</v>
      </c>
      <c r="AE69" s="1">
        <f>AD69/AD70</f>
        <v>0.71772825925459338</v>
      </c>
      <c r="AF69" s="6">
        <f>MW_N2</f>
        <v>2.801348E-2</v>
      </c>
      <c r="AG69" s="1">
        <f>N77</f>
        <v>825.50085870645955</v>
      </c>
      <c r="AH69" s="1">
        <f>h_N2</f>
        <v>0</v>
      </c>
      <c r="AI69" s="6">
        <f>MW_N2</f>
        <v>2.801348E-2</v>
      </c>
      <c r="AJ69" s="1">
        <f>AG69/AG70</f>
        <v>0.73958333333333337</v>
      </c>
      <c r="AK69" s="1">
        <f t="shared" si="40"/>
        <v>-0.30166831442652076</v>
      </c>
      <c r="AL69" s="1">
        <f>RT0*AK69</f>
        <v>-0.68507942051171278</v>
      </c>
      <c r="AM69" s="1">
        <f t="shared" si="41"/>
        <v>-0.65706594051171274</v>
      </c>
      <c r="AN69" s="1">
        <f t="shared" ref="AN69" si="42">AM69*AJ69</f>
        <v>-0.48595501850345424</v>
      </c>
      <c r="AO69" s="1">
        <f>AG70*AN69</f>
        <v>-542.40849811918633</v>
      </c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</row>
    <row r="70" spans="2:78" ht="16" x14ac:dyDescent="0.2">
      <c r="B70" s="13" t="s">
        <v>278</v>
      </c>
      <c r="C70" s="61" t="s">
        <v>292</v>
      </c>
      <c r="D70" s="61">
        <v>1200</v>
      </c>
      <c r="E70" s="61">
        <f t="shared" si="36"/>
        <v>1266.0720000000001</v>
      </c>
      <c r="F70" s="61">
        <f t="shared" si="37"/>
        <v>1280.9704592159642</v>
      </c>
      <c r="G70" s="106">
        <v>1.06</v>
      </c>
      <c r="H70" s="13">
        <f t="shared" si="38"/>
        <v>1357.8286867689221</v>
      </c>
      <c r="U70" s="63" t="s">
        <v>1</v>
      </c>
      <c r="V70" s="58" t="s">
        <v>0</v>
      </c>
      <c r="X70" s="4"/>
      <c r="Y70" s="4"/>
      <c r="Z70" s="4"/>
      <c r="AA70" s="4"/>
      <c r="AB70" s="348"/>
      <c r="AC70" s="17" t="s">
        <v>19</v>
      </c>
      <c r="AD70" s="8">
        <f>SUM(AD67:AD69)</f>
        <v>32.219926549044033</v>
      </c>
      <c r="AE70" s="8">
        <f>SUM(AE67:AE69)</f>
        <v>0.99999999999999989</v>
      </c>
      <c r="AF70" s="8">
        <f>SUM(AF67:AF69)</f>
        <v>9.0038560000000004E-2</v>
      </c>
      <c r="AG70" s="8">
        <f>SUM(AG67:AG69)</f>
        <v>1116.170175152396</v>
      </c>
      <c r="AH70" s="17" cm="1">
        <f t="array" ref="AH70">SUM(AD67:AD69*AH67:AH69) / AD70</f>
        <v>-2880.21138188847</v>
      </c>
      <c r="AI70" s="62"/>
      <c r="AJ70" s="8">
        <f>SUM(AJ67:AJ69)</f>
        <v>1</v>
      </c>
      <c r="AK70" s="17"/>
      <c r="AL70" s="17"/>
      <c r="AM70" s="17"/>
      <c r="AN70" s="8">
        <f>SUM(AN67:AN69)</f>
        <v>2.1669256283873981</v>
      </c>
      <c r="AO70" s="8">
        <f>SUM(AO67:AO69)</f>
        <v>2418.6577581793781</v>
      </c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</row>
    <row r="71" spans="2:78" ht="18" x14ac:dyDescent="0.25">
      <c r="B71" s="13" t="s">
        <v>278</v>
      </c>
      <c r="C71" s="61" t="s">
        <v>276</v>
      </c>
      <c r="D71" s="61">
        <v>839</v>
      </c>
      <c r="E71" s="61">
        <f t="shared" si="36"/>
        <v>885.1953400000001</v>
      </c>
      <c r="F71" s="61">
        <f t="shared" si="37"/>
        <v>895.61184606849497</v>
      </c>
      <c r="G71" s="106">
        <v>1.06</v>
      </c>
      <c r="H71" s="13">
        <f t="shared" si="38"/>
        <v>949.34855683260469</v>
      </c>
      <c r="U71" s="65" t="s">
        <v>89</v>
      </c>
      <c r="V71" s="64" t="s">
        <v>93</v>
      </c>
      <c r="X71" s="4"/>
      <c r="Y71" s="4"/>
      <c r="Z71" s="4"/>
      <c r="AA71" s="4"/>
      <c r="AD71" s="1" t="s">
        <v>89</v>
      </c>
      <c r="AE71" s="1"/>
      <c r="AF71" s="3" t="s">
        <v>91</v>
      </c>
      <c r="AG71" s="3" t="s">
        <v>87</v>
      </c>
      <c r="AH71" s="1" t="s">
        <v>666</v>
      </c>
      <c r="AI71" s="4"/>
      <c r="AJ71" s="4"/>
      <c r="AN71" s="3" t="s">
        <v>96</v>
      </c>
      <c r="AO71" s="1" t="s">
        <v>93</v>
      </c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</row>
    <row r="72" spans="2:78" ht="16" thickBot="1" x14ac:dyDescent="0.25">
      <c r="B72" s="13"/>
      <c r="C72" s="61" t="s">
        <v>19</v>
      </c>
      <c r="D72" s="13">
        <f>SUM(D65:D71)</f>
        <v>82588</v>
      </c>
      <c r="E72" s="13">
        <f>SUM(E65:E71)</f>
        <v>87135.295280000006</v>
      </c>
      <c r="F72" s="13">
        <f>SUM(F65:F71)</f>
        <v>88160.656904773379</v>
      </c>
      <c r="G72" s="34"/>
      <c r="H72" s="13">
        <f>SUM(H65:H71)</f>
        <v>93450.29631905978</v>
      </c>
      <c r="Q72" s="3" t="s">
        <v>528</v>
      </c>
      <c r="U72" s="50">
        <f>K78</f>
        <v>30.150427560669065</v>
      </c>
      <c r="V72" s="48">
        <f>V78</f>
        <v>236.0188688118763</v>
      </c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</row>
    <row r="73" spans="2:78" x14ac:dyDescent="0.2"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</row>
    <row r="74" spans="2:78" ht="18" x14ac:dyDescent="0.25">
      <c r="E74" s="346" t="s">
        <v>522</v>
      </c>
      <c r="F74" s="346"/>
      <c r="G74" s="346"/>
      <c r="H74" s="346"/>
      <c r="K74" s="1" t="s">
        <v>558</v>
      </c>
      <c r="L74" s="1" t="s">
        <v>559</v>
      </c>
      <c r="M74" s="1" t="s">
        <v>561</v>
      </c>
      <c r="N74" s="1" t="s">
        <v>85</v>
      </c>
      <c r="O74" s="1" t="s">
        <v>665</v>
      </c>
      <c r="P74" s="1" t="s">
        <v>6</v>
      </c>
      <c r="Q74" s="1" t="s">
        <v>7</v>
      </c>
      <c r="R74" s="1" t="s">
        <v>8</v>
      </c>
      <c r="S74" s="1" t="s">
        <v>9</v>
      </c>
      <c r="T74" s="1" t="s">
        <v>49</v>
      </c>
      <c r="U74" s="1" t="s">
        <v>560</v>
      </c>
      <c r="V74" s="1" t="s">
        <v>50</v>
      </c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</row>
    <row r="75" spans="2:78" ht="18" x14ac:dyDescent="0.25">
      <c r="E75" s="346"/>
      <c r="F75" s="346"/>
      <c r="G75" s="346"/>
      <c r="H75" s="346"/>
      <c r="J75" s="94" t="s">
        <v>41</v>
      </c>
      <c r="K75" s="3" t="s">
        <v>11</v>
      </c>
      <c r="L75" s="3" t="s">
        <v>240</v>
      </c>
      <c r="M75" s="2" t="s">
        <v>90</v>
      </c>
      <c r="N75" s="2" t="s">
        <v>86</v>
      </c>
      <c r="O75" s="1" t="s">
        <v>650</v>
      </c>
      <c r="P75" s="2" t="s">
        <v>95</v>
      </c>
      <c r="Q75" s="2" t="s">
        <v>25</v>
      </c>
      <c r="R75" s="2" t="s">
        <v>98</v>
      </c>
      <c r="S75" s="2" t="s">
        <v>95</v>
      </c>
      <c r="T75" s="2" t="s">
        <v>95</v>
      </c>
      <c r="U75" s="2" t="s">
        <v>94</v>
      </c>
      <c r="V75" s="2" t="s">
        <v>92</v>
      </c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</row>
    <row r="76" spans="2:78" ht="18" x14ac:dyDescent="0.25">
      <c r="I76" s="348" t="s">
        <v>528</v>
      </c>
      <c r="J76" s="1" t="s">
        <v>303</v>
      </c>
      <c r="K76" s="17">
        <f>M76*N76</f>
        <v>7.025275765312835</v>
      </c>
      <c r="L76" s="17">
        <f>K76/K78</f>
        <v>0.23300750051310176</v>
      </c>
      <c r="M76" s="3">
        <f>MW_O2</f>
        <v>3.1998800000000001E-2</v>
      </c>
      <c r="N76" s="3">
        <f>O2_molcoeff*N63</f>
        <v>219.54810071980307</v>
      </c>
      <c r="O76" s="17">
        <f>h_O2</f>
        <v>0</v>
      </c>
      <c r="P76" s="3">
        <f>b_ch_O2</f>
        <v>4</v>
      </c>
      <c r="Q76" s="3">
        <f>N76/N78</f>
        <v>0.21008403361344538</v>
      </c>
      <c r="R76" s="1">
        <f>LN(Q76)</f>
        <v>-1.5602476682433286</v>
      </c>
      <c r="S76" s="1">
        <f>RT0*R76</f>
        <v>-3.5432742429276503</v>
      </c>
      <c r="T76" s="1">
        <f>P76+S76</f>
        <v>0.45672575707234975</v>
      </c>
      <c r="U76" s="1">
        <f>T76*Q76</f>
        <v>9.5950789300913816E-2</v>
      </c>
      <c r="V76" s="1">
        <f>N78*U76</f>
        <v>100.27327251504856</v>
      </c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</row>
    <row r="77" spans="2:78" ht="18" x14ac:dyDescent="0.25">
      <c r="I77" s="348"/>
      <c r="J77" s="60" t="s">
        <v>67</v>
      </c>
      <c r="K77" s="3">
        <f>M77*N77</f>
        <v>23.125151795356231</v>
      </c>
      <c r="L77" s="3">
        <f>K77/K78</f>
        <v>0.76699249948689829</v>
      </c>
      <c r="M77" s="28">
        <f>MW_N2</f>
        <v>2.801348E-2</v>
      </c>
      <c r="N77" s="28">
        <f>N2_molcoeff*N76</f>
        <v>825.50085870645955</v>
      </c>
      <c r="O77" s="28">
        <f>h_N2</f>
        <v>0</v>
      </c>
      <c r="P77" s="28">
        <f>b_ch_N2</f>
        <v>0.7</v>
      </c>
      <c r="Q77" s="28">
        <f>N77/N78</f>
        <v>0.78991596638655459</v>
      </c>
      <c r="R77" s="2">
        <f>LN(Q77)</f>
        <v>-0.23582871084152554</v>
      </c>
      <c r="S77" s="2">
        <f>RT0*R77</f>
        <v>-0.53555971521393941</v>
      </c>
      <c r="T77" s="2">
        <f>P77+S77</f>
        <v>0.16444028478606054</v>
      </c>
      <c r="U77" s="2">
        <f>T77*Q77</f>
        <v>0.12989400646966126</v>
      </c>
      <c r="V77" s="2">
        <f>N78*U77</f>
        <v>135.74559629682773</v>
      </c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</row>
    <row r="78" spans="2:78" ht="16" x14ac:dyDescent="0.2">
      <c r="J78" s="3" t="s">
        <v>19</v>
      </c>
      <c r="K78" s="17">
        <f>SUM(K76:K77)</f>
        <v>30.150427560669065</v>
      </c>
      <c r="L78" s="17">
        <f>SUM(L76:L77)</f>
        <v>1</v>
      </c>
      <c r="M78" s="3">
        <f>SUM(M76:M77)</f>
        <v>6.0012280000000001E-2</v>
      </c>
      <c r="N78" s="3">
        <f>SUM(N76:N77)</f>
        <v>1045.0489594262626</v>
      </c>
      <c r="O78" s="3">
        <f>SUM(O76:O77)</f>
        <v>0</v>
      </c>
      <c r="U78" s="3">
        <f>SUM(U76:U77)</f>
        <v>0.22584479577057509</v>
      </c>
      <c r="V78" s="3">
        <f>SUM(V76:V77)</f>
        <v>236.0188688118763</v>
      </c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1"/>
      <c r="BP78" s="4"/>
      <c r="BS78" s="4"/>
      <c r="BT78" s="4"/>
      <c r="BU78" s="4"/>
      <c r="BV78" s="4"/>
      <c r="BW78" s="4"/>
      <c r="BX78" s="4"/>
      <c r="BZ78" s="1"/>
    </row>
    <row r="79" spans="2:78" ht="18" x14ac:dyDescent="0.25">
      <c r="K79" s="1" t="s">
        <v>89</v>
      </c>
      <c r="L79" s="1"/>
      <c r="M79" s="3" t="s">
        <v>91</v>
      </c>
      <c r="N79" s="3" t="s">
        <v>87</v>
      </c>
      <c r="O79" s="1" t="s">
        <v>666</v>
      </c>
      <c r="P79" s="4"/>
      <c r="Q79" s="4"/>
      <c r="U79" s="3" t="s">
        <v>96</v>
      </c>
      <c r="V79" s="1" t="s">
        <v>93</v>
      </c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W79" s="4"/>
      <c r="BX79" s="4"/>
    </row>
    <row r="80" spans="2:78" x14ac:dyDescent="0.2"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X80" s="4"/>
      <c r="BY80" s="4"/>
    </row>
    <row r="81" spans="8:105" ht="16" thickBot="1" x14ac:dyDescent="0.25">
      <c r="H81" s="98"/>
      <c r="I81" s="98"/>
      <c r="J81" s="98"/>
      <c r="K81" s="98"/>
      <c r="L81" s="98"/>
      <c r="M81" s="98"/>
      <c r="N81" s="98"/>
      <c r="O81" s="98"/>
      <c r="P81" s="98"/>
      <c r="Q81" s="98"/>
      <c r="R81" s="98"/>
      <c r="S81" s="98"/>
      <c r="T81" s="90"/>
      <c r="U81" s="90"/>
      <c r="V81" s="90"/>
      <c r="W81" s="90"/>
      <c r="X81" s="90"/>
      <c r="Y81" s="90"/>
      <c r="Z81" s="90"/>
      <c r="AA81" s="90"/>
      <c r="AB81" s="90"/>
      <c r="AC81" s="90"/>
      <c r="AD81" s="90"/>
      <c r="AE81" s="90"/>
      <c r="AF81" s="90"/>
      <c r="AG81" s="90"/>
      <c r="AH81" s="90"/>
      <c r="AI81" s="90"/>
      <c r="AJ81" s="90"/>
      <c r="AK81" s="90"/>
      <c r="AL81" s="90"/>
      <c r="AM81" s="90"/>
      <c r="AN81" s="90"/>
      <c r="AO81" s="90"/>
      <c r="AP81" s="90"/>
      <c r="AQ81" s="90"/>
      <c r="AR81" s="90"/>
      <c r="AS81" s="90"/>
      <c r="AT81" s="90"/>
      <c r="AU81" s="90"/>
      <c r="AV81" s="90"/>
      <c r="AW81" s="90"/>
      <c r="AX81" s="90"/>
      <c r="AY81" s="90"/>
      <c r="AZ81" s="90"/>
      <c r="BA81" s="90"/>
      <c r="BB81" s="90"/>
      <c r="BC81" s="90"/>
      <c r="BD81" s="90"/>
      <c r="BE81" s="90"/>
      <c r="BF81" s="90"/>
      <c r="BG81" s="90"/>
      <c r="BH81" s="90"/>
      <c r="BI81" s="90"/>
      <c r="BJ81" s="90"/>
      <c r="BK81" s="90"/>
      <c r="BL81" s="90"/>
      <c r="BM81" s="90"/>
      <c r="BN81" s="90"/>
      <c r="BO81" s="90"/>
      <c r="BP81" s="90"/>
      <c r="BQ81" s="90"/>
      <c r="BR81" s="90"/>
      <c r="BS81" s="90"/>
      <c r="BT81" s="90"/>
      <c r="BU81" s="98"/>
      <c r="BV81" s="98"/>
      <c r="BW81" s="90"/>
      <c r="BX81" s="90"/>
      <c r="BY81" s="98"/>
      <c r="BZ81" s="98"/>
      <c r="CA81" s="98"/>
      <c r="CB81" s="98"/>
      <c r="CC81" s="98"/>
      <c r="CD81" s="98"/>
      <c r="CE81" s="98"/>
      <c r="CF81" s="98"/>
      <c r="CG81" s="98"/>
      <c r="CH81" s="98"/>
      <c r="CI81" s="98"/>
      <c r="CJ81" s="98"/>
      <c r="CK81" s="98"/>
      <c r="CL81" s="98"/>
      <c r="CM81" s="98"/>
      <c r="CN81" s="98"/>
      <c r="CO81" s="98"/>
      <c r="CP81" s="98"/>
      <c r="CQ81" s="98"/>
      <c r="CR81" s="98"/>
      <c r="CS81" s="98"/>
      <c r="CT81" s="98"/>
      <c r="CU81" s="98"/>
      <c r="CV81" s="98"/>
      <c r="CW81" s="98"/>
      <c r="CX81" s="98"/>
      <c r="CY81" s="98"/>
      <c r="CZ81" s="98"/>
      <c r="DA81" s="98"/>
    </row>
    <row r="82" spans="8:105" x14ac:dyDescent="0.2"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W82" s="4"/>
      <c r="BX82" s="4"/>
    </row>
    <row r="83" spans="8:105" x14ac:dyDescent="0.2"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W83" s="4" t="s">
        <v>339</v>
      </c>
      <c r="BX83" s="4"/>
    </row>
    <row r="84" spans="8:105" x14ac:dyDescent="0.2"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W84" s="4"/>
      <c r="BX84" s="4"/>
    </row>
    <row r="85" spans="8:105" x14ac:dyDescent="0.2"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W85" s="4"/>
      <c r="BX85" s="4"/>
    </row>
    <row r="86" spans="8:105" x14ac:dyDescent="0.2"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W86" s="4"/>
      <c r="BX86" s="4"/>
    </row>
    <row r="87" spans="8:105" x14ac:dyDescent="0.2"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W87" s="4"/>
      <c r="BX87" s="4"/>
    </row>
    <row r="88" spans="8:105" x14ac:dyDescent="0.2"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W88" s="4"/>
      <c r="BX88" s="4"/>
    </row>
    <row r="89" spans="8:105" x14ac:dyDescent="0.2"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W89" s="4"/>
      <c r="BX89" s="4"/>
    </row>
    <row r="90" spans="8:105" x14ac:dyDescent="0.2"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W90" s="4"/>
      <c r="BX90" s="4"/>
    </row>
    <row r="91" spans="8:105" x14ac:dyDescent="0.2"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W91" s="4"/>
      <c r="BX91" s="4"/>
    </row>
    <row r="92" spans="8:105" x14ac:dyDescent="0.2"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W92" s="4"/>
      <c r="BX92" s="4"/>
    </row>
    <row r="93" spans="8:105" ht="19.75" customHeight="1" x14ac:dyDescent="0.2"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W93" s="4"/>
      <c r="BX93" s="4"/>
    </row>
    <row r="94" spans="8:105" x14ac:dyDescent="0.2"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W94" s="4"/>
      <c r="BX94" s="4"/>
    </row>
    <row r="95" spans="8:105" x14ac:dyDescent="0.2"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W95" s="4"/>
      <c r="BX95" s="4"/>
    </row>
    <row r="96" spans="8:105" ht="19.25" customHeight="1" x14ac:dyDescent="0.2"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W96" s="4"/>
      <c r="BX96" s="4"/>
    </row>
    <row r="97" spans="16:169" x14ac:dyDescent="0.2"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W97" s="4"/>
      <c r="BX97" s="4"/>
    </row>
    <row r="98" spans="16:169" ht="19.25" customHeight="1" thickBot="1" x14ac:dyDescent="0.25"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W98" s="4"/>
      <c r="BX98" s="4"/>
    </row>
    <row r="99" spans="16:169" x14ac:dyDescent="0.2"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W99" s="4"/>
      <c r="BX99" s="4"/>
      <c r="BZ99" s="3" t="s">
        <v>403</v>
      </c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63" t="s">
        <v>1</v>
      </c>
      <c r="EM99" s="58" t="s">
        <v>0</v>
      </c>
    </row>
    <row r="100" spans="16:169" ht="18" x14ac:dyDescent="0.25"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W100" s="4"/>
      <c r="BX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65" t="s">
        <v>89</v>
      </c>
      <c r="EM100" s="64" t="s">
        <v>93</v>
      </c>
    </row>
    <row r="101" spans="16:169" ht="19.25" customHeight="1" thickBot="1" x14ac:dyDescent="0.25"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W101" s="4"/>
      <c r="BX101" s="4"/>
      <c r="EA101" s="4"/>
      <c r="EB101" s="4"/>
      <c r="EC101" s="4"/>
      <c r="ED101" s="4"/>
      <c r="EE101" s="4"/>
      <c r="EF101" s="4"/>
      <c r="EG101" s="4"/>
      <c r="EH101" s="4" t="s">
        <v>519</v>
      </c>
      <c r="EI101" s="4"/>
      <c r="EJ101" s="4"/>
      <c r="EK101" s="4"/>
      <c r="EL101" s="50">
        <f>EC106</f>
        <v>4.8979947555174279</v>
      </c>
      <c r="EM101" s="48">
        <f>EM106</f>
        <v>206840.02835429934</v>
      </c>
    </row>
    <row r="102" spans="16:169" ht="39" x14ac:dyDescent="0.45"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190"/>
      <c r="AI102" s="190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FB102" s="1"/>
      <c r="FC102" s="1"/>
      <c r="FD102" s="1"/>
      <c r="FE102" s="1"/>
      <c r="FF102" s="1"/>
      <c r="FG102" s="1"/>
      <c r="FH102" s="1"/>
      <c r="FL102" s="63" t="s">
        <v>1</v>
      </c>
      <c r="FM102" s="58" t="s">
        <v>0</v>
      </c>
    </row>
    <row r="103" spans="16:169" ht="18" x14ac:dyDescent="0.25"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DT103" s="346" t="s">
        <v>518</v>
      </c>
      <c r="DU103" s="346"/>
      <c r="DV103" s="346"/>
      <c r="DW103" s="346"/>
      <c r="DX103" s="346"/>
      <c r="DY103" s="346"/>
      <c r="EA103" s="4"/>
      <c r="EB103" s="3" t="s">
        <v>564</v>
      </c>
      <c r="EC103" s="1" t="s">
        <v>558</v>
      </c>
      <c r="ED103" s="3" t="s">
        <v>5</v>
      </c>
      <c r="EE103" s="1" t="s">
        <v>85</v>
      </c>
      <c r="EF103" s="1" t="s">
        <v>665</v>
      </c>
      <c r="EG103" s="1" t="s">
        <v>6</v>
      </c>
      <c r="EH103" s="1" t="s">
        <v>7</v>
      </c>
      <c r="EI103" s="1" t="s">
        <v>8</v>
      </c>
      <c r="EJ103" s="1" t="s">
        <v>9</v>
      </c>
      <c r="EK103" s="1" t="s">
        <v>49</v>
      </c>
      <c r="EL103" s="1" t="s">
        <v>560</v>
      </c>
      <c r="EM103" s="1" t="s">
        <v>50</v>
      </c>
      <c r="FA103" s="1"/>
      <c r="FB103" s="1"/>
      <c r="FC103" s="1"/>
      <c r="FD103" s="1"/>
      <c r="FE103" s="1"/>
      <c r="FF103" s="1"/>
      <c r="FG103" s="1"/>
      <c r="FL103" s="65" t="s">
        <v>89</v>
      </c>
      <c r="FM103" s="64" t="s">
        <v>93</v>
      </c>
    </row>
    <row r="104" spans="16:169" ht="19" thickBot="1" x14ac:dyDescent="0.3"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16" t="s">
        <v>279</v>
      </c>
      <c r="BJ104" s="4" t="s">
        <v>284</v>
      </c>
      <c r="BK104" s="4"/>
      <c r="BL104" s="4" t="s">
        <v>285</v>
      </c>
      <c r="BM104" s="4"/>
      <c r="BN104" s="4"/>
      <c r="BO104" s="4"/>
      <c r="BP104" s="4"/>
      <c r="BQ104" s="4"/>
      <c r="BR104" s="4"/>
      <c r="BS104" s="4"/>
      <c r="DT104" s="347"/>
      <c r="DU104" s="347"/>
      <c r="DV104" s="347"/>
      <c r="DW104" s="347"/>
      <c r="DX104" s="347"/>
      <c r="DY104" s="347"/>
      <c r="EA104" s="4" t="s">
        <v>41</v>
      </c>
      <c r="EB104" s="3" t="s">
        <v>563</v>
      </c>
      <c r="EC104" s="1" t="s">
        <v>88</v>
      </c>
      <c r="ED104" s="1" t="s">
        <v>90</v>
      </c>
      <c r="EE104" s="1" t="s">
        <v>86</v>
      </c>
      <c r="EF104" s="1" t="s">
        <v>650</v>
      </c>
      <c r="EG104" s="1" t="s">
        <v>346</v>
      </c>
      <c r="EH104" s="1" t="s">
        <v>25</v>
      </c>
      <c r="EI104" s="1" t="s">
        <v>98</v>
      </c>
      <c r="EJ104" s="1" t="s">
        <v>95</v>
      </c>
      <c r="EK104" s="1" t="s">
        <v>95</v>
      </c>
      <c r="EL104" s="1" t="s">
        <v>346</v>
      </c>
      <c r="EM104" s="1" t="s">
        <v>92</v>
      </c>
      <c r="EZ104" s="1"/>
      <c r="FA104" s="1"/>
      <c r="FB104" s="1"/>
      <c r="FC104" s="1"/>
      <c r="FD104" s="1"/>
      <c r="FE104" s="1"/>
      <c r="FF104" s="1"/>
      <c r="FG104" s="3" t="s">
        <v>567</v>
      </c>
      <c r="FL104" s="50">
        <f>FB109</f>
        <v>229.94813284002646</v>
      </c>
      <c r="FM104" s="48">
        <f>FM109</f>
        <v>67875.356217847453</v>
      </c>
    </row>
    <row r="105" spans="16:169" ht="18.5" customHeight="1" x14ac:dyDescent="0.25"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DT105" s="15" t="s">
        <v>264</v>
      </c>
      <c r="DU105" s="114" t="s">
        <v>235</v>
      </c>
      <c r="DV105" s="114" t="s">
        <v>235</v>
      </c>
      <c r="DW105" s="114" t="s">
        <v>235</v>
      </c>
      <c r="DX105" s="115" t="s">
        <v>322</v>
      </c>
      <c r="DY105" s="114" t="s">
        <v>316</v>
      </c>
      <c r="DZ105" s="222" t="s">
        <v>519</v>
      </c>
      <c r="EA105" s="96" t="s">
        <v>510</v>
      </c>
      <c r="EB105" s="17">
        <f>DW107</f>
        <v>193470.79284293839</v>
      </c>
      <c r="EC105" s="17">
        <f>EB105/LHV_Oil</f>
        <v>4.8979947555174279</v>
      </c>
      <c r="ED105" s="17">
        <f>MW_Oil</f>
        <v>0.1402688</v>
      </c>
      <c r="EE105" s="17">
        <f>EC105/ED105</f>
        <v>34.918633049669118</v>
      </c>
      <c r="EF105" s="17">
        <f>LHV_Oil</f>
        <v>39500</v>
      </c>
      <c r="EG105" s="17">
        <f>b_ch_fueloil</f>
        <v>42229.532426775455</v>
      </c>
      <c r="EH105" s="17">
        <f>EE105/EE106</f>
        <v>1</v>
      </c>
      <c r="EI105" s="17">
        <f>LN(EH105)</f>
        <v>0</v>
      </c>
      <c r="EJ105" s="17">
        <f>RT0*EI105</f>
        <v>0</v>
      </c>
      <c r="EK105" s="17">
        <f>EJ105+EG105</f>
        <v>42229.532426775455</v>
      </c>
      <c r="EL105" s="17">
        <f>EH105*EK105</f>
        <v>42229.532426775455</v>
      </c>
      <c r="EM105" s="17">
        <f>EL105*EC105</f>
        <v>206840.02835429934</v>
      </c>
      <c r="EZ105" s="1"/>
      <c r="FA105" s="1"/>
      <c r="FB105" s="1"/>
      <c r="FC105" s="1"/>
      <c r="FD105" s="1"/>
      <c r="FE105" s="1"/>
      <c r="FF105" s="1"/>
    </row>
    <row r="106" spans="16:169" ht="18" customHeight="1" x14ac:dyDescent="0.25"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DT106" s="15" t="s">
        <v>98</v>
      </c>
      <c r="DU106" s="114" t="s">
        <v>230</v>
      </c>
      <c r="DV106" s="114" t="s">
        <v>329</v>
      </c>
      <c r="DW106" s="114" t="s">
        <v>48</v>
      </c>
      <c r="DX106" s="115" t="s">
        <v>98</v>
      </c>
      <c r="DY106" s="114" t="s">
        <v>48</v>
      </c>
      <c r="EA106" s="3" t="s">
        <v>19</v>
      </c>
      <c r="EB106" s="17">
        <f>SUM(EB105)</f>
        <v>193470.79284293839</v>
      </c>
      <c r="EC106" s="17">
        <f>SUM(EC105)</f>
        <v>4.8979947555174279</v>
      </c>
      <c r="ED106" s="17">
        <f>SUM(ED105)</f>
        <v>0.1402688</v>
      </c>
      <c r="EE106" s="17">
        <f>SUM(EE105)</f>
        <v>34.918633049669118</v>
      </c>
      <c r="EF106" s="17">
        <f>SUM(EF105)</f>
        <v>39500</v>
      </c>
      <c r="EG106" s="17"/>
      <c r="EH106" s="17"/>
      <c r="EI106" s="17"/>
      <c r="EJ106" s="17"/>
      <c r="EK106" s="17"/>
      <c r="EL106" s="17">
        <f>SUM(EL105)</f>
        <v>42229.532426775455</v>
      </c>
      <c r="EM106" s="17">
        <f>SUM(EM105)</f>
        <v>206840.02835429934</v>
      </c>
      <c r="FA106" s="1"/>
      <c r="FB106" s="1" t="s">
        <v>1</v>
      </c>
      <c r="FC106" s="1" t="s">
        <v>559</v>
      </c>
      <c r="FD106" s="1" t="s">
        <v>5</v>
      </c>
      <c r="FE106" s="1" t="s">
        <v>85</v>
      </c>
      <c r="FF106" s="1" t="s">
        <v>665</v>
      </c>
      <c r="FG106" s="1" t="s">
        <v>6</v>
      </c>
      <c r="FH106" s="1" t="s">
        <v>7</v>
      </c>
      <c r="FI106" s="1" t="s">
        <v>8</v>
      </c>
      <c r="FJ106" s="1" t="s">
        <v>9</v>
      </c>
      <c r="FK106" s="1" t="s">
        <v>49</v>
      </c>
      <c r="FL106" s="1" t="s">
        <v>560</v>
      </c>
      <c r="FM106" s="1" t="s">
        <v>50</v>
      </c>
    </row>
    <row r="107" spans="16:169" ht="19.25" customHeight="1" x14ac:dyDescent="0.25">
      <c r="T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16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DT107" s="15" t="s">
        <v>557</v>
      </c>
      <c r="DU107" s="114">
        <f>0.14*10^6</f>
        <v>140000</v>
      </c>
      <c r="DV107" s="15">
        <f>DU107*Btu_to_kJ</f>
        <v>147708.40000000002</v>
      </c>
      <c r="DW107" s="15">
        <f>DV107*($EL$126/1000)</f>
        <v>193470.79284293839</v>
      </c>
      <c r="DX107" s="15">
        <v>1.06</v>
      </c>
      <c r="DY107" s="269">
        <f>DW107*DX107</f>
        <v>205079.04041351471</v>
      </c>
      <c r="EB107" s="3" t="s">
        <v>48</v>
      </c>
      <c r="EC107" s="1" t="s">
        <v>89</v>
      </c>
      <c r="ED107" s="3" t="s">
        <v>91</v>
      </c>
      <c r="EE107" s="3" t="s">
        <v>87</v>
      </c>
      <c r="EF107" s="1" t="s">
        <v>666</v>
      </c>
      <c r="EG107" s="4"/>
      <c r="EH107" s="4"/>
      <c r="EL107" s="3" t="s">
        <v>96</v>
      </c>
      <c r="EM107" s="1" t="s">
        <v>93</v>
      </c>
      <c r="FA107" s="2" t="s">
        <v>41</v>
      </c>
      <c r="FB107" s="2" t="s">
        <v>11</v>
      </c>
      <c r="FC107" s="1" t="s">
        <v>562</v>
      </c>
      <c r="FD107" s="2" t="s">
        <v>12</v>
      </c>
      <c r="FE107" s="2" t="s">
        <v>13</v>
      </c>
      <c r="FF107" s="1" t="s">
        <v>650</v>
      </c>
      <c r="FG107" s="2" t="s">
        <v>14</v>
      </c>
      <c r="FH107" s="2" t="s">
        <v>25</v>
      </c>
      <c r="FI107" s="2" t="s">
        <v>25</v>
      </c>
      <c r="FJ107" s="2" t="s">
        <v>14</v>
      </c>
      <c r="FK107" s="2" t="s">
        <v>14</v>
      </c>
      <c r="FL107" s="2" t="s">
        <v>26</v>
      </c>
      <c r="FM107" s="1" t="s">
        <v>48</v>
      </c>
    </row>
    <row r="108" spans="16:169" ht="18" x14ac:dyDescent="0.25">
      <c r="T108" s="4"/>
      <c r="U108" s="4"/>
      <c r="V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EZ108" s="222" t="s">
        <v>567</v>
      </c>
      <c r="FA108" s="1" t="s">
        <v>22</v>
      </c>
      <c r="FB108" s="1">
        <f>Slag_BF_out</f>
        <v>229.94813284002646</v>
      </c>
      <c r="FC108" s="42">
        <f>FB108/FB109</f>
        <v>1</v>
      </c>
      <c r="FD108" s="6">
        <f>MW_CaSiO3</f>
        <v>0.11616169999999999</v>
      </c>
      <c r="FE108" s="6">
        <f>FB108/FD108</f>
        <v>1979.552062685261</v>
      </c>
      <c r="FF108" s="33">
        <f>h_CaSiO3</f>
        <v>-771.42466062394067</v>
      </c>
      <c r="FG108" s="7">
        <f>b_ch_CaSiO3</f>
        <v>34.288240000000087</v>
      </c>
      <c r="FH108" s="6">
        <f>FE108/FE108</f>
        <v>1</v>
      </c>
      <c r="FI108" s="1">
        <f>LN(FH108)</f>
        <v>0</v>
      </c>
      <c r="FJ108" s="1">
        <f>RT0*FI108</f>
        <v>0</v>
      </c>
      <c r="FK108" s="1">
        <f>FG108+FJ108</f>
        <v>34.288240000000087</v>
      </c>
      <c r="FL108" s="1">
        <f>FK108*FH108</f>
        <v>34.288240000000087</v>
      </c>
      <c r="FM108" s="8">
        <f>$FE$109*FL108</f>
        <v>67875.356217847453</v>
      </c>
    </row>
    <row r="109" spans="16:169" ht="16" x14ac:dyDescent="0.2">
      <c r="T109" s="16"/>
      <c r="U109" s="4"/>
      <c r="V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W109" s="4"/>
      <c r="FA109" s="8" t="s">
        <v>19</v>
      </c>
      <c r="FB109" s="27">
        <f>SUM(FB108)</f>
        <v>229.94813284002646</v>
      </c>
      <c r="FC109" s="27"/>
      <c r="FD109" s="27">
        <f>SUM(FD108)</f>
        <v>0.11616169999999999</v>
      </c>
      <c r="FE109" s="27">
        <f>SUM(FE108)</f>
        <v>1979.552062685261</v>
      </c>
      <c r="FF109" s="8">
        <f t="shared" ref="FF109" si="43">SUM(FF108:FF108)</f>
        <v>-771.42466062394067</v>
      </c>
      <c r="FG109" s="27">
        <f>SUM(FG108)</f>
        <v>34.288240000000087</v>
      </c>
      <c r="FH109" s="27">
        <f>SUM(FH108)</f>
        <v>1</v>
      </c>
      <c r="FI109" s="27"/>
      <c r="FJ109" s="27"/>
      <c r="FK109" s="27">
        <f>SUM(FK108)</f>
        <v>34.288240000000087</v>
      </c>
      <c r="FL109" s="27">
        <f>SUM(FL108)</f>
        <v>34.288240000000087</v>
      </c>
      <c r="FM109" s="27">
        <f>SUM(FM108)</f>
        <v>67875.356217847453</v>
      </c>
    </row>
    <row r="110" spans="16:169" ht="19.25" customHeight="1" x14ac:dyDescent="0.25">
      <c r="T110" s="4"/>
      <c r="AD110" s="6"/>
      <c r="AE110" s="6"/>
      <c r="AF110" s="113"/>
      <c r="AG110" s="113"/>
      <c r="AH110" s="113"/>
      <c r="AI110" s="113"/>
      <c r="AJ110" s="113"/>
      <c r="AK110" s="6"/>
      <c r="AL110" s="6"/>
      <c r="AM110" s="6"/>
      <c r="AN110" s="6"/>
      <c r="AO110" s="381" t="s">
        <v>438</v>
      </c>
      <c r="AP110" s="371"/>
      <c r="AQ110" s="371"/>
      <c r="AR110" s="371"/>
      <c r="AS110" s="371"/>
      <c r="AT110" s="371"/>
      <c r="AU110" s="371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371" t="s">
        <v>442</v>
      </c>
      <c r="BH110" s="371"/>
      <c r="BI110" s="371"/>
      <c r="BJ110" s="371"/>
      <c r="BK110" s="371"/>
      <c r="BL110" s="371"/>
      <c r="BM110" s="371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  <c r="CJ110" s="6"/>
      <c r="CK110" s="6"/>
      <c r="CL110" s="6"/>
      <c r="CM110" s="6"/>
      <c r="CN110" s="6"/>
      <c r="CO110" s="6"/>
      <c r="CP110" s="6"/>
      <c r="CQ110" s="6"/>
      <c r="CR110" s="6"/>
      <c r="CS110" s="6"/>
      <c r="CT110" s="6"/>
      <c r="CU110" s="4"/>
      <c r="CV110" s="4"/>
      <c r="CW110" s="4"/>
      <c r="CX110" s="4"/>
      <c r="CY110" s="4"/>
      <c r="DB110" s="4"/>
      <c r="DC110" s="4"/>
      <c r="ET110" s="16" t="s">
        <v>349</v>
      </c>
      <c r="FA110" s="1"/>
      <c r="FB110" s="1" t="s">
        <v>89</v>
      </c>
      <c r="FC110" s="1"/>
      <c r="FD110" s="3" t="s">
        <v>91</v>
      </c>
      <c r="FE110" s="3" t="s">
        <v>87</v>
      </c>
      <c r="FF110" s="1" t="s">
        <v>666</v>
      </c>
      <c r="FG110" s="4"/>
      <c r="FH110" s="4"/>
      <c r="FL110" s="3" t="s">
        <v>96</v>
      </c>
      <c r="FM110" s="1" t="s">
        <v>93</v>
      </c>
    </row>
    <row r="111" spans="16:169" ht="20" customHeight="1" thickBot="1" x14ac:dyDescent="0.25">
      <c r="P111" s="379" t="s">
        <v>364</v>
      </c>
      <c r="Q111" s="379"/>
      <c r="T111" s="4"/>
      <c r="U111" s="4"/>
      <c r="V111" s="4"/>
      <c r="AD111" s="6"/>
      <c r="AE111" s="6"/>
      <c r="AF111" s="6"/>
      <c r="AG111" s="6"/>
      <c r="AH111" s="6"/>
      <c r="AI111" s="6"/>
      <c r="AJ111" s="6"/>
      <c r="AK111" s="113"/>
      <c r="AL111" s="113"/>
      <c r="AM111" s="113"/>
      <c r="AN111" s="113"/>
      <c r="AO111" s="15" t="s">
        <v>264</v>
      </c>
      <c r="AP111" s="114" t="s">
        <v>263</v>
      </c>
      <c r="AQ111" s="114" t="s">
        <v>235</v>
      </c>
      <c r="AR111" s="114" t="s">
        <v>36</v>
      </c>
      <c r="AS111" s="114" t="s">
        <v>235</v>
      </c>
      <c r="AT111" s="115" t="s">
        <v>322</v>
      </c>
      <c r="AU111" s="114" t="s">
        <v>316</v>
      </c>
      <c r="AV111" s="6"/>
      <c r="AW111" s="6"/>
      <c r="AX111" s="6"/>
      <c r="AY111" s="6"/>
      <c r="AZ111" s="6"/>
      <c r="BA111" s="6"/>
      <c r="BB111" s="6"/>
      <c r="BC111" s="6"/>
      <c r="BD111" s="6"/>
      <c r="BE111" s="6"/>
      <c r="BF111" s="6"/>
      <c r="BG111" s="15" t="s">
        <v>264</v>
      </c>
      <c r="BH111" s="114" t="s">
        <v>263</v>
      </c>
      <c r="BI111" s="114" t="s">
        <v>235</v>
      </c>
      <c r="BJ111" s="114" t="s">
        <v>235</v>
      </c>
      <c r="BK111" s="114" t="s">
        <v>235</v>
      </c>
      <c r="BL111" s="115" t="s">
        <v>322</v>
      </c>
      <c r="BM111" s="114" t="s">
        <v>316</v>
      </c>
      <c r="BN111" s="6"/>
      <c r="BO111" s="6"/>
      <c r="BP111" s="6"/>
      <c r="BQ111" s="6"/>
      <c r="BR111" s="6"/>
      <c r="BS111" s="6"/>
      <c r="BT111" s="6"/>
      <c r="BU111" s="6"/>
      <c r="BV111" s="6"/>
      <c r="BW111" s="6"/>
      <c r="BX111" s="6"/>
      <c r="BY111" s="6"/>
      <c r="CJ111" s="6"/>
      <c r="CK111" s="6"/>
      <c r="CL111" s="6"/>
      <c r="CM111" s="6"/>
      <c r="CN111" s="6"/>
      <c r="CO111" s="6"/>
      <c r="CP111" s="6"/>
      <c r="CQ111" s="6"/>
      <c r="CR111" s="6"/>
      <c r="CS111" s="6"/>
      <c r="CT111" s="4"/>
      <c r="CU111" s="4"/>
      <c r="CV111" s="4"/>
      <c r="CW111" s="4"/>
      <c r="CZ111" s="4"/>
      <c r="DA111" s="4"/>
      <c r="EV111" s="1"/>
      <c r="EW111" s="1"/>
      <c r="EX111" s="1"/>
      <c r="EY111" s="1"/>
      <c r="EZ111" s="1"/>
    </row>
    <row r="112" spans="16:169" ht="19" customHeight="1" thickBot="1" x14ac:dyDescent="0.3">
      <c r="P112" s="380"/>
      <c r="Q112" s="380"/>
      <c r="T112" s="4"/>
      <c r="U112" s="4"/>
      <c r="V112" s="4"/>
      <c r="AD112" s="6"/>
      <c r="AE112" s="6"/>
      <c r="AF112" s="6"/>
      <c r="AG112" s="6"/>
      <c r="AH112" s="6"/>
      <c r="AI112" s="6"/>
      <c r="AJ112" s="6"/>
      <c r="AK112" s="113"/>
      <c r="AL112" s="113"/>
      <c r="AM112" s="113"/>
      <c r="AN112" s="113"/>
      <c r="AO112" s="15" t="s">
        <v>98</v>
      </c>
      <c r="AP112" s="15" t="s">
        <v>98</v>
      </c>
      <c r="AQ112" s="114" t="s">
        <v>237</v>
      </c>
      <c r="AR112" s="114" t="s">
        <v>236</v>
      </c>
      <c r="AS112" s="114" t="s">
        <v>48</v>
      </c>
      <c r="AT112" s="115" t="s">
        <v>98</v>
      </c>
      <c r="AU112" s="114" t="s">
        <v>48</v>
      </c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15" t="s">
        <v>98</v>
      </c>
      <c r="BH112" s="15" t="s">
        <v>98</v>
      </c>
      <c r="BI112" s="114" t="s">
        <v>230</v>
      </c>
      <c r="BJ112" s="114" t="s">
        <v>329</v>
      </c>
      <c r="BK112" s="114" t="s">
        <v>48</v>
      </c>
      <c r="BL112" s="115" t="s">
        <v>98</v>
      </c>
      <c r="BM112" s="114" t="s">
        <v>48</v>
      </c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/>
      <c r="CI112" s="6"/>
      <c r="CJ112" s="6"/>
      <c r="CK112" s="6"/>
      <c r="CL112" s="6"/>
      <c r="CM112" s="6"/>
      <c r="CN112" s="6"/>
      <c r="CO112" s="113"/>
      <c r="CP112" s="113"/>
      <c r="CQ112" s="113"/>
      <c r="CR112" s="113"/>
      <c r="CS112" s="113"/>
      <c r="CT112" s="113"/>
      <c r="CU112" s="6"/>
      <c r="CV112" s="118" t="s">
        <v>1</v>
      </c>
      <c r="CW112" s="119" t="s">
        <v>0</v>
      </c>
      <c r="CX112" s="198"/>
      <c r="CY112" s="4"/>
      <c r="CZ112" s="4"/>
      <c r="DA112" s="4"/>
      <c r="DD112" s="4"/>
      <c r="DE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63" t="s">
        <v>1</v>
      </c>
      <c r="EM112" s="58" t="s">
        <v>0</v>
      </c>
    </row>
    <row r="113" spans="5:176" ht="18" x14ac:dyDescent="0.25">
      <c r="P113" s="358" t="s">
        <v>344</v>
      </c>
      <c r="Q113" s="138" t="s">
        <v>317</v>
      </c>
      <c r="T113" s="4"/>
      <c r="U113" s="4"/>
      <c r="V113" s="4"/>
      <c r="AD113" s="6"/>
      <c r="AE113" s="6"/>
      <c r="AF113" s="6"/>
      <c r="AG113" s="6"/>
      <c r="AH113" s="6"/>
      <c r="AI113" s="6"/>
      <c r="AJ113" s="6"/>
      <c r="AK113" s="113"/>
      <c r="AL113" s="113"/>
      <c r="AM113" s="113"/>
      <c r="AN113" s="113"/>
      <c r="AO113" s="114" t="s">
        <v>265</v>
      </c>
      <c r="AP113" s="114" t="s">
        <v>302</v>
      </c>
      <c r="AQ113" s="114">
        <v>700</v>
      </c>
      <c r="AR113" s="114">
        <v>387</v>
      </c>
      <c r="AS113" s="15">
        <f>AR113*AQ113*(AE131/1000)</f>
        <v>2824.8856477449194</v>
      </c>
      <c r="AT113" s="15">
        <v>1</v>
      </c>
      <c r="AU113" s="15">
        <f>AS113*AT113</f>
        <v>2824.8856477449194</v>
      </c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15" t="s">
        <v>265</v>
      </c>
      <c r="BH113" s="114" t="s">
        <v>177</v>
      </c>
      <c r="BI113" s="114">
        <f>1660+995</f>
        <v>2655</v>
      </c>
      <c r="BJ113" s="15">
        <f>BI113*Btu_to_kJ</f>
        <v>2801.1843000000003</v>
      </c>
      <c r="BK113" s="15">
        <f>BJ113*($AX$131/1000)</f>
        <v>29.210134092869691</v>
      </c>
      <c r="BL113" s="15">
        <v>1</v>
      </c>
      <c r="BM113" s="15">
        <f>BK113*BL113</f>
        <v>29.210134092869691</v>
      </c>
      <c r="BN113" s="6"/>
      <c r="BO113" s="6"/>
      <c r="BP113" s="6"/>
      <c r="BQ113" s="6"/>
      <c r="BR113" s="6"/>
      <c r="BS113" s="6"/>
      <c r="BT113" s="6"/>
      <c r="BU113" s="6"/>
      <c r="BV113" s="6"/>
      <c r="BW113" s="6"/>
      <c r="BX113" s="6"/>
      <c r="CI113" s="6"/>
      <c r="CJ113" s="6"/>
      <c r="CK113" s="6"/>
      <c r="CL113" s="6"/>
      <c r="CM113" s="6"/>
      <c r="CN113" s="6"/>
      <c r="CO113" s="6"/>
      <c r="CP113" s="6"/>
      <c r="CQ113" s="6"/>
      <c r="CR113" s="113"/>
      <c r="CS113" s="113"/>
      <c r="CT113" s="113"/>
      <c r="CU113" s="6"/>
      <c r="CV113" s="107" t="s">
        <v>324</v>
      </c>
      <c r="CW113" s="108" t="s">
        <v>325</v>
      </c>
      <c r="CX113" s="6"/>
      <c r="CY113" s="4"/>
      <c r="CZ113" s="4"/>
      <c r="DA113" s="4"/>
      <c r="DD113" s="4"/>
      <c r="DE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65" t="s">
        <v>89</v>
      </c>
      <c r="EM113" s="64" t="s">
        <v>93</v>
      </c>
    </row>
    <row r="114" spans="5:176" ht="17" thickBot="1" x14ac:dyDescent="0.25">
      <c r="P114" s="359"/>
      <c r="Q114" s="136" t="s">
        <v>48</v>
      </c>
      <c r="T114" s="4"/>
      <c r="U114" s="4"/>
      <c r="V114" s="4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6"/>
      <c r="BF114" s="6"/>
      <c r="BG114" s="15" t="s">
        <v>265</v>
      </c>
      <c r="BH114" s="114" t="s">
        <v>249</v>
      </c>
      <c r="BI114" s="114">
        <v>332</v>
      </c>
      <c r="BJ114" s="15">
        <f>BI114*Btu_to_kJ</f>
        <v>350.27992000000006</v>
      </c>
      <c r="BK114" s="15">
        <f>BJ114*($AX$131/1000)</f>
        <v>3.6526420033268314</v>
      </c>
      <c r="BL114" s="15">
        <v>1</v>
      </c>
      <c r="BM114" s="15">
        <f t="shared" ref="BM114:BM115" si="44">BK114*BL114</f>
        <v>3.6526420033268314</v>
      </c>
      <c r="BN114" s="6"/>
      <c r="BO114" s="6"/>
      <c r="BP114" s="6"/>
      <c r="BQ114" s="6"/>
      <c r="BR114" s="6"/>
      <c r="BS114" s="6"/>
      <c r="BT114" s="6"/>
      <c r="BU114" s="6"/>
      <c r="BV114" s="6"/>
      <c r="BW114" s="6"/>
      <c r="BX114" s="6"/>
      <c r="CI114" s="6"/>
      <c r="CJ114" s="6"/>
      <c r="CK114" s="6"/>
      <c r="CL114" s="6"/>
      <c r="CM114" s="6"/>
      <c r="CN114" s="6"/>
      <c r="CO114" s="6"/>
      <c r="CP114" s="6"/>
      <c r="CQ114" s="6"/>
      <c r="CR114" s="113" t="s">
        <v>535</v>
      </c>
      <c r="CS114" s="113"/>
      <c r="CT114" s="113"/>
      <c r="CU114" s="6"/>
      <c r="CV114" s="122">
        <f>CL119</f>
        <v>4.9847525450981189</v>
      </c>
      <c r="CW114" s="123">
        <f>CW119</f>
        <v>7739.2511800711582</v>
      </c>
      <c r="CX114" s="113"/>
      <c r="CY114" s="4"/>
      <c r="CZ114" s="4"/>
      <c r="DC114" s="4"/>
      <c r="DD114" s="4"/>
      <c r="EA114" s="4"/>
      <c r="EB114" s="4"/>
      <c r="EC114" s="4"/>
      <c r="ED114" s="4"/>
      <c r="EE114" s="4"/>
      <c r="EF114" s="4"/>
      <c r="EG114" s="4"/>
      <c r="EH114" s="4" t="s">
        <v>477</v>
      </c>
      <c r="EI114" s="4"/>
      <c r="EJ114" s="4"/>
      <c r="EK114" s="4"/>
      <c r="EL114" s="50">
        <f>EC119</f>
        <v>44.774669200794314</v>
      </c>
      <c r="EM114" s="48">
        <f>EM119</f>
        <v>2321518.855933811</v>
      </c>
      <c r="EP114" s="371" t="s">
        <v>444</v>
      </c>
      <c r="EQ114" s="371"/>
      <c r="ER114" s="371"/>
      <c r="ES114" s="371"/>
      <c r="ET114" s="371"/>
      <c r="EU114" s="371"/>
    </row>
    <row r="115" spans="5:176" ht="16" x14ac:dyDescent="0.2">
      <c r="P115" s="139" t="s">
        <v>341</v>
      </c>
      <c r="Q115" s="136">
        <f>(($N$130*($U$130-0)))</f>
        <v>20716.65209277975</v>
      </c>
      <c r="T115" s="4"/>
      <c r="U115" s="4"/>
      <c r="V115" s="4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6"/>
      <c r="BF115" s="6"/>
      <c r="BG115" s="15" t="s">
        <v>265</v>
      </c>
      <c r="BH115" s="114" t="s">
        <v>259</v>
      </c>
      <c r="BI115" s="114">
        <v>165</v>
      </c>
      <c r="BJ115" s="15">
        <f>BI115*Btu_to_kJ</f>
        <v>174.0849</v>
      </c>
      <c r="BK115" s="15">
        <f>BJ115*($AX$131/1000)</f>
        <v>1.8153190679184552</v>
      </c>
      <c r="BL115" s="15">
        <v>1</v>
      </c>
      <c r="BM115" s="15">
        <f t="shared" si="44"/>
        <v>1.8153190679184552</v>
      </c>
      <c r="BN115" s="6"/>
      <c r="BO115" s="6"/>
      <c r="BP115" s="6"/>
      <c r="BQ115" s="6"/>
      <c r="BR115" s="6"/>
      <c r="BS115" s="6"/>
      <c r="BT115" s="6"/>
      <c r="BU115" s="6"/>
      <c r="BV115" s="6"/>
      <c r="BW115" s="6"/>
      <c r="BX115" s="6"/>
      <c r="BY115" s="6"/>
      <c r="CI115" s="6"/>
      <c r="CJ115" s="6"/>
      <c r="CK115" s="6"/>
      <c r="CL115" s="6"/>
      <c r="CM115" s="6"/>
      <c r="CN115" s="6"/>
      <c r="CO115" s="6"/>
      <c r="CP115" s="6"/>
      <c r="CQ115" s="6"/>
      <c r="CR115" s="113"/>
      <c r="CS115" s="113"/>
      <c r="CT115" s="6"/>
      <c r="CU115" s="6"/>
      <c r="CV115" s="113"/>
      <c r="CW115" s="4"/>
      <c r="CX115" s="4"/>
      <c r="CY115" s="4"/>
      <c r="DB115" s="4"/>
      <c r="DC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P115" s="15" t="s">
        <v>264</v>
      </c>
      <c r="EQ115" s="114" t="s">
        <v>235</v>
      </c>
      <c r="ER115" s="114" t="s">
        <v>235</v>
      </c>
      <c r="ES115" s="114" t="s">
        <v>235</v>
      </c>
      <c r="ET115" s="115" t="s">
        <v>322</v>
      </c>
      <c r="EU115" s="114" t="s">
        <v>316</v>
      </c>
    </row>
    <row r="116" spans="5:176" ht="19.25" customHeight="1" thickBot="1" x14ac:dyDescent="0.3">
      <c r="N116" s="6"/>
      <c r="O116" s="6"/>
      <c r="P116" s="139" t="s">
        <v>637</v>
      </c>
      <c r="Q116" s="136">
        <f>V126</f>
        <v>25394.240916408646</v>
      </c>
      <c r="T116" s="4"/>
      <c r="U116" s="4"/>
      <c r="V116" s="4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15"/>
      <c r="BH116" s="114" t="s">
        <v>19</v>
      </c>
      <c r="BI116" s="114">
        <f>SUM(BI113:BI115)</f>
        <v>3152</v>
      </c>
      <c r="BJ116" s="114">
        <f>SUM(BJ113:BJ115)</f>
        <v>3325.5491200000001</v>
      </c>
      <c r="BK116" s="114">
        <f>SUM(BK113:BK115)</f>
        <v>34.678095164114971</v>
      </c>
      <c r="BL116" s="114"/>
      <c r="BM116" s="114">
        <f>SUM(BM113:BM115)</f>
        <v>34.678095164114971</v>
      </c>
      <c r="BN116" s="6"/>
      <c r="BO116" s="6"/>
      <c r="BP116" s="6"/>
      <c r="BQ116" s="6"/>
      <c r="BR116" s="6"/>
      <c r="BS116" s="6"/>
      <c r="BT116" s="6"/>
      <c r="BU116" s="6"/>
      <c r="BV116" s="6"/>
      <c r="BW116" s="6"/>
      <c r="BX116" s="6"/>
      <c r="BY116" s="6"/>
      <c r="CI116" s="6"/>
      <c r="CJ116" s="6"/>
      <c r="CK116" s="4"/>
      <c r="CL116" s="1" t="s">
        <v>558</v>
      </c>
      <c r="CM116" s="1" t="s">
        <v>559</v>
      </c>
      <c r="CN116" s="1" t="s">
        <v>561</v>
      </c>
      <c r="CO116" s="1" t="s">
        <v>85</v>
      </c>
      <c r="CP116" s="1" t="s">
        <v>665</v>
      </c>
      <c r="CQ116" s="1" t="s">
        <v>6</v>
      </c>
      <c r="CR116" s="1" t="s">
        <v>7</v>
      </c>
      <c r="CS116" s="1" t="s">
        <v>8</v>
      </c>
      <c r="CT116" s="1" t="s">
        <v>9</v>
      </c>
      <c r="CU116" s="1" t="s">
        <v>49</v>
      </c>
      <c r="CV116" s="1" t="s">
        <v>560</v>
      </c>
      <c r="CW116" s="1" t="s">
        <v>50</v>
      </c>
      <c r="CX116" s="6"/>
      <c r="CY116" s="4"/>
      <c r="DB116" s="4"/>
      <c r="DC116" s="4"/>
      <c r="DT116" s="346" t="s">
        <v>476</v>
      </c>
      <c r="DU116" s="346"/>
      <c r="DV116" s="346"/>
      <c r="DW116" s="346"/>
      <c r="DX116" s="346"/>
      <c r="DY116" s="346"/>
      <c r="EA116" s="4"/>
      <c r="EB116" s="3" t="s">
        <v>564</v>
      </c>
      <c r="EC116" s="1" t="s">
        <v>558</v>
      </c>
      <c r="ED116" s="3" t="s">
        <v>5</v>
      </c>
      <c r="EE116" s="1" t="s">
        <v>85</v>
      </c>
      <c r="EF116" s="1" t="s">
        <v>665</v>
      </c>
      <c r="EG116" s="1" t="s">
        <v>6</v>
      </c>
      <c r="EH116" s="1" t="s">
        <v>7</v>
      </c>
      <c r="EI116" s="1" t="s">
        <v>8</v>
      </c>
      <c r="EJ116" s="1" t="s">
        <v>9</v>
      </c>
      <c r="EK116" s="1" t="s">
        <v>49</v>
      </c>
      <c r="EL116" s="1" t="s">
        <v>560</v>
      </c>
      <c r="EM116" s="1" t="s">
        <v>50</v>
      </c>
      <c r="EP116" s="15" t="s">
        <v>98</v>
      </c>
      <c r="EQ116" s="114" t="s">
        <v>230</v>
      </c>
      <c r="ER116" s="114" t="s">
        <v>329</v>
      </c>
      <c r="ES116" s="114" t="s">
        <v>48</v>
      </c>
      <c r="ET116" s="115" t="s">
        <v>98</v>
      </c>
      <c r="EU116" s="114" t="s">
        <v>48</v>
      </c>
    </row>
    <row r="117" spans="5:176" ht="19" thickBot="1" x14ac:dyDescent="0.3">
      <c r="N117" s="6"/>
      <c r="O117" s="6"/>
      <c r="P117" s="140" t="s">
        <v>343</v>
      </c>
      <c r="Q117" s="137">
        <f>V130</f>
        <v>22010.978428607345</v>
      </c>
      <c r="T117" s="4"/>
      <c r="U117" s="4"/>
      <c r="V117" s="4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BV117" s="6"/>
      <c r="BW117" s="6"/>
      <c r="BX117" s="6"/>
      <c r="BY117" s="6"/>
      <c r="CI117" s="6"/>
      <c r="CJ117" s="6"/>
      <c r="CK117" s="4" t="s">
        <v>41</v>
      </c>
      <c r="CL117" s="1" t="s">
        <v>88</v>
      </c>
      <c r="CM117" s="4" t="s">
        <v>283</v>
      </c>
      <c r="CN117" s="2" t="s">
        <v>90</v>
      </c>
      <c r="CO117" s="2" t="s">
        <v>86</v>
      </c>
      <c r="CP117" s="1" t="s">
        <v>650</v>
      </c>
      <c r="CQ117" s="2" t="s">
        <v>95</v>
      </c>
      <c r="CR117" s="2" t="s">
        <v>25</v>
      </c>
      <c r="CS117" s="2" t="s">
        <v>98</v>
      </c>
      <c r="CT117" s="2" t="s">
        <v>95</v>
      </c>
      <c r="CU117" s="2" t="s">
        <v>95</v>
      </c>
      <c r="CV117" s="2" t="s">
        <v>94</v>
      </c>
      <c r="CW117" s="2" t="s">
        <v>92</v>
      </c>
      <c r="CX117" s="6"/>
      <c r="CY117" s="4"/>
      <c r="CZ117" s="4"/>
      <c r="DA117" s="4"/>
      <c r="DD117" s="4"/>
      <c r="DE117" s="4"/>
      <c r="DT117" s="347"/>
      <c r="DU117" s="347"/>
      <c r="DV117" s="347"/>
      <c r="DW117" s="347"/>
      <c r="DX117" s="347"/>
      <c r="DY117" s="347"/>
      <c r="EA117" s="4" t="s">
        <v>41</v>
      </c>
      <c r="EB117" s="3" t="s">
        <v>563</v>
      </c>
      <c r="EC117" s="1" t="s">
        <v>88</v>
      </c>
      <c r="ED117" s="1" t="s">
        <v>90</v>
      </c>
      <c r="EE117" s="1" t="s">
        <v>86</v>
      </c>
      <c r="EF117" s="1" t="s">
        <v>650</v>
      </c>
      <c r="EG117" s="1" t="s">
        <v>95</v>
      </c>
      <c r="EH117" s="1" t="s">
        <v>25</v>
      </c>
      <c r="EI117" s="1" t="s">
        <v>98</v>
      </c>
      <c r="EJ117" s="1" t="s">
        <v>95</v>
      </c>
      <c r="EK117" s="1" t="s">
        <v>95</v>
      </c>
      <c r="EL117" s="1" t="s">
        <v>94</v>
      </c>
      <c r="EM117" s="1" t="s">
        <v>92</v>
      </c>
      <c r="EP117" s="15" t="s">
        <v>265</v>
      </c>
      <c r="EQ117" s="114">
        <f>0.23*10^6</f>
        <v>230000</v>
      </c>
      <c r="ER117" s="15">
        <f>EQ117*Btu_to_kJ</f>
        <v>242663.80000000002</v>
      </c>
      <c r="ES117" s="15">
        <f>ER117*($EL$126/1000)</f>
        <v>317844.87395625591</v>
      </c>
      <c r="ET117" s="268">
        <v>1</v>
      </c>
      <c r="EU117" s="270">
        <f t="shared" ref="EU117" si="45">ES117*ET117</f>
        <v>317844.87395625591</v>
      </c>
    </row>
    <row r="118" spans="5:176" ht="17" x14ac:dyDescent="0.25">
      <c r="T118" s="4"/>
      <c r="U118" s="4"/>
      <c r="V118" s="4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Q118" s="6"/>
      <c r="BR118" s="6"/>
      <c r="BS118" s="6"/>
      <c r="BV118" s="1"/>
      <c r="BW118" s="1"/>
      <c r="BX118" s="1"/>
      <c r="CI118" s="6"/>
      <c r="CJ118" s="255" t="s">
        <v>535</v>
      </c>
      <c r="CK118" s="112" t="s">
        <v>179</v>
      </c>
      <c r="CL118" s="33">
        <f>MgO_out</f>
        <v>4.9847525450981189</v>
      </c>
      <c r="CM118" s="33">
        <v>1</v>
      </c>
      <c r="CN118" s="33">
        <f>MW_MgO</f>
        <v>4.0304400000000004E-2</v>
      </c>
      <c r="CO118" s="33">
        <f>CL118/CN118</f>
        <v>123.67762688684408</v>
      </c>
      <c r="CP118" s="33">
        <f>h_MgO</f>
        <v>-14926.410019749705</v>
      </c>
      <c r="CQ118" s="33">
        <f>b_ch_MgO</f>
        <v>62.576000000000022</v>
      </c>
      <c r="CR118" s="125">
        <f>CO118/CO119</f>
        <v>1</v>
      </c>
      <c r="CS118" s="125">
        <f>LN(CR118)</f>
        <v>0</v>
      </c>
      <c r="CT118" s="125">
        <f>RT0*CS118</f>
        <v>0</v>
      </c>
      <c r="CU118" s="33">
        <f>CT118+CQ118</f>
        <v>62.576000000000022</v>
      </c>
      <c r="CV118" s="33">
        <f>CU118*CR118</f>
        <v>62.576000000000022</v>
      </c>
      <c r="CW118" s="125">
        <f>CV118*CO119</f>
        <v>7739.2511800711582</v>
      </c>
      <c r="CX118" s="113"/>
      <c r="CY118" s="4"/>
      <c r="CZ118" s="4"/>
      <c r="DA118" s="4"/>
      <c r="DB118" s="4"/>
      <c r="DE118" s="4"/>
      <c r="DF118" s="4"/>
      <c r="DT118" s="15" t="s">
        <v>264</v>
      </c>
      <c r="DU118" s="114" t="s">
        <v>235</v>
      </c>
      <c r="DV118" s="114" t="s">
        <v>235</v>
      </c>
      <c r="DW118" s="114" t="s">
        <v>235</v>
      </c>
      <c r="DX118" s="115" t="s">
        <v>322</v>
      </c>
      <c r="DY118" s="114" t="s">
        <v>316</v>
      </c>
      <c r="DZ118" s="222" t="s">
        <v>477</v>
      </c>
      <c r="EA118" s="95" t="s">
        <v>65</v>
      </c>
      <c r="EB118" s="17">
        <f>DW120</f>
        <v>2238733.4600397157</v>
      </c>
      <c r="EC118" s="17">
        <f>EB118/LHV_CH4</f>
        <v>44.774669200794314</v>
      </c>
      <c r="ED118" s="17">
        <f>MW_CH4</f>
        <v>1.604276E-2</v>
      </c>
      <c r="EE118" s="17">
        <f>EC118/ED118</f>
        <v>2790.9579898218458</v>
      </c>
      <c r="EF118" s="33">
        <f>h_CH4</f>
        <v>1.604276E-2</v>
      </c>
      <c r="EG118" s="17">
        <f>b_ch_CH4</f>
        <v>831.8</v>
      </c>
      <c r="EH118" s="17">
        <f>EE118/EE119</f>
        <v>1</v>
      </c>
      <c r="EI118" s="17">
        <f>LN(EH118)</f>
        <v>0</v>
      </c>
      <c r="EJ118" s="17">
        <f>RT0*EI118</f>
        <v>0</v>
      </c>
      <c r="EK118" s="17">
        <f>EJ118+EG118</f>
        <v>831.8</v>
      </c>
      <c r="EL118" s="17">
        <f>EH118*EK118</f>
        <v>831.8</v>
      </c>
      <c r="EM118" s="17">
        <f>EL118*EE119</f>
        <v>2321518.855933811</v>
      </c>
    </row>
    <row r="119" spans="5:176" ht="18" x14ac:dyDescent="0.25">
      <c r="T119" s="4"/>
      <c r="U119" s="4"/>
      <c r="V119" s="4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113"/>
      <c r="BF119" s="113"/>
      <c r="BG119" s="113"/>
      <c r="BH119" s="113"/>
      <c r="BI119" s="113"/>
      <c r="BJ119" s="113"/>
      <c r="BK119" s="113"/>
      <c r="BL119" s="113"/>
      <c r="BM119" s="6"/>
      <c r="BN119" s="6"/>
      <c r="BO119" s="6"/>
      <c r="BP119" s="6"/>
      <c r="BQ119" s="6"/>
      <c r="BR119" s="6"/>
      <c r="BS119" s="6"/>
      <c r="BV119" s="1"/>
      <c r="BW119" s="1"/>
      <c r="BX119" s="1"/>
      <c r="BY119" s="4"/>
      <c r="CI119" s="6"/>
      <c r="CJ119" s="113"/>
      <c r="CK119" s="6" t="s">
        <v>19</v>
      </c>
      <c r="CL119" s="6">
        <f>SUM(CL118)</f>
        <v>4.9847525450981189</v>
      </c>
      <c r="CM119" s="6"/>
      <c r="CN119" s="6">
        <f>SUM(CN118)</f>
        <v>4.0304400000000004E-2</v>
      </c>
      <c r="CO119" s="6">
        <f>SUM(CO118)</f>
        <v>123.67762688684408</v>
      </c>
      <c r="CP119" s="6">
        <f>SUM(CP118)</f>
        <v>-14926.410019749705</v>
      </c>
      <c r="CQ119" s="6"/>
      <c r="CR119" s="6"/>
      <c r="CS119" s="113"/>
      <c r="CT119" s="113"/>
      <c r="CU119" s="6"/>
      <c r="CV119" s="6">
        <f>SUM(CV118)</f>
        <v>62.576000000000022</v>
      </c>
      <c r="CW119" s="6">
        <f>SUM(CW118)</f>
        <v>7739.2511800711582</v>
      </c>
      <c r="CX119" s="6"/>
      <c r="CY119" s="4"/>
      <c r="CZ119" s="4"/>
      <c r="DA119" s="4"/>
      <c r="DB119" s="4"/>
      <c r="DE119" s="4"/>
      <c r="DF119" s="4"/>
      <c r="DT119" s="15" t="s">
        <v>98</v>
      </c>
      <c r="DU119" s="114" t="s">
        <v>230</v>
      </c>
      <c r="DV119" s="114" t="s">
        <v>329</v>
      </c>
      <c r="DW119" s="114" t="s">
        <v>48</v>
      </c>
      <c r="DX119" s="115" t="s">
        <v>98</v>
      </c>
      <c r="DY119" s="114" t="s">
        <v>48</v>
      </c>
      <c r="EA119" s="17" t="s">
        <v>19</v>
      </c>
      <c r="EB119" s="17">
        <f>SUM(EB118)</f>
        <v>2238733.4600397157</v>
      </c>
      <c r="EC119" s="17">
        <f>SUM(EC118)</f>
        <v>44.774669200794314</v>
      </c>
      <c r="ED119" s="17">
        <f>SUM(ED118)</f>
        <v>1.604276E-2</v>
      </c>
      <c r="EE119" s="17">
        <f>SUM(EE118)</f>
        <v>2790.9579898218458</v>
      </c>
      <c r="EF119" s="6">
        <f>SUM(EF118)</f>
        <v>1.604276E-2</v>
      </c>
      <c r="EG119" s="17"/>
      <c r="EH119" s="17"/>
      <c r="EI119" s="17"/>
      <c r="EJ119" s="17"/>
      <c r="EK119" s="17"/>
      <c r="EL119" s="17">
        <f>SUM(EL118)</f>
        <v>831.8</v>
      </c>
      <c r="EM119" s="17">
        <f>SUM(EM118)</f>
        <v>2321518.855933811</v>
      </c>
    </row>
    <row r="120" spans="5:176" ht="18" x14ac:dyDescent="0.25">
      <c r="T120" s="4"/>
      <c r="U120" s="4"/>
      <c r="V120" s="4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6"/>
      <c r="BT120" s="6"/>
      <c r="BU120" s="6"/>
      <c r="BV120" s="6"/>
      <c r="BW120" s="4"/>
      <c r="BX120" s="6"/>
      <c r="BY120" s="6"/>
      <c r="CI120" s="6"/>
      <c r="CJ120" s="6"/>
      <c r="CK120" s="6"/>
      <c r="CL120" s="6" t="s">
        <v>324</v>
      </c>
      <c r="CM120" s="6"/>
      <c r="CN120" s="113" t="s">
        <v>331</v>
      </c>
      <c r="CO120" s="113" t="s">
        <v>332</v>
      </c>
      <c r="CP120" s="1" t="s">
        <v>666</v>
      </c>
      <c r="CQ120" s="6"/>
      <c r="CR120" s="6"/>
      <c r="CS120" s="113"/>
      <c r="CT120" s="113"/>
      <c r="CU120" s="113"/>
      <c r="CV120" s="113" t="s">
        <v>333</v>
      </c>
      <c r="CW120" s="6" t="s">
        <v>325</v>
      </c>
      <c r="CX120" s="6"/>
      <c r="CY120" s="4"/>
      <c r="CZ120" s="4"/>
      <c r="DA120" s="4"/>
      <c r="DB120" s="4"/>
      <c r="DE120" s="4"/>
      <c r="DF120" s="4"/>
      <c r="DT120" s="15" t="s">
        <v>288</v>
      </c>
      <c r="DU120" s="114">
        <f>1.62*10^6</f>
        <v>1620000</v>
      </c>
      <c r="DV120" s="15">
        <f>DU120*Btu_to_kJ</f>
        <v>1709197.2000000002</v>
      </c>
      <c r="DW120" s="15">
        <f>DV120*($EL$126/1000)</f>
        <v>2238733.4600397157</v>
      </c>
      <c r="DX120" s="15">
        <v>1.04</v>
      </c>
      <c r="DY120" s="15">
        <f>DW120*DX120</f>
        <v>2328282.7984413044</v>
      </c>
      <c r="EB120" s="3" t="s">
        <v>48</v>
      </c>
      <c r="EC120" s="1" t="s">
        <v>89</v>
      </c>
      <c r="ED120" s="3" t="s">
        <v>91</v>
      </c>
      <c r="EE120" s="3" t="s">
        <v>87</v>
      </c>
      <c r="EF120" s="1" t="s">
        <v>666</v>
      </c>
      <c r="EG120" s="4"/>
      <c r="EH120" s="4"/>
      <c r="EL120" s="3" t="s">
        <v>96</v>
      </c>
      <c r="EM120" s="1" t="s">
        <v>93</v>
      </c>
    </row>
    <row r="121" spans="5:176" ht="19.25" customHeight="1" x14ac:dyDescent="0.2">
      <c r="T121" s="4"/>
      <c r="U121" s="4"/>
      <c r="V121" s="4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  <c r="CL121" s="6"/>
      <c r="CM121" s="6"/>
      <c r="CN121" s="6"/>
      <c r="CO121" s="6"/>
      <c r="CP121" s="6"/>
      <c r="CQ121" s="6"/>
      <c r="CR121" s="6"/>
      <c r="CS121" s="6"/>
      <c r="CT121" s="6"/>
      <c r="CU121" s="4"/>
      <c r="CV121" s="4"/>
      <c r="CW121" s="4"/>
      <c r="CX121" s="4"/>
      <c r="CY121" s="4"/>
      <c r="DB121" s="4"/>
      <c r="DC121" s="4"/>
    </row>
    <row r="122" spans="5:176" ht="17" thickBot="1" x14ac:dyDescent="0.25">
      <c r="T122" s="4"/>
      <c r="U122" s="4"/>
      <c r="V122" s="4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E122" s="6"/>
      <c r="CF122" s="6"/>
      <c r="CG122" s="6"/>
      <c r="CH122" s="6"/>
      <c r="CJ122" s="6"/>
      <c r="CK122" s="6"/>
      <c r="CL122" s="6"/>
      <c r="CM122" s="6"/>
      <c r="CN122" s="6"/>
      <c r="CO122" s="6"/>
      <c r="CP122" s="6"/>
      <c r="CQ122" s="6"/>
      <c r="CR122" s="6"/>
      <c r="CS122" s="6"/>
      <c r="CT122" s="6"/>
      <c r="CU122" s="4"/>
      <c r="CV122" s="4"/>
      <c r="CW122" s="4"/>
      <c r="CX122" s="4"/>
      <c r="CY122" s="4"/>
      <c r="DB122" s="4"/>
      <c r="DC122" s="4"/>
    </row>
    <row r="123" spans="5:176" ht="17" thickBot="1" x14ac:dyDescent="0.25">
      <c r="U123" s="4"/>
      <c r="V123" s="4"/>
      <c r="W123" s="113"/>
      <c r="X123" s="6"/>
      <c r="Y123" s="113"/>
      <c r="Z123" s="113"/>
      <c r="AA123" s="113"/>
      <c r="AB123" s="113"/>
      <c r="AC123" s="113"/>
      <c r="AD123" s="6"/>
      <c r="AE123" s="6"/>
      <c r="AF123" s="6"/>
      <c r="AG123" s="6"/>
      <c r="AH123" s="6"/>
      <c r="AI123" s="6"/>
      <c r="AJ123" s="116" t="s">
        <v>321</v>
      </c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6"/>
      <c r="CB123" s="6"/>
      <c r="CC123" s="6"/>
      <c r="CD123" s="6"/>
      <c r="CE123" s="110" t="s">
        <v>340</v>
      </c>
      <c r="CF123" s="6"/>
      <c r="CG123" s="6"/>
      <c r="CH123" s="6"/>
      <c r="CI123" s="6"/>
      <c r="CJ123" s="6"/>
      <c r="CK123" s="6"/>
      <c r="CL123" s="6"/>
      <c r="CM123" s="6"/>
      <c r="CN123" s="6"/>
      <c r="CO123" s="6"/>
      <c r="CP123" s="6"/>
      <c r="CQ123" s="6"/>
      <c r="CR123" s="6"/>
      <c r="CS123" s="6"/>
      <c r="CT123" s="6"/>
      <c r="CU123" s="6"/>
      <c r="CV123" s="6"/>
      <c r="CW123" s="6"/>
      <c r="CX123" s="4"/>
      <c r="CY123" s="4"/>
      <c r="CZ123" s="4"/>
      <c r="DA123" s="4"/>
      <c r="DB123" s="4"/>
      <c r="DE123" s="4"/>
      <c r="DF123" s="4"/>
      <c r="EY123" s="1"/>
      <c r="EZ123" s="1"/>
      <c r="FA123" s="1"/>
      <c r="FB123" s="1"/>
      <c r="FC123" s="1"/>
      <c r="FD123" s="1"/>
      <c r="FE123" s="1"/>
      <c r="FF123" s="1"/>
      <c r="FG123" s="1"/>
    </row>
    <row r="124" spans="5:176" ht="16" x14ac:dyDescent="0.2">
      <c r="J124" s="11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118" t="s">
        <v>1</v>
      </c>
      <c r="V124" s="119" t="s">
        <v>0</v>
      </c>
      <c r="W124" s="6"/>
      <c r="X124" s="3" t="s">
        <v>267</v>
      </c>
      <c r="Y124" s="4"/>
      <c r="Z124" s="6"/>
      <c r="AA124" s="6"/>
      <c r="AB124" s="6"/>
      <c r="AC124" s="6"/>
      <c r="AD124" s="11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118" t="s">
        <v>1</v>
      </c>
      <c r="AP124" s="119" t="s">
        <v>0</v>
      </c>
      <c r="AQ124" s="6"/>
      <c r="AR124" s="6"/>
      <c r="AS124" s="6"/>
      <c r="AT124" s="6"/>
      <c r="AU124" s="6"/>
      <c r="AV124" s="6"/>
      <c r="AW124" s="116"/>
      <c r="AX124" s="6"/>
      <c r="AY124" s="6"/>
      <c r="AZ124" s="6"/>
      <c r="BA124" s="6"/>
      <c r="BB124" s="6"/>
      <c r="BC124" s="6"/>
      <c r="BD124" s="6"/>
      <c r="BE124" s="6"/>
      <c r="BF124" s="6"/>
      <c r="BG124" s="6"/>
      <c r="BH124" s="118" t="s">
        <v>1</v>
      </c>
      <c r="BI124" s="119" t="s">
        <v>0</v>
      </c>
      <c r="BJ124" s="6"/>
      <c r="BK124" s="6"/>
      <c r="BL124" s="6"/>
      <c r="BM124" s="6"/>
      <c r="BN124" s="6"/>
      <c r="BO124" s="6"/>
      <c r="BP124" s="116"/>
      <c r="BQ124" s="6"/>
      <c r="BR124" s="6"/>
      <c r="BS124" s="6"/>
      <c r="BT124" s="6"/>
      <c r="BU124" s="6"/>
      <c r="BV124" s="6"/>
      <c r="BW124" s="6"/>
      <c r="BX124" s="6"/>
      <c r="BY124" s="6"/>
      <c r="BZ124" s="6"/>
      <c r="CA124" s="118" t="s">
        <v>1</v>
      </c>
      <c r="CB124" s="119" t="s">
        <v>0</v>
      </c>
      <c r="CC124" s="113"/>
      <c r="CD124" s="113"/>
      <c r="CE124" s="133" t="s">
        <v>63</v>
      </c>
      <c r="CF124" s="113"/>
      <c r="CG124" s="113"/>
      <c r="CH124" s="113"/>
      <c r="CI124" s="113"/>
      <c r="CJ124" s="113"/>
      <c r="CK124" s="6"/>
      <c r="CL124" s="6"/>
      <c r="CM124" s="6"/>
      <c r="CN124" s="6"/>
      <c r="CO124" s="6"/>
      <c r="CP124" s="6"/>
      <c r="CQ124" s="6"/>
      <c r="CR124" s="6"/>
      <c r="CS124" s="113"/>
      <c r="CT124" s="113"/>
      <c r="CU124" s="6"/>
      <c r="CV124" s="118" t="s">
        <v>1</v>
      </c>
      <c r="CW124" s="119" t="s">
        <v>0</v>
      </c>
      <c r="EL124" s="63" t="s">
        <v>1</v>
      </c>
      <c r="EM124" s="58" t="s">
        <v>0</v>
      </c>
      <c r="EY124" s="1"/>
      <c r="EZ124" s="1"/>
      <c r="FA124" s="1"/>
      <c r="FB124" s="1"/>
      <c r="FC124" s="1"/>
      <c r="FL124" s="63" t="s">
        <v>1</v>
      </c>
      <c r="FM124" s="58" t="s">
        <v>0</v>
      </c>
    </row>
    <row r="125" spans="5:176" ht="19" thickBot="1" x14ac:dyDescent="0.3">
      <c r="J125" s="6"/>
      <c r="K125" s="120"/>
      <c r="L125" s="6"/>
      <c r="M125" s="6"/>
      <c r="N125" s="6"/>
      <c r="O125" s="6"/>
      <c r="P125" s="6"/>
      <c r="Q125" s="6"/>
      <c r="R125" s="6"/>
      <c r="S125" s="6"/>
      <c r="T125" s="6"/>
      <c r="U125" s="107" t="s">
        <v>324</v>
      </c>
      <c r="V125" s="108" t="s">
        <v>325</v>
      </c>
      <c r="W125" s="6"/>
      <c r="X125" s="16" t="s">
        <v>268</v>
      </c>
      <c r="Y125" s="4" t="s">
        <v>269</v>
      </c>
      <c r="Z125" s="6"/>
      <c r="AA125" s="6"/>
      <c r="AB125" s="6"/>
      <c r="AC125" s="6"/>
      <c r="AD125" s="6"/>
      <c r="AE125" s="120"/>
      <c r="AF125" s="6"/>
      <c r="AG125" s="6"/>
      <c r="AH125" s="6"/>
      <c r="AI125" s="6"/>
      <c r="AJ125" s="6"/>
      <c r="AK125" s="6"/>
      <c r="AL125" s="6"/>
      <c r="AM125" s="6"/>
      <c r="AN125" s="6"/>
      <c r="AO125" s="107" t="s">
        <v>324</v>
      </c>
      <c r="AP125" s="108" t="s">
        <v>325</v>
      </c>
      <c r="AQ125" s="6"/>
      <c r="AR125" s="6"/>
      <c r="AS125" s="6"/>
      <c r="AT125" s="6"/>
      <c r="AU125" s="6"/>
      <c r="AV125" s="6"/>
      <c r="AW125" s="6"/>
      <c r="AX125" s="120"/>
      <c r="AY125" s="6"/>
      <c r="AZ125" s="6"/>
      <c r="BA125" s="6"/>
      <c r="BB125" s="6"/>
      <c r="BC125" s="6"/>
      <c r="BD125" s="6"/>
      <c r="BE125" s="6"/>
      <c r="BF125" s="6"/>
      <c r="BG125" s="6"/>
      <c r="BH125" s="107" t="s">
        <v>324</v>
      </c>
      <c r="BI125" s="108" t="s">
        <v>325</v>
      </c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6"/>
      <c r="BX125" s="6"/>
      <c r="BY125" s="6"/>
      <c r="BZ125" s="6"/>
      <c r="CA125" s="107" t="s">
        <v>324</v>
      </c>
      <c r="CB125" s="108" t="s">
        <v>325</v>
      </c>
      <c r="CC125" s="113"/>
      <c r="CD125" s="113"/>
      <c r="CE125" s="134">
        <v>1173.1500000000001</v>
      </c>
      <c r="CF125" s="113"/>
      <c r="CG125" s="113"/>
      <c r="CH125" s="113"/>
      <c r="CI125" s="113"/>
      <c r="CJ125" s="113"/>
      <c r="CK125" s="6"/>
      <c r="CL125" s="6"/>
      <c r="CM125" s="6"/>
      <c r="CN125" s="6"/>
      <c r="CO125" s="6"/>
      <c r="CP125" s="6"/>
      <c r="CQ125" s="6"/>
      <c r="CR125" s="6" t="s">
        <v>533</v>
      </c>
      <c r="CS125" s="113"/>
      <c r="CT125" s="113"/>
      <c r="CU125" s="6"/>
      <c r="CV125" s="107" t="s">
        <v>324</v>
      </c>
      <c r="CW125" s="108" t="s">
        <v>325</v>
      </c>
      <c r="EL125" s="65" t="s">
        <v>89</v>
      </c>
      <c r="EM125" s="64" t="s">
        <v>93</v>
      </c>
      <c r="EY125" s="1"/>
      <c r="EZ125" s="1"/>
      <c r="FA125" s="1"/>
      <c r="FB125" s="1"/>
      <c r="FC125" s="1"/>
      <c r="FL125" s="65" t="s">
        <v>89</v>
      </c>
      <c r="FM125" s="64" t="s">
        <v>93</v>
      </c>
    </row>
    <row r="126" spans="5:176" ht="16.25" customHeight="1" thickBot="1" x14ac:dyDescent="0.25">
      <c r="E126" s="357" t="s">
        <v>521</v>
      </c>
      <c r="F126" s="357"/>
      <c r="G126" s="357"/>
      <c r="H126" s="357"/>
      <c r="J126" s="6"/>
      <c r="K126" s="121"/>
      <c r="L126" s="6"/>
      <c r="M126" s="6"/>
      <c r="N126" s="6"/>
      <c r="O126" s="6"/>
      <c r="P126" s="6"/>
      <c r="Q126" s="6" t="s">
        <v>425</v>
      </c>
      <c r="R126" s="6"/>
      <c r="S126" s="6"/>
      <c r="T126" s="6"/>
      <c r="U126" s="122">
        <f>K132</f>
        <v>208.55560337725498</v>
      </c>
      <c r="V126" s="123">
        <f>V132</f>
        <v>25394.240916408646</v>
      </c>
      <c r="W126" s="372" t="s">
        <v>416</v>
      </c>
      <c r="X126" s="372"/>
      <c r="Y126" s="372"/>
      <c r="Z126" s="372"/>
      <c r="AA126" s="372"/>
      <c r="AB126" s="6"/>
      <c r="AC126" s="6"/>
      <c r="AD126" s="6"/>
      <c r="AE126" s="121"/>
      <c r="AF126" s="6"/>
      <c r="AG126" s="6"/>
      <c r="AH126" s="6"/>
      <c r="AI126" s="6"/>
      <c r="AJ126" s="6"/>
      <c r="AK126" s="6" t="s">
        <v>520</v>
      </c>
      <c r="AL126" s="6"/>
      <c r="AM126" s="6"/>
      <c r="AN126" s="6"/>
      <c r="AO126" s="122">
        <f>AE132</f>
        <v>208.55560337725498</v>
      </c>
      <c r="AP126" s="123">
        <f>AP132</f>
        <v>25394.240916408646</v>
      </c>
      <c r="AQ126" s="372" t="s">
        <v>544</v>
      </c>
      <c r="AR126" s="372"/>
      <c r="AS126" s="372"/>
      <c r="AT126" s="372"/>
      <c r="AU126" s="372"/>
      <c r="AV126" s="6"/>
      <c r="AW126" s="6"/>
      <c r="AX126" s="121"/>
      <c r="AY126" s="6"/>
      <c r="AZ126" s="6"/>
      <c r="BA126" s="6"/>
      <c r="BB126" s="6"/>
      <c r="BC126" s="6"/>
      <c r="BD126" s="6" t="s">
        <v>545</v>
      </c>
      <c r="BE126" s="6"/>
      <c r="BF126" s="6"/>
      <c r="BG126" s="6"/>
      <c r="BH126" s="122">
        <f>AX132</f>
        <v>208.55560337725498</v>
      </c>
      <c r="BI126" s="123">
        <f>BI132</f>
        <v>25394.240916408646</v>
      </c>
      <c r="BJ126" s="372" t="s">
        <v>440</v>
      </c>
      <c r="BK126" s="372"/>
      <c r="BL126" s="372"/>
      <c r="BM126" s="372"/>
      <c r="BN126" s="372"/>
      <c r="BO126" s="6"/>
      <c r="BP126" s="6"/>
      <c r="BQ126" s="121"/>
      <c r="BR126" s="6"/>
      <c r="BS126" s="6"/>
      <c r="BT126" s="6"/>
      <c r="BU126" s="6"/>
      <c r="BV126" s="6"/>
      <c r="BW126" s="6" t="s">
        <v>485</v>
      </c>
      <c r="BX126" s="6"/>
      <c r="BY126" s="6"/>
      <c r="BZ126" s="6"/>
      <c r="CA126" s="122">
        <f>BQ132</f>
        <v>208.55560337725498</v>
      </c>
      <c r="CB126" s="123">
        <f>CB132</f>
        <v>25394.240916408646</v>
      </c>
      <c r="CC126" s="372" t="s">
        <v>441</v>
      </c>
      <c r="CD126" s="372"/>
      <c r="CE126" s="372"/>
      <c r="CF126" s="372"/>
      <c r="CG126" s="372"/>
      <c r="CH126" s="6"/>
      <c r="CI126" s="6"/>
      <c r="CJ126" s="113"/>
      <c r="CK126" s="6"/>
      <c r="CL126" s="6"/>
      <c r="CM126" s="6"/>
      <c r="CN126" s="6"/>
      <c r="CO126" s="6"/>
      <c r="CP126" s="6"/>
      <c r="CQ126" s="6"/>
      <c r="CR126" s="6"/>
      <c r="CS126" s="113"/>
      <c r="CT126" s="113"/>
      <c r="CU126" s="6"/>
      <c r="CV126" s="122">
        <f>CL131</f>
        <v>111.00813284002646</v>
      </c>
      <c r="CW126" s="123">
        <f>CW131</f>
        <v>242016.07607977447</v>
      </c>
      <c r="DS126" s="376" t="s">
        <v>81</v>
      </c>
      <c r="DT126" s="376"/>
      <c r="DU126" s="376"/>
      <c r="DV126" s="376"/>
      <c r="DW126" s="376"/>
      <c r="DX126" s="376"/>
      <c r="DY126" s="376"/>
      <c r="EG126" s="3" t="s">
        <v>554</v>
      </c>
      <c r="EL126" s="173">
        <f>EB134</f>
        <v>1309.8157778632656</v>
      </c>
      <c r="EM126" s="174">
        <f>EM134</f>
        <v>7072531.8830895294</v>
      </c>
      <c r="EN126" s="345" t="s">
        <v>427</v>
      </c>
      <c r="EO126" s="345"/>
      <c r="EP126" s="345"/>
      <c r="EQ126" s="345"/>
      <c r="ER126" s="345"/>
      <c r="ES126" s="345"/>
      <c r="ET126" s="345"/>
      <c r="EY126" s="1"/>
      <c r="EZ126" s="1"/>
      <c r="FA126" s="1"/>
      <c r="FB126" s="1"/>
      <c r="FC126" s="1"/>
      <c r="FD126" s="1"/>
      <c r="FE126" s="3" t="s">
        <v>555</v>
      </c>
      <c r="FL126" s="50">
        <f>FB131</f>
        <v>616.23583583508366</v>
      </c>
      <c r="FM126" s="48">
        <f>FM131</f>
        <v>4157895.2984628798</v>
      </c>
      <c r="FN126" s="345" t="s">
        <v>421</v>
      </c>
      <c r="FO126" s="345"/>
      <c r="FP126" s="345"/>
      <c r="FQ126" s="345"/>
      <c r="FR126" s="345"/>
      <c r="FS126" s="345"/>
      <c r="FT126" s="345"/>
    </row>
    <row r="127" spans="5:176" ht="16.25" customHeight="1" thickBot="1" x14ac:dyDescent="0.25">
      <c r="E127" s="357"/>
      <c r="F127" s="357"/>
      <c r="G127" s="357"/>
      <c r="H127" s="357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373"/>
      <c r="X127" s="373"/>
      <c r="Y127" s="373"/>
      <c r="Z127" s="373"/>
      <c r="AA127" s="373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372"/>
      <c r="AR127" s="372"/>
      <c r="AS127" s="372"/>
      <c r="AT127" s="372"/>
      <c r="AU127" s="372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6"/>
      <c r="BH127" s="6"/>
      <c r="BI127" s="6"/>
      <c r="BJ127" s="372"/>
      <c r="BK127" s="372"/>
      <c r="BL127" s="372"/>
      <c r="BM127" s="372"/>
      <c r="BN127" s="372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6"/>
      <c r="BZ127" s="6"/>
      <c r="CA127" s="6"/>
      <c r="CB127" s="6"/>
      <c r="CC127" s="372"/>
      <c r="CD127" s="372"/>
      <c r="CE127" s="372"/>
      <c r="CF127" s="372"/>
      <c r="CG127" s="372"/>
      <c r="CH127" s="113"/>
      <c r="CI127" s="113"/>
      <c r="CJ127" s="113"/>
      <c r="CK127" s="6"/>
      <c r="CL127" s="6"/>
      <c r="CM127" s="6"/>
      <c r="CN127" s="6"/>
      <c r="CO127" s="6"/>
      <c r="CP127" s="6"/>
      <c r="CQ127" s="6"/>
      <c r="CR127" s="6"/>
      <c r="CS127" s="113"/>
      <c r="CT127" s="113"/>
      <c r="CU127" s="6"/>
      <c r="CV127" s="6"/>
      <c r="CW127" s="113"/>
      <c r="DS127" s="376"/>
      <c r="DT127" s="376"/>
      <c r="DU127" s="376"/>
      <c r="DV127" s="376"/>
      <c r="DW127" s="376"/>
      <c r="DX127" s="376"/>
      <c r="DY127" s="376"/>
      <c r="EN127" s="345"/>
      <c r="EO127" s="345"/>
      <c r="EP127" s="345"/>
      <c r="EQ127" s="345"/>
      <c r="ER127" s="345"/>
      <c r="ES127" s="345"/>
      <c r="ET127" s="345"/>
      <c r="EY127" s="1"/>
      <c r="EZ127" s="1"/>
      <c r="FA127" s="1"/>
      <c r="FB127" s="1"/>
      <c r="FC127" s="1"/>
      <c r="FD127" s="1"/>
      <c r="FE127" s="1"/>
      <c r="FF127" s="1"/>
      <c r="FG127" s="1"/>
      <c r="FN127" s="345"/>
      <c r="FO127" s="345"/>
      <c r="FP127" s="345"/>
      <c r="FQ127" s="345"/>
      <c r="FR127" s="345"/>
      <c r="FS127" s="345"/>
      <c r="FT127" s="345"/>
    </row>
    <row r="128" spans="5:176" ht="19.75" customHeight="1" thickBot="1" x14ac:dyDescent="0.3">
      <c r="J128" s="4"/>
      <c r="K128" s="1" t="s">
        <v>558</v>
      </c>
      <c r="L128" s="1" t="s">
        <v>559</v>
      </c>
      <c r="M128" s="1" t="s">
        <v>561</v>
      </c>
      <c r="N128" s="1" t="s">
        <v>85</v>
      </c>
      <c r="O128" s="1" t="s">
        <v>665</v>
      </c>
      <c r="P128" s="1" t="s">
        <v>6</v>
      </c>
      <c r="Q128" s="1" t="s">
        <v>7</v>
      </c>
      <c r="R128" s="1" t="s">
        <v>8</v>
      </c>
      <c r="S128" s="1" t="s">
        <v>9</v>
      </c>
      <c r="T128" s="1" t="s">
        <v>49</v>
      </c>
      <c r="U128" s="1" t="s">
        <v>560</v>
      </c>
      <c r="V128" s="1" t="s">
        <v>50</v>
      </c>
      <c r="W128" s="22" t="s">
        <v>431</v>
      </c>
      <c r="X128" s="100" t="s">
        <v>479</v>
      </c>
      <c r="Y128" s="135" t="s">
        <v>348</v>
      </c>
      <c r="Z128" s="358" t="s">
        <v>344</v>
      </c>
      <c r="AA128" s="138" t="s">
        <v>317</v>
      </c>
      <c r="AB128" s="1"/>
      <c r="AC128" s="6"/>
      <c r="AD128" s="4"/>
      <c r="AE128" s="1" t="s">
        <v>558</v>
      </c>
      <c r="AF128" s="1" t="s">
        <v>559</v>
      </c>
      <c r="AG128" s="1" t="s">
        <v>561</v>
      </c>
      <c r="AH128" s="1" t="s">
        <v>85</v>
      </c>
      <c r="AI128" s="1" t="s">
        <v>665</v>
      </c>
      <c r="AJ128" s="1" t="s">
        <v>6</v>
      </c>
      <c r="AK128" s="1" t="s">
        <v>7</v>
      </c>
      <c r="AL128" s="1" t="s">
        <v>8</v>
      </c>
      <c r="AM128" s="1" t="s">
        <v>9</v>
      </c>
      <c r="AN128" s="1" t="s">
        <v>49</v>
      </c>
      <c r="AO128" s="1" t="s">
        <v>560</v>
      </c>
      <c r="AP128" s="1" t="s">
        <v>50</v>
      </c>
      <c r="AQ128" s="22" t="s">
        <v>431</v>
      </c>
      <c r="AR128" s="100" t="s">
        <v>479</v>
      </c>
      <c r="AS128" s="135" t="s">
        <v>348</v>
      </c>
      <c r="AT128" s="358" t="s">
        <v>344</v>
      </c>
      <c r="AU128" s="138" t="s">
        <v>317</v>
      </c>
      <c r="AV128" s="1"/>
      <c r="AW128" s="4"/>
      <c r="AX128" s="1" t="s">
        <v>558</v>
      </c>
      <c r="AY128" s="1" t="s">
        <v>559</v>
      </c>
      <c r="AZ128" s="1" t="s">
        <v>561</v>
      </c>
      <c r="BA128" s="1" t="s">
        <v>85</v>
      </c>
      <c r="BB128" s="1" t="s">
        <v>665</v>
      </c>
      <c r="BC128" s="1" t="s">
        <v>6</v>
      </c>
      <c r="BD128" s="1" t="s">
        <v>7</v>
      </c>
      <c r="BE128" s="1" t="s">
        <v>8</v>
      </c>
      <c r="BF128" s="1" t="s">
        <v>9</v>
      </c>
      <c r="BG128" s="1" t="s">
        <v>49</v>
      </c>
      <c r="BH128" s="1" t="s">
        <v>560</v>
      </c>
      <c r="BI128" s="1" t="s">
        <v>50</v>
      </c>
      <c r="BJ128" s="22" t="s">
        <v>431</v>
      </c>
      <c r="BK128" s="100" t="s">
        <v>479</v>
      </c>
      <c r="BL128" s="135" t="s">
        <v>348</v>
      </c>
      <c r="BM128" s="358" t="s">
        <v>344</v>
      </c>
      <c r="BN128" s="138" t="s">
        <v>317</v>
      </c>
      <c r="BO128" s="1"/>
      <c r="BP128" s="4"/>
      <c r="BQ128" s="1" t="s">
        <v>558</v>
      </c>
      <c r="BR128" s="1" t="s">
        <v>559</v>
      </c>
      <c r="BS128" s="1" t="s">
        <v>561</v>
      </c>
      <c r="BT128" s="1" t="s">
        <v>85</v>
      </c>
      <c r="BU128" s="1" t="s">
        <v>665</v>
      </c>
      <c r="BV128" s="1" t="s">
        <v>6</v>
      </c>
      <c r="BW128" s="1" t="s">
        <v>7</v>
      </c>
      <c r="BX128" s="1" t="s">
        <v>8</v>
      </c>
      <c r="BY128" s="1" t="s">
        <v>9</v>
      </c>
      <c r="BZ128" s="1" t="s">
        <v>49</v>
      </c>
      <c r="CA128" s="1" t="s">
        <v>560</v>
      </c>
      <c r="CB128" s="1" t="s">
        <v>50</v>
      </c>
      <c r="CC128" s="22" t="s">
        <v>431</v>
      </c>
      <c r="CD128" s="100" t="s">
        <v>479</v>
      </c>
      <c r="CE128" s="135" t="s">
        <v>348</v>
      </c>
      <c r="CF128" s="358" t="s">
        <v>344</v>
      </c>
      <c r="CG128" s="138" t="s">
        <v>317</v>
      </c>
      <c r="CH128" s="113"/>
      <c r="CI128" s="113"/>
      <c r="CJ128" s="113"/>
      <c r="CK128" s="4"/>
      <c r="CL128" s="1" t="s">
        <v>558</v>
      </c>
      <c r="CM128" s="1" t="s">
        <v>559</v>
      </c>
      <c r="CN128" s="1" t="s">
        <v>561</v>
      </c>
      <c r="CO128" s="1" t="s">
        <v>85</v>
      </c>
      <c r="CP128" s="1" t="s">
        <v>665</v>
      </c>
      <c r="CQ128" s="1" t="s">
        <v>6</v>
      </c>
      <c r="CR128" s="1" t="s">
        <v>7</v>
      </c>
      <c r="CS128" s="1" t="s">
        <v>8</v>
      </c>
      <c r="CT128" s="1" t="s">
        <v>9</v>
      </c>
      <c r="CU128" s="1" t="s">
        <v>49</v>
      </c>
      <c r="CV128" s="1" t="s">
        <v>560</v>
      </c>
      <c r="CW128" s="1" t="s">
        <v>50</v>
      </c>
      <c r="DS128" s="376"/>
      <c r="DT128" s="376"/>
      <c r="DU128" s="376"/>
      <c r="DV128" s="376"/>
      <c r="DW128" s="376"/>
      <c r="DX128" s="376"/>
      <c r="DY128" s="376"/>
      <c r="EA128" s="4"/>
      <c r="EB128" s="1" t="s">
        <v>558</v>
      </c>
      <c r="EC128" s="1" t="s">
        <v>559</v>
      </c>
      <c r="ED128" s="1" t="s">
        <v>561</v>
      </c>
      <c r="EE128" s="1" t="s">
        <v>85</v>
      </c>
      <c r="EF128" s="1" t="s">
        <v>665</v>
      </c>
      <c r="EG128" s="1" t="s">
        <v>6</v>
      </c>
      <c r="EH128" s="1" t="s">
        <v>7</v>
      </c>
      <c r="EI128" s="1" t="s">
        <v>8</v>
      </c>
      <c r="EJ128" s="1" t="s">
        <v>9</v>
      </c>
      <c r="EK128" s="1" t="s">
        <v>49</v>
      </c>
      <c r="EL128" s="1" t="s">
        <v>560</v>
      </c>
      <c r="EM128" s="1" t="s">
        <v>50</v>
      </c>
      <c r="EN128" s="345"/>
      <c r="EO128" s="345"/>
      <c r="EP128" s="345"/>
      <c r="EQ128" s="345"/>
      <c r="ER128" s="345"/>
      <c r="ES128" s="345"/>
      <c r="ET128" s="345"/>
      <c r="EZ128" s="1"/>
      <c r="FA128" s="1"/>
      <c r="FB128" s="1" t="s">
        <v>558</v>
      </c>
      <c r="FC128" s="1" t="s">
        <v>559</v>
      </c>
      <c r="FD128" s="1" t="s">
        <v>561</v>
      </c>
      <c r="FE128" s="1" t="s">
        <v>85</v>
      </c>
      <c r="FF128" s="1" t="s">
        <v>665</v>
      </c>
      <c r="FG128" s="1" t="s">
        <v>6</v>
      </c>
      <c r="FH128" s="1" t="s">
        <v>7</v>
      </c>
      <c r="FI128" s="1" t="s">
        <v>8</v>
      </c>
      <c r="FJ128" s="1" t="s">
        <v>9</v>
      </c>
      <c r="FK128" s="1" t="s">
        <v>49</v>
      </c>
      <c r="FL128" s="1" t="s">
        <v>560</v>
      </c>
      <c r="FM128" s="1" t="s">
        <v>50</v>
      </c>
      <c r="FN128" s="345"/>
      <c r="FO128" s="345"/>
      <c r="FP128" s="345"/>
      <c r="FQ128" s="345"/>
      <c r="FR128" s="345"/>
      <c r="FS128" s="345"/>
      <c r="FT128" s="345"/>
    </row>
    <row r="129" spans="2:171" ht="19.25" customHeight="1" x14ac:dyDescent="0.25">
      <c r="J129" s="4" t="s">
        <v>41</v>
      </c>
      <c r="K129" s="1" t="s">
        <v>88</v>
      </c>
      <c r="L129" s="4" t="s">
        <v>283</v>
      </c>
      <c r="M129" s="2" t="s">
        <v>90</v>
      </c>
      <c r="N129" s="2" t="s">
        <v>86</v>
      </c>
      <c r="O129" s="1" t="s">
        <v>650</v>
      </c>
      <c r="P129" s="2" t="s">
        <v>95</v>
      </c>
      <c r="Q129" s="2" t="s">
        <v>25</v>
      </c>
      <c r="R129" s="2" t="s">
        <v>98</v>
      </c>
      <c r="S129" s="2" t="s">
        <v>95</v>
      </c>
      <c r="T129" s="2" t="s">
        <v>95</v>
      </c>
      <c r="U129" s="2" t="s">
        <v>94</v>
      </c>
      <c r="V129" s="2" t="s">
        <v>92</v>
      </c>
      <c r="W129" s="213" t="s">
        <v>48</v>
      </c>
      <c r="X129" s="111" t="s">
        <v>48</v>
      </c>
      <c r="Y129" s="111" t="s">
        <v>324</v>
      </c>
      <c r="Z129" s="359"/>
      <c r="AA129" s="136" t="s">
        <v>82</v>
      </c>
      <c r="AB129" s="4"/>
      <c r="AC129" s="6"/>
      <c r="AD129" s="4" t="s">
        <v>41</v>
      </c>
      <c r="AE129" s="1" t="s">
        <v>88</v>
      </c>
      <c r="AF129" s="4" t="s">
        <v>283</v>
      </c>
      <c r="AG129" s="2" t="s">
        <v>90</v>
      </c>
      <c r="AH129" s="2" t="s">
        <v>86</v>
      </c>
      <c r="AI129" s="1" t="s">
        <v>650</v>
      </c>
      <c r="AJ129" s="2" t="s">
        <v>95</v>
      </c>
      <c r="AK129" s="2" t="s">
        <v>25</v>
      </c>
      <c r="AL129" s="2" t="s">
        <v>98</v>
      </c>
      <c r="AM129" s="2" t="s">
        <v>95</v>
      </c>
      <c r="AN129" s="2" t="s">
        <v>95</v>
      </c>
      <c r="AO129" s="2" t="s">
        <v>94</v>
      </c>
      <c r="AP129" s="2" t="s">
        <v>92</v>
      </c>
      <c r="AQ129" s="213" t="s">
        <v>48</v>
      </c>
      <c r="AR129" s="111" t="s">
        <v>48</v>
      </c>
      <c r="AS129" s="111" t="s">
        <v>324</v>
      </c>
      <c r="AT129" s="359"/>
      <c r="AU129" s="136" t="s">
        <v>82</v>
      </c>
      <c r="AV129" s="4"/>
      <c r="AW129" s="4" t="s">
        <v>41</v>
      </c>
      <c r="AX129" s="1" t="s">
        <v>88</v>
      </c>
      <c r="AY129" s="4" t="s">
        <v>283</v>
      </c>
      <c r="AZ129" s="2" t="s">
        <v>90</v>
      </c>
      <c r="BA129" s="2" t="s">
        <v>86</v>
      </c>
      <c r="BB129" s="1" t="s">
        <v>650</v>
      </c>
      <c r="BC129" s="2" t="s">
        <v>95</v>
      </c>
      <c r="BD129" s="2" t="s">
        <v>25</v>
      </c>
      <c r="BE129" s="2" t="s">
        <v>98</v>
      </c>
      <c r="BF129" s="2" t="s">
        <v>95</v>
      </c>
      <c r="BG129" s="2" t="s">
        <v>95</v>
      </c>
      <c r="BH129" s="2" t="s">
        <v>94</v>
      </c>
      <c r="BI129" s="2" t="s">
        <v>92</v>
      </c>
      <c r="BJ129" s="213" t="s">
        <v>48</v>
      </c>
      <c r="BK129" s="111" t="s">
        <v>48</v>
      </c>
      <c r="BL129" s="111" t="s">
        <v>324</v>
      </c>
      <c r="BM129" s="359"/>
      <c r="BN129" s="136" t="s">
        <v>82</v>
      </c>
      <c r="BO129" s="4"/>
      <c r="BP129" s="4" t="s">
        <v>41</v>
      </c>
      <c r="BQ129" s="1" t="s">
        <v>88</v>
      </c>
      <c r="BR129" s="4" t="s">
        <v>283</v>
      </c>
      <c r="BS129" s="2" t="s">
        <v>90</v>
      </c>
      <c r="BT129" s="2" t="s">
        <v>86</v>
      </c>
      <c r="BU129" s="1" t="s">
        <v>650</v>
      </c>
      <c r="BV129" s="2" t="s">
        <v>95</v>
      </c>
      <c r="BW129" s="2" t="s">
        <v>25</v>
      </c>
      <c r="BX129" s="2" t="s">
        <v>98</v>
      </c>
      <c r="BY129" s="2" t="s">
        <v>95</v>
      </c>
      <c r="BZ129" s="2" t="s">
        <v>95</v>
      </c>
      <c r="CA129" s="2" t="s">
        <v>94</v>
      </c>
      <c r="CB129" s="2" t="s">
        <v>92</v>
      </c>
      <c r="CC129" s="213" t="s">
        <v>48</v>
      </c>
      <c r="CD129" s="111" t="s">
        <v>48</v>
      </c>
      <c r="CE129" s="111" t="s">
        <v>324</v>
      </c>
      <c r="CF129" s="359"/>
      <c r="CG129" s="136" t="s">
        <v>82</v>
      </c>
      <c r="CH129" s="113"/>
      <c r="CI129" s="113"/>
      <c r="CK129" s="4" t="s">
        <v>41</v>
      </c>
      <c r="CL129" s="1" t="s">
        <v>88</v>
      </c>
      <c r="CM129" s="4" t="s">
        <v>283</v>
      </c>
      <c r="CN129" s="2" t="s">
        <v>90</v>
      </c>
      <c r="CO129" s="2" t="s">
        <v>86</v>
      </c>
      <c r="CP129" s="1" t="s">
        <v>650</v>
      </c>
      <c r="CQ129" s="2" t="s">
        <v>95</v>
      </c>
      <c r="CR129" s="2" t="s">
        <v>25</v>
      </c>
      <c r="CS129" s="2" t="s">
        <v>98</v>
      </c>
      <c r="CT129" s="2" t="s">
        <v>95</v>
      </c>
      <c r="CU129" s="2" t="s">
        <v>95</v>
      </c>
      <c r="CV129" s="2" t="s">
        <v>94</v>
      </c>
      <c r="CW129" s="2" t="s">
        <v>92</v>
      </c>
      <c r="DT129" s="22" t="s">
        <v>431</v>
      </c>
      <c r="DU129" s="22" t="s">
        <v>479</v>
      </c>
      <c r="DV129" s="161" t="s">
        <v>337</v>
      </c>
      <c r="DW129" s="377" t="s">
        <v>344</v>
      </c>
      <c r="DX129" s="102" t="s">
        <v>317</v>
      </c>
      <c r="DY129" s="1"/>
      <c r="EA129" s="4" t="s">
        <v>41</v>
      </c>
      <c r="EB129" s="1" t="s">
        <v>88</v>
      </c>
      <c r="EC129" s="1" t="s">
        <v>562</v>
      </c>
      <c r="ED129" s="1" t="s">
        <v>90</v>
      </c>
      <c r="EE129" s="1" t="s">
        <v>86</v>
      </c>
      <c r="EF129" s="1" t="s">
        <v>650</v>
      </c>
      <c r="EG129" s="1" t="s">
        <v>95</v>
      </c>
      <c r="EH129" s="1" t="s">
        <v>25</v>
      </c>
      <c r="EI129" s="1" t="s">
        <v>98</v>
      </c>
      <c r="EJ129" s="1" t="s">
        <v>95</v>
      </c>
      <c r="EK129" s="1" t="s">
        <v>95</v>
      </c>
      <c r="EL129" s="1" t="s">
        <v>94</v>
      </c>
      <c r="EM129" s="1" t="s">
        <v>92</v>
      </c>
      <c r="EO129" s="22" t="s">
        <v>431</v>
      </c>
      <c r="EP129" s="22" t="s">
        <v>479</v>
      </c>
      <c r="EQ129" s="192" t="s">
        <v>337</v>
      </c>
      <c r="ER129" s="349" t="s">
        <v>344</v>
      </c>
      <c r="ES129" s="102" t="s">
        <v>317</v>
      </c>
      <c r="FA129" s="2" t="s">
        <v>41</v>
      </c>
      <c r="FB129" s="1" t="s">
        <v>88</v>
      </c>
      <c r="FC129" s="1" t="s">
        <v>562</v>
      </c>
      <c r="FD129" s="1" t="s">
        <v>90</v>
      </c>
      <c r="FE129" s="1" t="s">
        <v>86</v>
      </c>
      <c r="FF129" s="1" t="s">
        <v>650</v>
      </c>
      <c r="FG129" s="1" t="s">
        <v>95</v>
      </c>
      <c r="FH129" s="1" t="s">
        <v>25</v>
      </c>
      <c r="FI129" s="1" t="s">
        <v>98</v>
      </c>
      <c r="FJ129" s="1" t="s">
        <v>95</v>
      </c>
      <c r="FK129" s="1" t="s">
        <v>95</v>
      </c>
      <c r="FL129" s="1" t="s">
        <v>94</v>
      </c>
      <c r="FM129" s="1" t="s">
        <v>92</v>
      </c>
    </row>
    <row r="130" spans="2:171" ht="19" thickBot="1" x14ac:dyDescent="0.3">
      <c r="I130" s="351" t="s">
        <v>425</v>
      </c>
      <c r="J130" s="27" t="s">
        <v>327</v>
      </c>
      <c r="K130" s="27">
        <f>Limestone_for_BF</f>
        <v>198.12782320839224</v>
      </c>
      <c r="L130" s="27">
        <v>0.95</v>
      </c>
      <c r="M130" s="27">
        <f>MW_CaCO3</f>
        <v>0.1000872</v>
      </c>
      <c r="N130" s="27">
        <f>K130/M130</f>
        <v>1979.5520626852608</v>
      </c>
      <c r="O130" s="27">
        <f>h_CaCO3</f>
        <v>-12065.478902397108</v>
      </c>
      <c r="P130" s="27">
        <f>b_ch_CaCO3</f>
        <v>11.256799999999885</v>
      </c>
      <c r="Q130" s="27">
        <f>N130/N132</f>
        <v>0.94119632891260407</v>
      </c>
      <c r="R130" s="27">
        <f>LN(Q130)</f>
        <v>-6.0603522569383693E-2</v>
      </c>
      <c r="S130" s="27">
        <f>RT0*R130</f>
        <v>-0.13762872710622295</v>
      </c>
      <c r="T130" s="27">
        <f>S130+P130</f>
        <v>11.119171272893661</v>
      </c>
      <c r="U130" s="27">
        <f>T130*Q130</f>
        <v>10.465323182598</v>
      </c>
      <c r="V130" s="27">
        <f>U130*N132</f>
        <v>22010.978428607345</v>
      </c>
      <c r="W130" s="104">
        <f>AP142</f>
        <v>7.2399197950896488</v>
      </c>
      <c r="X130" s="124">
        <f>SUM(V126,V140,V163,V151)-$AP$126-AP142</f>
        <v>275.53791724939703</v>
      </c>
      <c r="Y130" s="194">
        <f>SUM(U126,U140,U151,U163) - SUM(AO126,AO142)</f>
        <v>0</v>
      </c>
      <c r="Z130" s="139" t="s">
        <v>341</v>
      </c>
      <c r="AA130" s="136">
        <f>(($AH$130*($AO$130-U130))/(V140+V151))</f>
        <v>0</v>
      </c>
      <c r="AB130" s="4"/>
      <c r="AC130" s="351" t="s">
        <v>520</v>
      </c>
      <c r="AD130" s="27" t="s">
        <v>327</v>
      </c>
      <c r="AE130" s="27">
        <f>Limestone_for_BF</f>
        <v>198.12782320839224</v>
      </c>
      <c r="AF130" s="27">
        <v>0.95</v>
      </c>
      <c r="AG130" s="27">
        <f>MW_CaCO3</f>
        <v>0.1000872</v>
      </c>
      <c r="AH130" s="27">
        <f>AE130/AG130</f>
        <v>1979.5520626852608</v>
      </c>
      <c r="AI130" s="27">
        <f>h_CaCO3</f>
        <v>-12065.478902397108</v>
      </c>
      <c r="AJ130" s="27">
        <f>b_ch_CaCO3</f>
        <v>11.256799999999885</v>
      </c>
      <c r="AK130" s="27">
        <f>AH130/AH132</f>
        <v>0.94119632891260407</v>
      </c>
      <c r="AL130" s="27">
        <f>LN(AK130)</f>
        <v>-6.0603522569383693E-2</v>
      </c>
      <c r="AM130" s="27">
        <f>RT0*AL130</f>
        <v>-0.13762872710622295</v>
      </c>
      <c r="AN130" s="27">
        <f>AM130+AJ130</f>
        <v>11.119171272893661</v>
      </c>
      <c r="AO130" s="27">
        <f>AN130*AK130</f>
        <v>10.465323182598</v>
      </c>
      <c r="AP130" s="27">
        <f>AO130*AH132</f>
        <v>22010.978428607345</v>
      </c>
      <c r="AQ130" s="104">
        <f>0</f>
        <v>0</v>
      </c>
      <c r="AR130" s="124">
        <f>AP126+AU113-BI126</f>
        <v>2824.885647744919</v>
      </c>
      <c r="AS130" s="194">
        <f>BH126-AO126</f>
        <v>0</v>
      </c>
      <c r="AT130" s="139" t="s">
        <v>341</v>
      </c>
      <c r="AU130" s="136">
        <f>((BA130*(BH130-AO130)/AU113))</f>
        <v>0</v>
      </c>
      <c r="AV130" s="351" t="s">
        <v>545</v>
      </c>
      <c r="AW130" s="27" t="s">
        <v>327</v>
      </c>
      <c r="AX130" s="27">
        <f>Limestone_for_BF</f>
        <v>198.12782320839224</v>
      </c>
      <c r="AY130" s="27">
        <v>0.95</v>
      </c>
      <c r="AZ130" s="27">
        <f>MW_CaCO3</f>
        <v>0.1000872</v>
      </c>
      <c r="BA130" s="27">
        <f>AX130/AZ130</f>
        <v>1979.5520626852608</v>
      </c>
      <c r="BB130" s="27">
        <f>h_CaCO3</f>
        <v>-12065.478902397108</v>
      </c>
      <c r="BC130" s="27">
        <f>b_ch_CaCO3</f>
        <v>11.256799999999885</v>
      </c>
      <c r="BD130" s="27">
        <f>BA130/BA132</f>
        <v>0.94119632891260407</v>
      </c>
      <c r="BE130" s="27">
        <f>LN(BD130)</f>
        <v>-6.0603522569383693E-2</v>
      </c>
      <c r="BF130" s="27">
        <f>RT0*BE130</f>
        <v>-0.13762872710622295</v>
      </c>
      <c r="BG130" s="27">
        <f>BF130+BC130</f>
        <v>11.119171272893661</v>
      </c>
      <c r="BH130" s="27">
        <f>BG130*BD130</f>
        <v>10.465323182598</v>
      </c>
      <c r="BI130" s="27">
        <f>BH130*BA132</f>
        <v>22010.978428607345</v>
      </c>
      <c r="BJ130" s="104">
        <v>0</v>
      </c>
      <c r="BK130" s="124">
        <f>BI126+BM116-CB126</f>
        <v>34.678095164115803</v>
      </c>
      <c r="BL130" s="194">
        <f>CA126-BH126</f>
        <v>0</v>
      </c>
      <c r="BM130" s="139" t="s">
        <v>341</v>
      </c>
      <c r="BN130" s="136">
        <f>((BT130*(CA130-BH130)/BM116))</f>
        <v>0</v>
      </c>
      <c r="BO130" s="351" t="s">
        <v>532</v>
      </c>
      <c r="BP130" s="27" t="s">
        <v>327</v>
      </c>
      <c r="BQ130" s="27">
        <f>Limestone_for_BF</f>
        <v>198.12782320839224</v>
      </c>
      <c r="BR130" s="27">
        <v>0.95</v>
      </c>
      <c r="BS130" s="27">
        <f>MW_CaCO3</f>
        <v>0.1000872</v>
      </c>
      <c r="BT130" s="27">
        <f>BQ130/BS130</f>
        <v>1979.5520626852608</v>
      </c>
      <c r="BU130" s="27">
        <f>h_CaCO3</f>
        <v>-12065.478902397108</v>
      </c>
      <c r="BV130" s="27">
        <f>b_ch_CaCO3</f>
        <v>11.256799999999885</v>
      </c>
      <c r="BW130" s="27">
        <f>BT130/BT132</f>
        <v>0.94119632891260407</v>
      </c>
      <c r="BX130" s="27">
        <f>LN(BW130)</f>
        <v>-6.0603522569383693E-2</v>
      </c>
      <c r="BY130" s="27">
        <f>RT0*BX130</f>
        <v>-0.13762872710622295</v>
      </c>
      <c r="BZ130" s="27">
        <f>BY130+BV130</f>
        <v>11.119171272893661</v>
      </c>
      <c r="CA130" s="27">
        <f>BZ130*BW130</f>
        <v>10.465323182598</v>
      </c>
      <c r="CB130" s="27">
        <f>CA130*BT132</f>
        <v>22010.978428607345</v>
      </c>
      <c r="CC130" s="104">
        <f>CW114+CW138</f>
        <v>1133980772.6357925</v>
      </c>
      <c r="CD130" s="124">
        <f>CB126+CB140+CB152-CW114-CW126-CW138</f>
        <v>-55817678.18371439</v>
      </c>
      <c r="CE130" s="194">
        <f>SUM(CV138,CV126,CV114) - SUM(CA126,CA140,CA152)</f>
        <v>0</v>
      </c>
      <c r="CF130" s="139" t="s">
        <v>341</v>
      </c>
      <c r="CG130" s="136" t="s">
        <v>98</v>
      </c>
      <c r="CH130" s="113"/>
      <c r="CI130" s="113"/>
      <c r="CJ130" s="222" t="s">
        <v>533</v>
      </c>
      <c r="CK130" s="112" t="s">
        <v>123</v>
      </c>
      <c r="CL130" s="33">
        <f>Quicklime_for_BF</f>
        <v>111.00813284002646</v>
      </c>
      <c r="CM130" s="33">
        <v>1</v>
      </c>
      <c r="CN130" s="33">
        <f>MW_CaO</f>
        <v>5.6077400000000006E-2</v>
      </c>
      <c r="CO130" s="33">
        <f>CL130/CN130</f>
        <v>1979.5520626852608</v>
      </c>
      <c r="CP130" s="33">
        <f>h_CaO</f>
        <v>-11321.85158370395</v>
      </c>
      <c r="CQ130" s="33">
        <f>b_ch_CaO</f>
        <v>122.25799999999992</v>
      </c>
      <c r="CR130" s="125">
        <f>CO130/CO131</f>
        <v>1</v>
      </c>
      <c r="CS130" s="125">
        <f>LN(CR130)</f>
        <v>0</v>
      </c>
      <c r="CT130" s="125">
        <f>RT0*CS130</f>
        <v>0</v>
      </c>
      <c r="CU130" s="33">
        <f>CT130+CQ130</f>
        <v>122.25799999999992</v>
      </c>
      <c r="CV130" s="33">
        <f>CU130*CR130</f>
        <v>122.25799999999992</v>
      </c>
      <c r="CW130" s="125">
        <f>CV130*CO131</f>
        <v>242016.07607977447</v>
      </c>
      <c r="DT130" s="213" t="s">
        <v>48</v>
      </c>
      <c r="DU130" s="9" t="s">
        <v>48</v>
      </c>
      <c r="DV130" s="1" t="s">
        <v>89</v>
      </c>
      <c r="DW130" s="378"/>
      <c r="DX130" s="136" t="s">
        <v>82</v>
      </c>
      <c r="DY130" s="4"/>
      <c r="DZ130" s="351" t="s">
        <v>554</v>
      </c>
      <c r="EA130" s="8" t="s">
        <v>15</v>
      </c>
      <c r="EB130" s="175">
        <f>Fe2O3_BF_in</f>
        <v>881.06000000000006</v>
      </c>
      <c r="EC130" s="175">
        <f>EB130/$EB$134</f>
        <v>0.67265947997457687</v>
      </c>
      <c r="ED130" s="176">
        <f>MW_Fe2O3</f>
        <v>0.1596882</v>
      </c>
      <c r="EE130" s="176">
        <f>EB130/ED130</f>
        <v>5517.3769884061567</v>
      </c>
      <c r="EF130" s="176">
        <f>h_Fe2O3</f>
        <v>-5161.3080991582347</v>
      </c>
      <c r="EG130" s="176">
        <f>b_ch_Fe2O3</f>
        <v>17.358400000000074</v>
      </c>
      <c r="EH130" s="176">
        <f>EE130/$EE$134</f>
        <v>0.21197353787675174</v>
      </c>
      <c r="EI130" s="177">
        <f>LN(EH130)</f>
        <v>-1.5512938334370325</v>
      </c>
      <c r="EJ130" s="177">
        <f>RT0*EI130</f>
        <v>-3.5229403607560474</v>
      </c>
      <c r="EK130" s="177">
        <f>EG130+EJ130</f>
        <v>13.835459639244027</v>
      </c>
      <c r="EL130" s="177">
        <f>EK130*EH130</f>
        <v>2.9327513278815638</v>
      </c>
      <c r="EM130" s="177">
        <f>$EE$134*EL130</f>
        <v>76335.446637587142</v>
      </c>
      <c r="EO130" s="213" t="s">
        <v>48</v>
      </c>
      <c r="EP130" s="9" t="s">
        <v>48</v>
      </c>
      <c r="EQ130" s="9" t="s">
        <v>89</v>
      </c>
      <c r="ER130" s="350"/>
      <c r="ES130" s="136" t="s">
        <v>82</v>
      </c>
      <c r="EZ130" s="222" t="s">
        <v>555</v>
      </c>
      <c r="FA130" s="1" t="s">
        <v>16</v>
      </c>
      <c r="FB130" s="42">
        <f>Fe_BF_out</f>
        <v>616.23583583508366</v>
      </c>
      <c r="FC130" s="42">
        <f>FB130/FB131</f>
        <v>1</v>
      </c>
      <c r="FD130" s="33">
        <f>MW_Fe</f>
        <v>5.5844999999999999E-2</v>
      </c>
      <c r="FE130" s="33">
        <f>FB130/FD130</f>
        <v>11034.753976812313</v>
      </c>
      <c r="FF130" s="33">
        <f>h_Fe</f>
        <v>0</v>
      </c>
      <c r="FG130" s="272">
        <f>b_ch_Fe</f>
        <v>376.8</v>
      </c>
      <c r="FH130" s="33">
        <f>FE130/FE131</f>
        <v>1</v>
      </c>
      <c r="FI130" s="42">
        <f>LN(FH130)</f>
        <v>0</v>
      </c>
      <c r="FJ130" s="42">
        <f>RT0*FI130</f>
        <v>0</v>
      </c>
      <c r="FK130" s="42">
        <f>FG130+FJ130</f>
        <v>376.8</v>
      </c>
      <c r="FL130" s="42">
        <f>FK130*FH130</f>
        <v>376.8</v>
      </c>
      <c r="FM130" s="42">
        <f>FE131*FL130</f>
        <v>4157895.2984628798</v>
      </c>
    </row>
    <row r="131" spans="2:171" ht="19" thickBot="1" x14ac:dyDescent="0.3">
      <c r="I131" s="351"/>
      <c r="J131" s="6" t="s">
        <v>330</v>
      </c>
      <c r="K131" s="6">
        <f>(K130*L131)/L130</f>
        <v>10.427780168862752</v>
      </c>
      <c r="L131" s="6">
        <v>0.05</v>
      </c>
      <c r="M131" s="6">
        <f>MW_MgCO3</f>
        <v>8.4314200000000006E-2</v>
      </c>
      <c r="N131" s="6">
        <f>K131/M131</f>
        <v>123.6776268868441</v>
      </c>
      <c r="O131" s="6">
        <f>h_MgCO3</f>
        <v>-12996.624530624733</v>
      </c>
      <c r="P131" s="6">
        <f>b_ch_MgCO3</f>
        <v>33.790400000000034</v>
      </c>
      <c r="Q131" s="6">
        <f>N131/N132</f>
        <v>5.880367108739603E-2</v>
      </c>
      <c r="R131" s="6">
        <f>LN(Q131)</f>
        <v>-2.8335509925673268</v>
      </c>
      <c r="S131" s="6">
        <f>RT0*R131</f>
        <v>-6.4349067473947281</v>
      </c>
      <c r="T131" s="6">
        <f>S131+P131</f>
        <v>27.355493252605307</v>
      </c>
      <c r="U131" s="6">
        <f>T131*Q131</f>
        <v>1.6086034276596839</v>
      </c>
      <c r="V131" s="6">
        <f>U131*N132</f>
        <v>3383.2624878013007</v>
      </c>
      <c r="W131" s="6"/>
      <c r="X131" s="6"/>
      <c r="Y131" s="6"/>
      <c r="Z131" s="139" t="s">
        <v>637</v>
      </c>
      <c r="AA131" s="136">
        <f>($AP$126+AP142)/(SUM(V126,V140,V163,V151))</f>
        <v>0.98926908455007689</v>
      </c>
      <c r="AB131" s="4"/>
      <c r="AC131" s="351"/>
      <c r="AD131" s="6" t="s">
        <v>330</v>
      </c>
      <c r="AE131" s="6">
        <f>(AE130*AF131)/AF130</f>
        <v>10.427780168862752</v>
      </c>
      <c r="AF131" s="6">
        <v>0.05</v>
      </c>
      <c r="AG131" s="6">
        <f>MW_MgCO3</f>
        <v>8.4314200000000006E-2</v>
      </c>
      <c r="AH131" s="6">
        <f>AE131/AG131</f>
        <v>123.6776268868441</v>
      </c>
      <c r="AI131" s="6">
        <f>h_MgCO3</f>
        <v>-12996.624530624733</v>
      </c>
      <c r="AJ131" s="6">
        <f>b_ch_MgCO3</f>
        <v>33.790400000000034</v>
      </c>
      <c r="AK131" s="6">
        <f>AH131/AH132</f>
        <v>5.880367108739603E-2</v>
      </c>
      <c r="AL131" s="6">
        <f>LN(AK131)</f>
        <v>-2.8335509925673268</v>
      </c>
      <c r="AM131" s="6">
        <f>RT0*AL131</f>
        <v>-6.4349067473947281</v>
      </c>
      <c r="AN131" s="6">
        <f>AM131+AJ131</f>
        <v>27.355493252605307</v>
      </c>
      <c r="AO131" s="6">
        <f>AN131*AK131</f>
        <v>1.6086034276596839</v>
      </c>
      <c r="AP131" s="6">
        <f>AO131*AH132</f>
        <v>3383.2624878013007</v>
      </c>
      <c r="AQ131" s="6"/>
      <c r="AR131" s="6"/>
      <c r="AS131" s="4"/>
      <c r="AT131" s="139" t="s">
        <v>637</v>
      </c>
      <c r="AU131" s="136">
        <f>BI126/(AU113+AP126)</f>
        <v>0.89989464623142024</v>
      </c>
      <c r="AV131" s="351"/>
      <c r="AW131" s="6" t="s">
        <v>330</v>
      </c>
      <c r="AX131" s="6">
        <f>(AX130*AY131)/AY130</f>
        <v>10.427780168862752</v>
      </c>
      <c r="AY131" s="6">
        <v>0.05</v>
      </c>
      <c r="AZ131" s="6">
        <f>MW_MgCO3</f>
        <v>8.4314200000000006E-2</v>
      </c>
      <c r="BA131" s="6">
        <f>AX131/AZ131</f>
        <v>123.6776268868441</v>
      </c>
      <c r="BB131" s="6">
        <f>h_MgCO3</f>
        <v>-12996.624530624733</v>
      </c>
      <c r="BC131" s="6">
        <f>b_ch_MgCO3</f>
        <v>33.790400000000034</v>
      </c>
      <c r="BD131" s="6">
        <f>BA131/BA132</f>
        <v>5.880367108739603E-2</v>
      </c>
      <c r="BE131" s="6">
        <f>LN(BD131)</f>
        <v>-2.8335509925673268</v>
      </c>
      <c r="BF131" s="6">
        <f>RT0*BE131</f>
        <v>-6.4349067473947281</v>
      </c>
      <c r="BG131" s="6">
        <f>BF131+BC131</f>
        <v>27.355493252605307</v>
      </c>
      <c r="BH131" s="6">
        <f>BG131*BD131</f>
        <v>1.6086034276596839</v>
      </c>
      <c r="BI131" s="6">
        <f>BH131*BA132</f>
        <v>3383.2624878013007</v>
      </c>
      <c r="BJ131" s="6"/>
      <c r="BK131" s="6"/>
      <c r="BL131" s="4"/>
      <c r="BM131" s="139" t="s">
        <v>637</v>
      </c>
      <c r="BN131" s="136">
        <f>CB126/(BM113+BI126)</f>
        <v>0.99885105550639652</v>
      </c>
      <c r="BO131" s="351"/>
      <c r="BP131" s="6" t="s">
        <v>330</v>
      </c>
      <c r="BQ131" s="6">
        <f>(BQ130*BR131)/BR130</f>
        <v>10.427780168862752</v>
      </c>
      <c r="BR131" s="6">
        <v>0.05</v>
      </c>
      <c r="BS131" s="6">
        <f>MW_MgCO3</f>
        <v>8.4314200000000006E-2</v>
      </c>
      <c r="BT131" s="6">
        <f>BQ131/BS131</f>
        <v>123.6776268868441</v>
      </c>
      <c r="BU131" s="6">
        <f>h_MgCO3</f>
        <v>-12996.624530624733</v>
      </c>
      <c r="BV131" s="6">
        <f>b_ch_MgCO3</f>
        <v>33.790400000000034</v>
      </c>
      <c r="BW131" s="6">
        <f>BT131/BT132</f>
        <v>5.880367108739603E-2</v>
      </c>
      <c r="BX131" s="6">
        <f>LN(BW131)</f>
        <v>-2.8335509925673268</v>
      </c>
      <c r="BY131" s="6">
        <f>RT0*BX131</f>
        <v>-6.4349067473947281</v>
      </c>
      <c r="BZ131" s="6">
        <f>BY131+BV131</f>
        <v>27.355493252605307</v>
      </c>
      <c r="CA131" s="6">
        <f>BZ131*BW131</f>
        <v>1.6086034276596839</v>
      </c>
      <c r="CB131" s="6">
        <f>CA131*BT132</f>
        <v>3383.2624878013007</v>
      </c>
      <c r="CC131" s="113"/>
      <c r="CD131" s="6"/>
      <c r="CF131" s="139" t="s">
        <v>637</v>
      </c>
      <c r="CG131" s="136">
        <f>(CW138+CW126+CW114)/(CB140+CB126+CB152)</f>
        <v>1.0517594711289686</v>
      </c>
      <c r="CH131" s="113"/>
      <c r="CI131" s="113"/>
      <c r="CK131" s="6" t="s">
        <v>19</v>
      </c>
      <c r="CL131" s="6">
        <f>SUM(CL130)</f>
        <v>111.00813284002646</v>
      </c>
      <c r="CM131" s="6"/>
      <c r="CN131" s="6">
        <f>SUM(CN130)</f>
        <v>5.6077400000000006E-2</v>
      </c>
      <c r="CO131" s="6">
        <f>SUM(CO130)</f>
        <v>1979.5520626852608</v>
      </c>
      <c r="CP131" s="6">
        <f>SUM(CP130)</f>
        <v>-11321.85158370395</v>
      </c>
      <c r="CQ131" s="6"/>
      <c r="CR131" s="6"/>
      <c r="CS131" s="113"/>
      <c r="CT131" s="113"/>
      <c r="CU131" s="6"/>
      <c r="CV131" s="6">
        <f>SUM(CV130)</f>
        <v>122.25799999999992</v>
      </c>
      <c r="CW131" s="6">
        <f>SUM(CW130)</f>
        <v>242016.07607977447</v>
      </c>
      <c r="DT131" s="104">
        <f>0</f>
        <v>0</v>
      </c>
      <c r="DU131" s="99">
        <f>(CW126+CA42+CW206)-(EM126)</f>
        <v>49789.327834718861</v>
      </c>
      <c r="DV131" s="141">
        <f>EL126-CV126-CV206-BZ42</f>
        <v>0</v>
      </c>
      <c r="DW131" s="139" t="s">
        <v>341</v>
      </c>
      <c r="DX131" s="103" t="s">
        <v>98</v>
      </c>
      <c r="DY131" s="4"/>
      <c r="DZ131" s="351"/>
      <c r="EA131" s="1" t="s">
        <v>17</v>
      </c>
      <c r="EB131" s="178">
        <f>SiO2_BF_in</f>
        <v>118.94000000000001</v>
      </c>
      <c r="EC131" s="178">
        <f t="shared" ref="EC131:EC133" si="46">EB131/$EB$134</f>
        <v>9.0806663051524489E-2</v>
      </c>
      <c r="ED131" s="167">
        <f>MW_SIO2</f>
        <v>6.00843E-2</v>
      </c>
      <c r="EE131" s="167">
        <f>EB131/ED131</f>
        <v>1979.5520626852608</v>
      </c>
      <c r="EF131" s="167">
        <f>h_SiO2</f>
        <v>-15157.037695371337</v>
      </c>
      <c r="EG131" s="167">
        <f>b_ch_SiO2</f>
        <v>1.5260000000000673</v>
      </c>
      <c r="EH131" s="167">
        <f>EE131/$EE$134</f>
        <v>7.6052924246496442E-2</v>
      </c>
      <c r="EI131" s="179">
        <f t="shared" ref="EI131:EI133" si="47">LN(EH131)</f>
        <v>-2.5763258093856205</v>
      </c>
      <c r="EJ131" s="179">
        <f>RT0*EI131</f>
        <v>-5.8507563046472342</v>
      </c>
      <c r="EK131" s="179">
        <f t="shared" ref="EK131:EK133" si="48">EG131+EJ131</f>
        <v>-4.3247563046471669</v>
      </c>
      <c r="EL131" s="179">
        <f t="shared" ref="EL131:EL133" si="49">EK131*EH131</f>
        <v>-0.32891036362188886</v>
      </c>
      <c r="EM131" s="179">
        <f>$EE$134*EL131</f>
        <v>-8561.0802634753836</v>
      </c>
      <c r="EO131" s="104">
        <f>FM141+FM104</f>
        <v>500587.32575948373</v>
      </c>
      <c r="EP131" s="281">
        <f>SUM(EM101,EM114,EM126,EM140,EM152)-(FM126+FM141+FM104)</f>
        <v>9127210.110772185</v>
      </c>
      <c r="EQ131" s="280">
        <f>(SUM(BF_SolidWaste,FL126,FL141))-SUM(EL101,EL114,EL126,EL140,EL152)</f>
        <v>0</v>
      </c>
      <c r="ER131" s="139" t="s">
        <v>341</v>
      </c>
      <c r="ES131" s="103" t="s">
        <v>98</v>
      </c>
      <c r="FA131" s="8" t="s">
        <v>19</v>
      </c>
      <c r="FB131" s="8">
        <f t="shared" ref="FB131" si="50">SUM(FB130:FB130)</f>
        <v>616.23583583508366</v>
      </c>
      <c r="FC131" s="8"/>
      <c r="FD131" s="8">
        <f t="shared" ref="FD131:FM131" si="51">SUM(FD130:FD130)</f>
        <v>5.5844999999999999E-2</v>
      </c>
      <c r="FE131" s="8">
        <f t="shared" si="51"/>
        <v>11034.753976812313</v>
      </c>
      <c r="FF131" s="8">
        <f t="shared" si="51"/>
        <v>0</v>
      </c>
      <c r="FG131" s="8">
        <f t="shared" si="51"/>
        <v>376.8</v>
      </c>
      <c r="FH131" s="8">
        <f t="shared" si="51"/>
        <v>1</v>
      </c>
      <c r="FI131" s="8">
        <f t="shared" si="51"/>
        <v>0</v>
      </c>
      <c r="FJ131" s="8">
        <f t="shared" si="51"/>
        <v>0</v>
      </c>
      <c r="FK131" s="8">
        <f t="shared" si="51"/>
        <v>376.8</v>
      </c>
      <c r="FL131" s="8">
        <f t="shared" si="51"/>
        <v>376.8</v>
      </c>
      <c r="FM131" s="8">
        <f t="shared" si="51"/>
        <v>4157895.2984628798</v>
      </c>
    </row>
    <row r="132" spans="2:171" ht="19" thickBot="1" x14ac:dyDescent="0.3">
      <c r="J132" s="27" t="s">
        <v>19</v>
      </c>
      <c r="K132" s="27">
        <f>SUM(K130:K131)</f>
        <v>208.55560337725498</v>
      </c>
      <c r="L132" s="27">
        <f>SUM(L130:L131)</f>
        <v>1</v>
      </c>
      <c r="M132" s="27">
        <f>SUM(M130:M131)</f>
        <v>0.18440139999999999</v>
      </c>
      <c r="N132" s="27">
        <f>SUM(N130:N131)</f>
        <v>2103.2296895721047</v>
      </c>
      <c r="O132" s="17" cm="1">
        <f t="array" ref="O132">SUM(K130:K131*O130:O131) / K132</f>
        <v>-12112.03618380849</v>
      </c>
      <c r="P132" s="27"/>
      <c r="Q132" s="27">
        <f>SUM(Q130:Q131)</f>
        <v>1</v>
      </c>
      <c r="R132" s="126"/>
      <c r="S132" s="126"/>
      <c r="T132" s="126"/>
      <c r="U132" s="27">
        <f>SUM(U130:U131)</f>
        <v>12.073926610257685</v>
      </c>
      <c r="V132" s="27">
        <f>SUM(V130:V131)</f>
        <v>25394.240916408646</v>
      </c>
      <c r="W132" s="6"/>
      <c r="X132" s="6"/>
      <c r="Y132" s="6"/>
      <c r="Z132" s="140" t="s">
        <v>406</v>
      </c>
      <c r="AA132" s="137">
        <f>$AP$130/(SUM(V126,V140,V163,V151))</f>
        <v>0.85722484529662279</v>
      </c>
      <c r="AB132" s="4"/>
      <c r="AC132" s="6"/>
      <c r="AD132" s="27" t="s">
        <v>19</v>
      </c>
      <c r="AE132" s="27">
        <f>SUM(AE130:AE131)</f>
        <v>208.55560337725498</v>
      </c>
      <c r="AF132" s="27">
        <f>SUM(AF130:AF131)</f>
        <v>1</v>
      </c>
      <c r="AG132" s="27">
        <f>SUM(AG130:AG131)</f>
        <v>0.18440139999999999</v>
      </c>
      <c r="AH132" s="27">
        <f>SUM(AH130:AH131)</f>
        <v>2103.2296895721047</v>
      </c>
      <c r="AI132" s="17" cm="1">
        <f t="array" ref="AI132">SUM(AE130:AE131*AI130:AI131) / AE132</f>
        <v>-12112.03618380849</v>
      </c>
      <c r="AJ132" s="27"/>
      <c r="AK132" s="27">
        <f>SUM(AK130:AK131)</f>
        <v>1</v>
      </c>
      <c r="AL132" s="126"/>
      <c r="AM132" s="126"/>
      <c r="AN132" s="126"/>
      <c r="AO132" s="27">
        <f>SUM(AO130:AO131)</f>
        <v>12.073926610257685</v>
      </c>
      <c r="AP132" s="27">
        <f>SUM(AP130:AP131)</f>
        <v>25394.240916408646</v>
      </c>
      <c r="AQ132" s="6"/>
      <c r="AR132" s="6"/>
      <c r="AS132" s="4"/>
      <c r="AT132" s="140" t="s">
        <v>406</v>
      </c>
      <c r="AU132" s="137">
        <f>BI130/(AU113+AP126)</f>
        <v>0.78000211588999502</v>
      </c>
      <c r="AV132" s="4"/>
      <c r="AW132" s="27" t="s">
        <v>19</v>
      </c>
      <c r="AX132" s="27">
        <f>SUM(AX130:AX131)</f>
        <v>208.55560337725498</v>
      </c>
      <c r="AY132" s="27">
        <f>SUM(AY130:AY131)</f>
        <v>1</v>
      </c>
      <c r="AZ132" s="27">
        <f>SUM(AZ130:AZ131)</f>
        <v>0.18440139999999999</v>
      </c>
      <c r="BA132" s="27">
        <f>SUM(BA130:BA131)</f>
        <v>2103.2296895721047</v>
      </c>
      <c r="BB132" s="17" cm="1">
        <f t="array" ref="BB132">SUM(AX130:AX131*BB130:BB131) / AX132</f>
        <v>-12112.03618380849</v>
      </c>
      <c r="BC132" s="27"/>
      <c r="BD132" s="27">
        <f>SUM(BD130:BD131)</f>
        <v>1</v>
      </c>
      <c r="BE132" s="126"/>
      <c r="BF132" s="126"/>
      <c r="BG132" s="126"/>
      <c r="BH132" s="27">
        <f>SUM(BH130:BH131)</f>
        <v>12.073926610257685</v>
      </c>
      <c r="BI132" s="27">
        <f>SUM(BI130:BI131)</f>
        <v>25394.240916408646</v>
      </c>
      <c r="BJ132" s="6"/>
      <c r="BK132" s="6"/>
      <c r="BL132" s="4"/>
      <c r="BM132" s="140" t="s">
        <v>406</v>
      </c>
      <c r="BN132" s="137">
        <f>CB130/(BM113+BI126)</f>
        <v>0.86577461041321313</v>
      </c>
      <c r="BO132" s="4"/>
      <c r="BP132" s="27" t="s">
        <v>19</v>
      </c>
      <c r="BQ132" s="27">
        <f>SUM(BQ130:BQ131)</f>
        <v>208.55560337725498</v>
      </c>
      <c r="BR132" s="27">
        <f>SUM(BR130:BR131)</f>
        <v>1</v>
      </c>
      <c r="BS132" s="27">
        <f>SUM(BS130:BS131)</f>
        <v>0.18440139999999999</v>
      </c>
      <c r="BT132" s="27">
        <f>SUM(BT130:BT131)</f>
        <v>2103.2296895721047</v>
      </c>
      <c r="BU132" s="17" cm="1">
        <f t="array" ref="BU132">SUM(BQ130:BQ131*BU130:BU131) / BQ132</f>
        <v>-12112.03618380849</v>
      </c>
      <c r="BV132" s="27"/>
      <c r="BW132" s="27">
        <f>SUM(BW130:BW131)</f>
        <v>1</v>
      </c>
      <c r="BX132" s="126"/>
      <c r="BY132" s="126"/>
      <c r="BZ132" s="126"/>
      <c r="CA132" s="27">
        <f>SUM(CA130:CA131)</f>
        <v>12.073926610257685</v>
      </c>
      <c r="CB132" s="27">
        <f>SUM(CB130:CB131)</f>
        <v>25394.240916408646</v>
      </c>
      <c r="CC132" s="113"/>
      <c r="CD132" s="113"/>
      <c r="CF132" s="140" t="s">
        <v>406</v>
      </c>
      <c r="CG132" s="137">
        <f>CW130/(CB126+CB152+CB140)</f>
        <v>2.2442037200773749E-4</v>
      </c>
      <c r="CH132" s="113"/>
      <c r="CI132" s="113"/>
      <c r="CK132" s="6"/>
      <c r="CL132" s="6" t="s">
        <v>324</v>
      </c>
      <c r="CM132" s="6"/>
      <c r="CN132" s="113" t="s">
        <v>331</v>
      </c>
      <c r="CO132" s="113" t="s">
        <v>332</v>
      </c>
      <c r="CP132" s="1" t="s">
        <v>666</v>
      </c>
      <c r="CQ132" s="6"/>
      <c r="CR132" s="6"/>
      <c r="CS132" s="113"/>
      <c r="CT132" s="113"/>
      <c r="CU132" s="113"/>
      <c r="CV132" s="113" t="s">
        <v>333</v>
      </c>
      <c r="CW132" s="6" t="s">
        <v>325</v>
      </c>
      <c r="DU132" s="4"/>
      <c r="DV132" s="4"/>
      <c r="DW132" s="139" t="s">
        <v>637</v>
      </c>
      <c r="DX132" s="103">
        <f>EM126/(CW126+CW206+CA42)</f>
        <v>0.99300939590335358</v>
      </c>
      <c r="DY132" s="4"/>
      <c r="DZ132" s="351"/>
      <c r="EA132" s="1" t="s">
        <v>123</v>
      </c>
      <c r="EB132" s="178">
        <f>CV126</f>
        <v>111.00813284002646</v>
      </c>
      <c r="EC132" s="178">
        <f t="shared" si="46"/>
        <v>8.4750951023904092E-2</v>
      </c>
      <c r="ED132" s="167">
        <f>MW_CaO</f>
        <v>5.6077400000000006E-2</v>
      </c>
      <c r="EE132" s="167">
        <f>EB132/ED132</f>
        <v>1979.5520626852608</v>
      </c>
      <c r="EF132" s="167">
        <f>h_CaO</f>
        <v>-11321.85158370395</v>
      </c>
      <c r="EG132" s="167">
        <f>b_ch_CaO</f>
        <v>122.25799999999992</v>
      </c>
      <c r="EH132" s="167">
        <f>EE132/$EE$134</f>
        <v>7.6052924246496442E-2</v>
      </c>
      <c r="EI132" s="179">
        <f t="shared" si="47"/>
        <v>-2.5763258093856205</v>
      </c>
      <c r="EJ132" s="179">
        <f>RT0*EI132</f>
        <v>-5.8507563046472342</v>
      </c>
      <c r="EK132" s="179">
        <f t="shared" si="48"/>
        <v>116.40724369535269</v>
      </c>
      <c r="EL132" s="179">
        <f t="shared" si="49"/>
        <v>8.8531112865061079</v>
      </c>
      <c r="EM132" s="179">
        <f>$EE$134*EL132</f>
        <v>230434.19936864119</v>
      </c>
      <c r="EP132" s="4"/>
      <c r="EQ132" s="4"/>
      <c r="ER132" s="139" t="s">
        <v>637</v>
      </c>
      <c r="ES132" s="103">
        <f>SUM(FM104,FM126,FM141)/SUM(EU117,EM101,EM114,EM126,EM140,EM152)</f>
        <v>0.33030596672893314</v>
      </c>
      <c r="FA132" s="1"/>
      <c r="FB132" s="1" t="s">
        <v>89</v>
      </c>
      <c r="FC132" s="1"/>
      <c r="FD132" s="3" t="s">
        <v>91</v>
      </c>
      <c r="FE132" s="3" t="s">
        <v>87</v>
      </c>
      <c r="FF132" s="1" t="s">
        <v>666</v>
      </c>
      <c r="FG132" s="4"/>
      <c r="FH132" s="4"/>
      <c r="FL132" s="3" t="s">
        <v>96</v>
      </c>
      <c r="FM132" s="1" t="s">
        <v>93</v>
      </c>
    </row>
    <row r="133" spans="2:171" ht="19" thickBot="1" x14ac:dyDescent="0.3">
      <c r="J133" s="6"/>
      <c r="K133" s="6" t="s">
        <v>324</v>
      </c>
      <c r="L133" s="6"/>
      <c r="M133" s="113" t="s">
        <v>331</v>
      </c>
      <c r="N133" s="113" t="s">
        <v>332</v>
      </c>
      <c r="O133" s="1" t="s">
        <v>666</v>
      </c>
      <c r="P133" s="6"/>
      <c r="Q133" s="6"/>
      <c r="R133" s="113"/>
      <c r="S133" s="113"/>
      <c r="T133" s="113"/>
      <c r="U133" s="113" t="s">
        <v>333</v>
      </c>
      <c r="V133" s="6" t="s">
        <v>325</v>
      </c>
      <c r="W133" s="6"/>
      <c r="X133" s="6"/>
      <c r="Y133" s="6"/>
      <c r="Z133" s="6"/>
      <c r="AA133" s="6"/>
      <c r="AB133" s="6"/>
      <c r="AC133" s="6"/>
      <c r="AD133" s="6"/>
      <c r="AE133" s="6" t="s">
        <v>324</v>
      </c>
      <c r="AF133" s="6"/>
      <c r="AG133" s="113" t="s">
        <v>331</v>
      </c>
      <c r="AH133" s="113" t="s">
        <v>332</v>
      </c>
      <c r="AI133" s="1" t="s">
        <v>666</v>
      </c>
      <c r="AJ133" s="6"/>
      <c r="AK133" s="6"/>
      <c r="AL133" s="113"/>
      <c r="AM133" s="113"/>
      <c r="AN133" s="113"/>
      <c r="AO133" s="113" t="s">
        <v>333</v>
      </c>
      <c r="AP133" s="6" t="s">
        <v>325</v>
      </c>
      <c r="AQ133" s="6"/>
      <c r="AR133" s="6"/>
      <c r="AS133" s="4"/>
      <c r="AT133" s="6"/>
      <c r="AU133" s="6"/>
      <c r="AV133" s="6"/>
      <c r="AW133" s="6"/>
      <c r="AX133" s="6" t="s">
        <v>324</v>
      </c>
      <c r="AY133" s="6"/>
      <c r="AZ133" s="113" t="s">
        <v>331</v>
      </c>
      <c r="BA133" s="113" t="s">
        <v>332</v>
      </c>
      <c r="BB133" s="1" t="s">
        <v>666</v>
      </c>
      <c r="BC133" s="6"/>
      <c r="BD133" s="6"/>
      <c r="BE133" s="113"/>
      <c r="BF133" s="113"/>
      <c r="BG133" s="113"/>
      <c r="BH133" s="113" t="s">
        <v>333</v>
      </c>
      <c r="BI133" s="6" t="s">
        <v>325</v>
      </c>
      <c r="BJ133" s="6"/>
      <c r="BK133" s="6"/>
      <c r="BL133" s="4"/>
      <c r="BM133" s="6"/>
      <c r="BN133" s="6"/>
      <c r="BO133" s="6"/>
      <c r="BP133" s="6"/>
      <c r="BQ133" s="6" t="s">
        <v>324</v>
      </c>
      <c r="BR133" s="6"/>
      <c r="BS133" s="113" t="s">
        <v>331</v>
      </c>
      <c r="BT133" s="113" t="s">
        <v>332</v>
      </c>
      <c r="BU133" s="1" t="s">
        <v>666</v>
      </c>
      <c r="BV133" s="6"/>
      <c r="BW133" s="6"/>
      <c r="BX133" s="113"/>
      <c r="BY133" s="113"/>
      <c r="BZ133" s="113"/>
      <c r="CA133" s="113" t="s">
        <v>333</v>
      </c>
      <c r="CB133" s="6" t="s">
        <v>325</v>
      </c>
      <c r="CC133" s="113"/>
      <c r="CD133" s="113"/>
      <c r="CF133" s="113"/>
      <c r="CG133" s="113"/>
      <c r="CH133" s="113"/>
      <c r="CI133" s="113"/>
      <c r="CJ133" s="113"/>
      <c r="CK133" s="113"/>
      <c r="CL133" s="113"/>
      <c r="CM133" s="113"/>
      <c r="CN133" s="113"/>
      <c r="CO133" s="113"/>
      <c r="CP133" s="113"/>
      <c r="CQ133" s="113"/>
      <c r="CR133" s="113"/>
      <c r="CS133" s="113"/>
      <c r="CT133" s="113"/>
      <c r="CU133" s="113"/>
      <c r="CV133" s="113"/>
      <c r="CW133" s="113"/>
      <c r="DW133" s="140" t="s">
        <v>406</v>
      </c>
      <c r="DX133" s="99">
        <f>EM130/(CW126+CW206+CA42)</f>
        <v>1.0717776463170951E-2</v>
      </c>
      <c r="DY133" s="4"/>
      <c r="DZ133" s="351"/>
      <c r="EA133" s="1" t="s">
        <v>18</v>
      </c>
      <c r="EB133" s="178">
        <f>Coking_BF_in</f>
        <v>198.80764502323905</v>
      </c>
      <c r="EC133" s="178">
        <f t="shared" si="46"/>
        <v>0.15178290594999461</v>
      </c>
      <c r="ED133" s="167">
        <f>MW_C</f>
        <v>1.2010999999999999E-2</v>
      </c>
      <c r="EE133" s="167">
        <f>EB133/ED133</f>
        <v>16552.130965218472</v>
      </c>
      <c r="EF133" s="167">
        <f>h_C</f>
        <v>0</v>
      </c>
      <c r="EG133" s="167">
        <f>b_ch_C</f>
        <v>410.3</v>
      </c>
      <c r="EH133" s="167">
        <f>EE133/$EE$134</f>
        <v>0.63592061363025532</v>
      </c>
      <c r="EI133" s="179">
        <f t="shared" si="47"/>
        <v>-0.45268154476892275</v>
      </c>
      <c r="EJ133" s="179">
        <f>RT0*EI133</f>
        <v>-1.0280258003104901</v>
      </c>
      <c r="EK133" s="179">
        <f t="shared" si="48"/>
        <v>409.27197419968951</v>
      </c>
      <c r="EL133" s="179">
        <f t="shared" si="49"/>
        <v>260.26448497473257</v>
      </c>
      <c r="EM133" s="179">
        <f>$EE$134*EL133</f>
        <v>6774323.3173467768</v>
      </c>
      <c r="ER133" s="140" t="s">
        <v>406</v>
      </c>
      <c r="ES133" s="99">
        <f>FM130/SUM(EU117,EM152,EM140,EM126,EM114,EM101)</f>
        <v>0.2948122246878026</v>
      </c>
      <c r="EZ133" s="4"/>
      <c r="FA133" s="1"/>
      <c r="FB133" s="1"/>
      <c r="FE133" s="4"/>
      <c r="FF133" s="4"/>
      <c r="FG133" s="4"/>
      <c r="FL133" s="1"/>
    </row>
    <row r="134" spans="2:171" ht="16" x14ac:dyDescent="0.2"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3" t="s">
        <v>2</v>
      </c>
      <c r="AS134" s="3" t="s">
        <v>3</v>
      </c>
      <c r="AT134" s="132" t="s">
        <v>585</v>
      </c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3" t="s">
        <v>2</v>
      </c>
      <c r="BL134" s="3" t="s">
        <v>3</v>
      </c>
      <c r="BM134" s="132" t="s">
        <v>585</v>
      </c>
      <c r="BN134" s="4"/>
      <c r="BO134" s="4"/>
      <c r="BP134" s="4"/>
      <c r="BQ134" s="4"/>
      <c r="BR134" s="4"/>
      <c r="BS134" s="4"/>
      <c r="BW134" s="4"/>
      <c r="BX134" s="4"/>
      <c r="CB134" s="113"/>
      <c r="DT134" s="4"/>
      <c r="DU134" s="4"/>
      <c r="DV134" s="4"/>
      <c r="DW134" s="4"/>
      <c r="DX134" s="4"/>
      <c r="DY134" s="4"/>
      <c r="EA134" s="8" t="s">
        <v>19</v>
      </c>
      <c r="EB134" s="175">
        <f>SUM(EB130:EB133)</f>
        <v>1309.8157778632656</v>
      </c>
      <c r="EC134" s="175"/>
      <c r="ED134" s="176">
        <f>SUM(ED130:ED133)</f>
        <v>0.28786090000000003</v>
      </c>
      <c r="EE134" s="176">
        <f>SUM(EE130:EE133)</f>
        <v>26028.612078995153</v>
      </c>
      <c r="EF134" s="17" cm="1">
        <f t="array" ref="EF134">SUM(EB130:EB133*EF130:EF133) / EB134</f>
        <v>-5807.700525901595</v>
      </c>
      <c r="EG134" s="176"/>
      <c r="EH134" s="176">
        <f>SUM(EH130:EH133)</f>
        <v>1</v>
      </c>
      <c r="EI134" s="176"/>
      <c r="EJ134" s="176"/>
      <c r="EK134" s="176"/>
      <c r="EL134" s="176"/>
      <c r="EM134" s="176">
        <f>SUM(EM130:EM133)</f>
        <v>7072531.8830895294</v>
      </c>
      <c r="ES134" s="4"/>
      <c r="EZ134" s="4"/>
      <c r="FA134" s="1"/>
      <c r="FB134" s="1"/>
      <c r="FE134" s="4"/>
      <c r="FF134" s="4"/>
      <c r="FG134" s="4"/>
      <c r="FL134" s="1"/>
    </row>
    <row r="135" spans="2:171" ht="19" thickBot="1" x14ac:dyDescent="0.3">
      <c r="T135" s="4"/>
      <c r="U135" s="4"/>
      <c r="V135" s="4"/>
      <c r="W135" s="4"/>
      <c r="X135" s="4"/>
      <c r="Y135" s="3" t="s">
        <v>2</v>
      </c>
      <c r="Z135" s="3" t="s">
        <v>3</v>
      </c>
      <c r="AA135" s="132" t="s">
        <v>585</v>
      </c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1" t="s">
        <v>587</v>
      </c>
      <c r="AS135" s="1" t="s">
        <v>587</v>
      </c>
      <c r="AT135" s="1" t="s">
        <v>587</v>
      </c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1" t="s">
        <v>587</v>
      </c>
      <c r="BL135" s="1" t="s">
        <v>587</v>
      </c>
      <c r="BM135" s="1" t="s">
        <v>587</v>
      </c>
      <c r="BN135" s="4"/>
      <c r="BO135" s="4"/>
      <c r="BP135" s="4"/>
      <c r="BQ135" s="4"/>
      <c r="BR135" s="4"/>
      <c r="BS135" s="4"/>
      <c r="BW135" s="4"/>
      <c r="BX135" s="4"/>
      <c r="EB135" s="180" t="s">
        <v>89</v>
      </c>
      <c r="EC135" s="180"/>
      <c r="ED135" s="167" t="s">
        <v>91</v>
      </c>
      <c r="EE135" s="167" t="s">
        <v>87</v>
      </c>
      <c r="EF135" s="1" t="s">
        <v>666</v>
      </c>
      <c r="EG135" s="181"/>
      <c r="EH135" s="181"/>
      <c r="EI135" s="167"/>
      <c r="EJ135" s="167"/>
      <c r="EK135" s="167"/>
      <c r="EL135" s="167" t="s">
        <v>96</v>
      </c>
      <c r="EM135" s="179" t="s">
        <v>93</v>
      </c>
      <c r="ER135" s="4"/>
      <c r="EZ135" s="4"/>
      <c r="FA135" s="1"/>
      <c r="FB135" s="1"/>
      <c r="FE135" s="4"/>
      <c r="FF135" s="4"/>
      <c r="FG135" s="4"/>
      <c r="FL135" s="1"/>
    </row>
    <row r="136" spans="2:171" ht="18" x14ac:dyDescent="0.25">
      <c r="T136" s="4"/>
      <c r="U136" s="4"/>
      <c r="V136" s="4"/>
      <c r="W136" s="4"/>
      <c r="X136" s="4"/>
      <c r="Y136" s="1" t="s">
        <v>587</v>
      </c>
      <c r="Z136" s="1" t="s">
        <v>587</v>
      </c>
      <c r="AA136" s="1" t="s">
        <v>587</v>
      </c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 t="s">
        <v>60</v>
      </c>
      <c r="AR136" s="3" t="s">
        <v>586</v>
      </c>
      <c r="AS136" s="3" t="s">
        <v>586</v>
      </c>
      <c r="AT136" s="3" t="s">
        <v>586</v>
      </c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 t="s">
        <v>60</v>
      </c>
      <c r="BK136" s="3" t="s">
        <v>586</v>
      </c>
      <c r="BL136" s="3" t="s">
        <v>586</v>
      </c>
      <c r="BM136" s="3" t="s">
        <v>586</v>
      </c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CD136" s="4"/>
      <c r="CE136" s="3" t="s">
        <v>2</v>
      </c>
      <c r="CF136" s="3" t="s">
        <v>3</v>
      </c>
      <c r="CG136" s="132" t="s">
        <v>585</v>
      </c>
      <c r="CH136" s="1"/>
      <c r="CI136" s="1"/>
      <c r="CL136" s="4"/>
      <c r="CM136" s="4"/>
      <c r="CV136" s="63" t="s">
        <v>1</v>
      </c>
      <c r="CW136" s="58" t="s">
        <v>0</v>
      </c>
      <c r="EG136" s="178"/>
      <c r="EH136" s="167"/>
      <c r="EI136" s="167"/>
      <c r="EJ136" s="167"/>
      <c r="EK136" s="167"/>
      <c r="EL136" s="167"/>
      <c r="EM136" s="167"/>
      <c r="EN136" s="167"/>
      <c r="EO136" s="167"/>
      <c r="EP136" s="167"/>
      <c r="FC136" s="4"/>
      <c r="FD136" s="1"/>
      <c r="FE136" s="1"/>
      <c r="FF136" s="1"/>
      <c r="FI136" s="4"/>
      <c r="FJ136" s="4"/>
    </row>
    <row r="137" spans="2:171" ht="19" thickBot="1" x14ac:dyDescent="0.3">
      <c r="B137" s="346" t="s">
        <v>489</v>
      </c>
      <c r="C137" s="346"/>
      <c r="D137" s="346"/>
      <c r="E137" s="346"/>
      <c r="F137" s="346"/>
      <c r="G137" s="346"/>
      <c r="H137" s="346"/>
      <c r="T137" s="4"/>
      <c r="U137" s="4"/>
      <c r="V137" s="4"/>
      <c r="W137" s="4"/>
      <c r="X137" s="4" t="s">
        <v>60</v>
      </c>
      <c r="Y137" s="3" t="s">
        <v>586</v>
      </c>
      <c r="Z137" s="3" t="s">
        <v>586</v>
      </c>
      <c r="AA137" s="3" t="s">
        <v>586</v>
      </c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3" t="s">
        <v>31</v>
      </c>
      <c r="AR137" s="83">
        <f>AH130</f>
        <v>1979.5520626852608</v>
      </c>
      <c r="AS137" s="83">
        <f>BA130</f>
        <v>1979.5520626852608</v>
      </c>
      <c r="AT137" s="3">
        <f>AR137-AS137</f>
        <v>0</v>
      </c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3" t="s">
        <v>31</v>
      </c>
      <c r="BK137" s="83">
        <f>BA130</f>
        <v>1979.5520626852608</v>
      </c>
      <c r="BL137" s="83">
        <f>BT130</f>
        <v>1979.5520626852608</v>
      </c>
      <c r="BM137" s="3">
        <f>BK137-BL137</f>
        <v>0</v>
      </c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CD137" s="4"/>
      <c r="CE137" s="1" t="s">
        <v>587</v>
      </c>
      <c r="CF137" s="1" t="s">
        <v>587</v>
      </c>
      <c r="CG137" s="1" t="s">
        <v>587</v>
      </c>
      <c r="CH137" s="1"/>
      <c r="CI137" s="1"/>
      <c r="CL137" s="4"/>
      <c r="CM137" s="4"/>
      <c r="CV137" s="65" t="s">
        <v>89</v>
      </c>
      <c r="CW137" s="64" t="s">
        <v>93</v>
      </c>
      <c r="EB137" s="178"/>
      <c r="EC137" s="178"/>
      <c r="ED137" s="167"/>
      <c r="EE137" s="167"/>
      <c r="EF137" s="167"/>
      <c r="EG137" s="167"/>
      <c r="EH137" s="167"/>
      <c r="EI137" s="167"/>
      <c r="EJ137" s="167"/>
      <c r="EK137" s="167"/>
      <c r="EL137" s="167"/>
      <c r="EM137" s="167"/>
      <c r="EP137" s="4"/>
      <c r="EQ137" s="3" t="s">
        <v>2</v>
      </c>
      <c r="ER137" s="3" t="s">
        <v>3</v>
      </c>
      <c r="ES137" s="132" t="s">
        <v>585</v>
      </c>
      <c r="EZ137" s="4"/>
      <c r="FA137" s="1"/>
      <c r="FB137" s="1"/>
      <c r="FE137" s="4"/>
      <c r="FF137" s="4"/>
      <c r="FG137" s="4"/>
      <c r="FL137" s="1"/>
      <c r="FO137" s="1"/>
    </row>
    <row r="138" spans="2:171" ht="19" thickBot="1" x14ac:dyDescent="0.3">
      <c r="B138" s="347"/>
      <c r="C138" s="347"/>
      <c r="D138" s="347"/>
      <c r="E138" s="347"/>
      <c r="F138" s="347"/>
      <c r="G138" s="347"/>
      <c r="H138" s="347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63" t="s">
        <v>1</v>
      </c>
      <c r="V138" s="58" t="s">
        <v>0</v>
      </c>
      <c r="W138" s="4"/>
      <c r="X138" s="3" t="s">
        <v>31</v>
      </c>
      <c r="Y138" s="83">
        <f>N130</f>
        <v>1979.5520626852608</v>
      </c>
      <c r="Z138" s="83">
        <f>AH130</f>
        <v>1979.5520626852608</v>
      </c>
      <c r="AA138" s="3">
        <f>Y138-Z138</f>
        <v>0</v>
      </c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3" t="s">
        <v>18</v>
      </c>
      <c r="AR138" s="83">
        <f>AH130+AH131</f>
        <v>2103.2296895721047</v>
      </c>
      <c r="AS138" s="83">
        <f>BA130+BA131</f>
        <v>2103.2296895721047</v>
      </c>
      <c r="AT138" s="3">
        <f>AR138-AS138</f>
        <v>0</v>
      </c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3" t="s">
        <v>18</v>
      </c>
      <c r="BK138" s="83">
        <f>BA130+BA131</f>
        <v>2103.2296895721047</v>
      </c>
      <c r="BL138" s="83">
        <f>BT130+BT131</f>
        <v>2103.2296895721047</v>
      </c>
      <c r="BM138" s="3">
        <f>BK138-BL138</f>
        <v>0</v>
      </c>
      <c r="BN138" s="4"/>
      <c r="BO138" s="4"/>
      <c r="BZ138" s="159" t="s">
        <v>340</v>
      </c>
      <c r="CA138" s="157" t="s">
        <v>1</v>
      </c>
      <c r="CB138" s="58" t="s">
        <v>0</v>
      </c>
      <c r="CD138" s="4" t="s">
        <v>60</v>
      </c>
      <c r="CE138" s="3" t="s">
        <v>586</v>
      </c>
      <c r="CF138" s="3" t="s">
        <v>586</v>
      </c>
      <c r="CG138" s="3" t="s">
        <v>586</v>
      </c>
      <c r="CH138" s="1"/>
      <c r="CI138" s="1"/>
      <c r="CJ138" s="1"/>
      <c r="CK138" s="1"/>
      <c r="CL138" s="1"/>
      <c r="CO138" s="4"/>
      <c r="CP138" s="4"/>
      <c r="CQ138" s="4"/>
      <c r="CR138" s="3" t="s">
        <v>534</v>
      </c>
      <c r="CV138" s="50">
        <f>CL147</f>
        <v>22064.067709118775</v>
      </c>
      <c r="CW138" s="48">
        <f>CW147</f>
        <v>1133973033.3846123</v>
      </c>
      <c r="EB138" s="178"/>
      <c r="EC138" s="178"/>
      <c r="ED138" s="167"/>
      <c r="EE138" s="167"/>
      <c r="EF138" s="167"/>
      <c r="EG138" s="167"/>
      <c r="EH138" s="167"/>
      <c r="EI138" s="167"/>
      <c r="EJ138" s="167"/>
      <c r="EK138" s="167"/>
      <c r="EL138" s="182" t="s">
        <v>1</v>
      </c>
      <c r="EM138" s="183" t="s">
        <v>0</v>
      </c>
      <c r="EP138" s="4"/>
      <c r="EQ138" s="1" t="s">
        <v>587</v>
      </c>
      <c r="ER138" s="1" t="s">
        <v>587</v>
      </c>
      <c r="ES138" s="1" t="s">
        <v>587</v>
      </c>
      <c r="EZ138" s="1"/>
      <c r="FA138" s="1"/>
      <c r="FB138" s="1"/>
      <c r="FE138" s="4"/>
      <c r="FF138" s="4"/>
      <c r="FG138" s="4"/>
      <c r="FL138" s="1"/>
    </row>
    <row r="139" spans="2:171" ht="19" thickBot="1" x14ac:dyDescent="0.3">
      <c r="B139" s="15" t="s">
        <v>264</v>
      </c>
      <c r="C139" s="114" t="s">
        <v>263</v>
      </c>
      <c r="D139" s="114" t="s">
        <v>235</v>
      </c>
      <c r="E139" s="114" t="s">
        <v>235</v>
      </c>
      <c r="F139" s="114" t="s">
        <v>235</v>
      </c>
      <c r="G139" s="115" t="s">
        <v>322</v>
      </c>
      <c r="H139" s="114" t="s">
        <v>316</v>
      </c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65" t="s">
        <v>89</v>
      </c>
      <c r="V139" s="64" t="s">
        <v>93</v>
      </c>
      <c r="W139" s="4"/>
      <c r="X139" s="3" t="s">
        <v>18</v>
      </c>
      <c r="Y139" s="83">
        <f>N130+N131+(12*N144)+(8*N155)</f>
        <v>2103.6726491469517</v>
      </c>
      <c r="Z139" s="83">
        <f>AH130+AH131+AH146</f>
        <v>2103.6726491469517</v>
      </c>
      <c r="AA139" s="3">
        <f>Y139-Z139</f>
        <v>0</v>
      </c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3" t="s">
        <v>312</v>
      </c>
      <c r="AR139" s="83">
        <f>AH131</f>
        <v>123.6776268868441</v>
      </c>
      <c r="AS139" s="83">
        <f>BA131</f>
        <v>123.6776268868441</v>
      </c>
      <c r="AT139" s="3">
        <f t="shared" ref="AT139:AT140" si="52">AR139-AS139</f>
        <v>0</v>
      </c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3" t="s">
        <v>312</v>
      </c>
      <c r="BK139" s="83">
        <f>BA131</f>
        <v>123.6776268868441</v>
      </c>
      <c r="BL139" s="83">
        <f>BT131</f>
        <v>123.6776268868441</v>
      </c>
      <c r="BM139" s="3">
        <f t="shared" ref="BM139:BM140" si="53">BK139-BL139</f>
        <v>0</v>
      </c>
      <c r="BN139" s="4"/>
      <c r="BO139" s="4"/>
      <c r="BZ139" s="160" t="s">
        <v>63</v>
      </c>
      <c r="CA139" s="23" t="s">
        <v>89</v>
      </c>
      <c r="CB139" s="64" t="s">
        <v>93</v>
      </c>
      <c r="CD139" s="3" t="s">
        <v>31</v>
      </c>
      <c r="CE139" s="83">
        <f>BT130</f>
        <v>1979.5520626852608</v>
      </c>
      <c r="CF139" s="83">
        <f>CO130</f>
        <v>1979.5520626852608</v>
      </c>
      <c r="CG139" s="3">
        <f>CE139-CF139</f>
        <v>0</v>
      </c>
      <c r="CK139" s="1"/>
      <c r="CL139" s="1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EB139" s="178"/>
      <c r="EC139" s="178"/>
      <c r="ED139" s="167"/>
      <c r="EE139" s="167"/>
      <c r="EF139" s="167"/>
      <c r="EG139" s="167"/>
      <c r="EH139" s="167"/>
      <c r="EI139" s="167"/>
      <c r="EJ139" s="167"/>
      <c r="EK139" s="167"/>
      <c r="EL139" s="184" t="s">
        <v>89</v>
      </c>
      <c r="EM139" s="185" t="s">
        <v>93</v>
      </c>
      <c r="EP139" s="4" t="s">
        <v>60</v>
      </c>
      <c r="EQ139" s="3" t="s">
        <v>586</v>
      </c>
      <c r="ER139" s="3" t="s">
        <v>586</v>
      </c>
      <c r="ES139" s="3" t="s">
        <v>586</v>
      </c>
      <c r="EZ139" s="1"/>
      <c r="FA139" s="1"/>
      <c r="FB139" s="1"/>
      <c r="FE139" s="4"/>
      <c r="FF139" s="4"/>
      <c r="FG139" s="4"/>
      <c r="FL139" s="63" t="s">
        <v>1</v>
      </c>
      <c r="FM139" s="58" t="s">
        <v>0</v>
      </c>
    </row>
    <row r="140" spans="2:171" ht="19" thickBot="1" x14ac:dyDescent="0.3">
      <c r="B140" s="15" t="s">
        <v>98</v>
      </c>
      <c r="C140" s="15" t="s">
        <v>98</v>
      </c>
      <c r="D140" s="114" t="s">
        <v>328</v>
      </c>
      <c r="E140" s="114" t="s">
        <v>329</v>
      </c>
      <c r="F140" s="114" t="s">
        <v>48</v>
      </c>
      <c r="G140" s="115" t="s">
        <v>98</v>
      </c>
      <c r="H140" s="114" t="s">
        <v>48</v>
      </c>
      <c r="J140" s="4"/>
      <c r="K140" s="4"/>
      <c r="L140" s="4"/>
      <c r="M140" s="4"/>
      <c r="N140" s="4"/>
      <c r="O140" s="4"/>
      <c r="P140" s="4"/>
      <c r="Q140" s="204" t="s">
        <v>576</v>
      </c>
      <c r="R140" s="4"/>
      <c r="S140" s="4"/>
      <c r="T140" s="4"/>
      <c r="U140" s="50">
        <f>L145</f>
        <v>5.671161105764883E-3</v>
      </c>
      <c r="V140" s="48">
        <f>V145</f>
        <v>257.99399332425372</v>
      </c>
      <c r="W140" s="4"/>
      <c r="X140" s="3" t="s">
        <v>312</v>
      </c>
      <c r="Y140" s="83">
        <f>N131</f>
        <v>123.6776268868441</v>
      </c>
      <c r="Z140" s="83">
        <f>AH131</f>
        <v>123.6776268868441</v>
      </c>
      <c r="AA140" s="3">
        <f t="shared" ref="AA140:AA143" si="54">Y140-Z140</f>
        <v>0</v>
      </c>
      <c r="AB140" s="4"/>
      <c r="AE140" s="4"/>
      <c r="AF140" s="4"/>
      <c r="AO140" s="63" t="s">
        <v>1</v>
      </c>
      <c r="AP140" s="58" t="s">
        <v>0</v>
      </c>
      <c r="AQ140" s="3" t="s">
        <v>29</v>
      </c>
      <c r="AR140" s="83">
        <f>3*(AH130+AH131)</f>
        <v>6309.6890687163141</v>
      </c>
      <c r="AS140" s="83">
        <f>3*(BA130+BA131)</f>
        <v>6309.6890687163141</v>
      </c>
      <c r="AT140" s="3">
        <f t="shared" si="52"/>
        <v>0</v>
      </c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3" t="s">
        <v>29</v>
      </c>
      <c r="BK140" s="83">
        <f>3*(BA130+BA131)</f>
        <v>6309.6890687163141</v>
      </c>
      <c r="BL140" s="83">
        <f>3*(BT130+BT131)</f>
        <v>6309.6890687163141</v>
      </c>
      <c r="BM140" s="3">
        <f t="shared" si="53"/>
        <v>0</v>
      </c>
      <c r="BN140" s="4"/>
      <c r="BO140" s="4"/>
      <c r="BW140" s="3" t="s">
        <v>528</v>
      </c>
      <c r="BZ140" s="122">
        <v>298.14999999999998</v>
      </c>
      <c r="CA140" s="158">
        <f>BQ146</f>
        <v>1173.1885157382469</v>
      </c>
      <c r="CB140" s="48">
        <f>CB146</f>
        <v>9183.7711365934829</v>
      </c>
      <c r="CD140" s="3" t="s">
        <v>18</v>
      </c>
      <c r="CE140" s="83">
        <f>BT130+BT131+BT156</f>
        <v>1298533.3000383398</v>
      </c>
      <c r="CF140" s="83">
        <f>CO144+CO143</f>
        <v>1298533.3000383398</v>
      </c>
      <c r="CG140" s="3">
        <f>CE140-CF140</f>
        <v>0</v>
      </c>
      <c r="CK140" s="4"/>
      <c r="CL140" s="1" t="s">
        <v>558</v>
      </c>
      <c r="CM140" s="1" t="s">
        <v>559</v>
      </c>
      <c r="CN140" s="1" t="s">
        <v>561</v>
      </c>
      <c r="CO140" s="1" t="s">
        <v>85</v>
      </c>
      <c r="CP140" s="1" t="s">
        <v>665</v>
      </c>
      <c r="CQ140" s="1" t="s">
        <v>6</v>
      </c>
      <c r="CR140" s="1" t="s">
        <v>7</v>
      </c>
      <c r="CS140" s="1" t="s">
        <v>8</v>
      </c>
      <c r="CT140" s="1" t="s">
        <v>9</v>
      </c>
      <c r="CU140" s="1" t="s">
        <v>49</v>
      </c>
      <c r="CV140" s="1" t="s">
        <v>560</v>
      </c>
      <c r="CW140" s="1" t="s">
        <v>50</v>
      </c>
      <c r="EB140" s="178"/>
      <c r="EC140" s="178"/>
      <c r="ED140" s="167"/>
      <c r="EE140" s="167"/>
      <c r="EF140" s="167"/>
      <c r="EG140" s="167"/>
      <c r="EH140" s="167" t="s">
        <v>528</v>
      </c>
      <c r="EI140" s="167"/>
      <c r="EJ140" s="167"/>
      <c r="EK140" s="167"/>
      <c r="EL140" s="173">
        <f>EB146</f>
        <v>2870.841834451006</v>
      </c>
      <c r="EM140" s="174">
        <f>EM146</f>
        <v>23611.293462025522</v>
      </c>
      <c r="EP140" s="3" t="s">
        <v>16</v>
      </c>
      <c r="EQ140" s="83">
        <f>2*EE130</f>
        <v>11034.753976812313</v>
      </c>
      <c r="ER140" s="83">
        <f>FE130</f>
        <v>11034.753976812313</v>
      </c>
      <c r="ES140" s="3">
        <f>EQ140-ER140</f>
        <v>0</v>
      </c>
      <c r="EZ140" s="1"/>
      <c r="FA140" s="1"/>
      <c r="FB140" s="1"/>
      <c r="FE140" s="4"/>
      <c r="FF140" s="4"/>
      <c r="FG140" s="4"/>
      <c r="FL140" s="65" t="s">
        <v>89</v>
      </c>
      <c r="FM140" s="64" t="s">
        <v>93</v>
      </c>
    </row>
    <row r="141" spans="2:171" ht="19.25" customHeight="1" thickBot="1" x14ac:dyDescent="0.3">
      <c r="B141" s="15" t="s">
        <v>278</v>
      </c>
      <c r="C141" s="114" t="s">
        <v>270</v>
      </c>
      <c r="D141" s="15">
        <v>5570</v>
      </c>
      <c r="E141" s="114">
        <f t="shared" ref="E141:E148" si="55">D141*Btu_to_kJ</f>
        <v>5876.6842000000006</v>
      </c>
      <c r="F141" s="114">
        <f t="shared" ref="F141:F148" si="56">E141*($AE$131/1000)</f>
        <v>61.28077095942907</v>
      </c>
      <c r="G141" s="114">
        <v>1.06</v>
      </c>
      <c r="H141" s="114">
        <f t="shared" ref="H141:H148" si="57">F141*G141</f>
        <v>64.957617216994819</v>
      </c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3" t="s">
        <v>29</v>
      </c>
      <c r="Y141" s="83">
        <f>(3*(N130+N131))+(2*N167)</f>
        <v>6311.0055270044713</v>
      </c>
      <c r="Z141" s="83">
        <f>(3*(AH130+AH131))+(2*AH146)+AH147</f>
        <v>6311.0055270044704</v>
      </c>
      <c r="AA141" s="3">
        <f t="shared" si="54"/>
        <v>0</v>
      </c>
      <c r="AB141" s="4"/>
      <c r="AE141" s="4"/>
      <c r="AF141" s="4"/>
      <c r="AO141" s="65" t="s">
        <v>89</v>
      </c>
      <c r="AP141" s="64" t="s">
        <v>93</v>
      </c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CD141" s="3" t="s">
        <v>312</v>
      </c>
      <c r="CE141" s="83">
        <f>BT131</f>
        <v>123.6776268868441</v>
      </c>
      <c r="CF141" s="83">
        <f>CO118</f>
        <v>123.67762688684408</v>
      </c>
      <c r="CG141" s="3">
        <f t="shared" ref="CG141:CG144" si="58">CE141-CF141</f>
        <v>0</v>
      </c>
      <c r="CK141" s="4" t="s">
        <v>41</v>
      </c>
      <c r="CL141" s="1" t="s">
        <v>88</v>
      </c>
      <c r="CM141" s="4" t="s">
        <v>283</v>
      </c>
      <c r="CN141" s="2" t="s">
        <v>90</v>
      </c>
      <c r="CO141" s="2" t="s">
        <v>86</v>
      </c>
      <c r="CP141" s="1" t="s">
        <v>650</v>
      </c>
      <c r="CQ141" s="2" t="s">
        <v>95</v>
      </c>
      <c r="CR141" s="2" t="s">
        <v>25</v>
      </c>
      <c r="CS141" s="2" t="s">
        <v>98</v>
      </c>
      <c r="CT141" s="2" t="s">
        <v>95</v>
      </c>
      <c r="CU141" s="2" t="s">
        <v>95</v>
      </c>
      <c r="CV141" s="2" t="s">
        <v>94</v>
      </c>
      <c r="CW141" s="2" t="s">
        <v>92</v>
      </c>
      <c r="EB141" s="178"/>
      <c r="EC141" s="178"/>
      <c r="ED141" s="167"/>
      <c r="EE141" s="167"/>
      <c r="EF141" s="167"/>
      <c r="EG141" s="167"/>
      <c r="EH141" s="167"/>
      <c r="EI141" s="167"/>
      <c r="EJ141" s="167"/>
      <c r="EK141" s="167"/>
      <c r="EL141" s="167"/>
      <c r="EM141" s="167"/>
      <c r="EP141" s="3" t="s">
        <v>30</v>
      </c>
      <c r="EQ141" s="291">
        <f>EE131</f>
        <v>1979.5520626852608</v>
      </c>
      <c r="ER141" s="83">
        <f>FE108</f>
        <v>1979.552062685261</v>
      </c>
      <c r="ES141" s="3">
        <f t="shared" ref="ES141:ES146" si="59">EQ141-ER141</f>
        <v>0</v>
      </c>
      <c r="EZ141" s="1"/>
      <c r="FA141" s="1"/>
      <c r="FB141" s="1"/>
      <c r="FE141" s="4"/>
      <c r="FF141" s="4"/>
      <c r="FG141" s="4" t="s">
        <v>556</v>
      </c>
      <c r="FL141" s="50">
        <f>FB148</f>
        <v>3432.8541806261665</v>
      </c>
      <c r="FM141" s="48">
        <f>FM148</f>
        <v>432711.9695416363</v>
      </c>
    </row>
    <row r="142" spans="2:171" ht="19" thickBot="1" x14ac:dyDescent="0.3">
      <c r="B142" s="15" t="s">
        <v>278</v>
      </c>
      <c r="C142" s="15" t="s">
        <v>271</v>
      </c>
      <c r="D142" s="15">
        <v>5140</v>
      </c>
      <c r="E142" s="114">
        <f t="shared" si="55"/>
        <v>5423.0084000000006</v>
      </c>
      <c r="F142" s="114">
        <f t="shared" si="56"/>
        <v>56.549939449096122</v>
      </c>
      <c r="G142" s="114">
        <v>1.06</v>
      </c>
      <c r="H142" s="114">
        <f t="shared" si="57"/>
        <v>59.942935816041896</v>
      </c>
      <c r="J142" s="4"/>
      <c r="K142" s="3" t="s">
        <v>564</v>
      </c>
      <c r="L142" s="1" t="s">
        <v>558</v>
      </c>
      <c r="M142" s="1" t="s">
        <v>561</v>
      </c>
      <c r="N142" s="1" t="s">
        <v>85</v>
      </c>
      <c r="O142" s="1" t="s">
        <v>665</v>
      </c>
      <c r="P142" s="1" t="s">
        <v>6</v>
      </c>
      <c r="Q142" s="1" t="s">
        <v>7</v>
      </c>
      <c r="R142" s="1" t="s">
        <v>8</v>
      </c>
      <c r="S142" s="1" t="s">
        <v>9</v>
      </c>
      <c r="T142" s="1" t="s">
        <v>49</v>
      </c>
      <c r="U142" s="1" t="s">
        <v>560</v>
      </c>
      <c r="V142" s="1" t="s">
        <v>50</v>
      </c>
      <c r="W142" s="4"/>
      <c r="X142" s="4" t="s">
        <v>182</v>
      </c>
      <c r="Y142" s="286">
        <f>(23*N144)+(18*N155)</f>
        <v>0.86107827692526073</v>
      </c>
      <c r="Z142" s="286">
        <f>2*AH147</f>
        <v>0.86107827692526073</v>
      </c>
      <c r="AA142" s="3">
        <f t="shared" si="54"/>
        <v>0</v>
      </c>
      <c r="AB142" s="4"/>
      <c r="AC142" s="1"/>
      <c r="AD142" s="1"/>
      <c r="AE142" s="1"/>
      <c r="AH142" s="4"/>
      <c r="AI142" s="4"/>
      <c r="AJ142" s="4"/>
      <c r="AK142" s="3" t="s">
        <v>546</v>
      </c>
      <c r="AO142" s="50">
        <f>AE149</f>
        <v>9.658257192857822E-2</v>
      </c>
      <c r="AP142" s="48">
        <f>AP149</f>
        <v>7.2399197950896488</v>
      </c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346" t="s">
        <v>522</v>
      </c>
      <c r="BL142" s="346"/>
      <c r="BM142" s="346"/>
      <c r="BN142" s="346"/>
      <c r="BP142" s="4"/>
      <c r="BQ142" s="1" t="s">
        <v>558</v>
      </c>
      <c r="BR142" s="1" t="s">
        <v>559</v>
      </c>
      <c r="BS142" s="1" t="s">
        <v>561</v>
      </c>
      <c r="BT142" s="1" t="s">
        <v>85</v>
      </c>
      <c r="BU142" s="1" t="s">
        <v>665</v>
      </c>
      <c r="BV142" s="1" t="s">
        <v>6</v>
      </c>
      <c r="BW142" s="1" t="s">
        <v>7</v>
      </c>
      <c r="BX142" s="1" t="s">
        <v>8</v>
      </c>
      <c r="BY142" s="1" t="s">
        <v>9</v>
      </c>
      <c r="BZ142" s="1" t="s">
        <v>49</v>
      </c>
      <c r="CA142" s="1" t="s">
        <v>560</v>
      </c>
      <c r="CB142" s="1" t="s">
        <v>50</v>
      </c>
      <c r="CC142" s="1"/>
      <c r="CD142" s="3" t="s">
        <v>29</v>
      </c>
      <c r="CE142" s="83">
        <f>(3*BT130)+(3*BT131)+(2*BT144)</f>
        <v>23395.43751446082</v>
      </c>
      <c r="CF142" s="83">
        <f>CO118+CO130+(CO142)+(2*CO143)</f>
        <v>23395.43751446082</v>
      </c>
      <c r="CG142" s="3">
        <f t="shared" si="58"/>
        <v>0</v>
      </c>
      <c r="CJ142" s="348" t="s">
        <v>534</v>
      </c>
      <c r="CK142" s="3" t="s">
        <v>68</v>
      </c>
      <c r="CL142" s="8">
        <f>H2O_Kiln_Out</f>
        <v>307.80454225965212</v>
      </c>
      <c r="CM142" s="8">
        <f>CL142/CL147</f>
        <v>1.3950489380180824E-2</v>
      </c>
      <c r="CN142" s="1">
        <f>MW_H2O</f>
        <v>1.8015280000000002E-2</v>
      </c>
      <c r="CO142" s="1">
        <f>Kiln_CO2Waste/CN142</f>
        <v>17085.748445744506</v>
      </c>
      <c r="CP142" s="8">
        <f>h_H2O</f>
        <v>-13421.939597941302</v>
      </c>
      <c r="CQ142" s="1">
        <f>b_ch_H2O</f>
        <v>9.5113440000000082</v>
      </c>
      <c r="CR142" s="1">
        <f>CO142/$CO$147</f>
        <v>4.3547048958424133E-3</v>
      </c>
      <c r="CS142" s="1">
        <f>LN(CR142)</f>
        <v>-5.4364984331223285</v>
      </c>
      <c r="CT142" s="1">
        <f>RT0*CS142</f>
        <v>-12.346119953819224</v>
      </c>
      <c r="CU142" s="1">
        <f>CQ142+CT142</f>
        <v>-2.8347759538192161</v>
      </c>
      <c r="CV142" s="1">
        <f>CU142*CR142</f>
        <v>-1.2344612724712887E-2</v>
      </c>
      <c r="CW142" s="8">
        <f>$CO$147*CV142</f>
        <v>-48434.268847000567</v>
      </c>
      <c r="DV142" s="346" t="s">
        <v>522</v>
      </c>
      <c r="DW142" s="346"/>
      <c r="DX142" s="346"/>
      <c r="DY142" s="346"/>
      <c r="EA142" s="4"/>
      <c r="EB142" s="1" t="s">
        <v>558</v>
      </c>
      <c r="EC142" s="1" t="s">
        <v>559</v>
      </c>
      <c r="ED142" s="1" t="s">
        <v>561</v>
      </c>
      <c r="EE142" s="1" t="s">
        <v>85</v>
      </c>
      <c r="EF142" s="1" t="s">
        <v>665</v>
      </c>
      <c r="EG142" s="1" t="s">
        <v>6</v>
      </c>
      <c r="EH142" s="1" t="s">
        <v>7</v>
      </c>
      <c r="EI142" s="1" t="s">
        <v>8</v>
      </c>
      <c r="EJ142" s="1" t="s">
        <v>9</v>
      </c>
      <c r="EK142" s="1" t="s">
        <v>49</v>
      </c>
      <c r="EL142" s="1" t="s">
        <v>560</v>
      </c>
      <c r="EM142" s="1" t="s">
        <v>50</v>
      </c>
      <c r="EN142" s="1"/>
      <c r="EP142" s="3" t="s">
        <v>31</v>
      </c>
      <c r="EQ142" s="291">
        <f>EE132</f>
        <v>1979.5520626852608</v>
      </c>
      <c r="ER142" s="83">
        <f>FE108</f>
        <v>1979.552062685261</v>
      </c>
      <c r="ES142" s="3">
        <f t="shared" si="59"/>
        <v>0</v>
      </c>
      <c r="FA142" s="1"/>
      <c r="FB142" s="1"/>
      <c r="FC142" s="4"/>
      <c r="FD142" s="4"/>
      <c r="FE142" s="4"/>
      <c r="FF142" s="4"/>
      <c r="FG142" s="4"/>
      <c r="FH142" s="4"/>
      <c r="FI142" s="4"/>
      <c r="FJ142" s="4"/>
      <c r="FK142" s="4"/>
      <c r="FL142" s="4"/>
    </row>
    <row r="143" spans="2:171" ht="18" x14ac:dyDescent="0.25">
      <c r="B143" s="15" t="s">
        <v>278</v>
      </c>
      <c r="C143" s="15" t="s">
        <v>252</v>
      </c>
      <c r="D143" s="15">
        <f>3660+2040+1020+133</f>
        <v>6853</v>
      </c>
      <c r="E143" s="114">
        <f t="shared" si="55"/>
        <v>7230.3261800000009</v>
      </c>
      <c r="F143" s="114">
        <f t="shared" si="56"/>
        <v>75.396251954213184</v>
      </c>
      <c r="G143" s="114">
        <v>1.06</v>
      </c>
      <c r="H143" s="114">
        <f t="shared" si="57"/>
        <v>79.920027071465981</v>
      </c>
      <c r="J143" s="4" t="s">
        <v>41</v>
      </c>
      <c r="K143" s="3" t="s">
        <v>563</v>
      </c>
      <c r="L143" s="1" t="s">
        <v>88</v>
      </c>
      <c r="M143" s="1" t="s">
        <v>90</v>
      </c>
      <c r="N143" s="1" t="s">
        <v>86</v>
      </c>
      <c r="O143" s="1" t="s">
        <v>650</v>
      </c>
      <c r="P143" s="1" t="s">
        <v>650</v>
      </c>
      <c r="Q143" s="1" t="s">
        <v>25</v>
      </c>
      <c r="R143" s="1" t="s">
        <v>98</v>
      </c>
      <c r="S143" s="1" t="s">
        <v>95</v>
      </c>
      <c r="T143" s="1" t="s">
        <v>95</v>
      </c>
      <c r="U143" s="1" t="s">
        <v>94</v>
      </c>
      <c r="V143" s="1" t="s">
        <v>92</v>
      </c>
      <c r="W143" s="4"/>
      <c r="X143" s="4" t="s">
        <v>363</v>
      </c>
      <c r="Y143" s="286">
        <f>2*N168</f>
        <v>4.9498831634702833</v>
      </c>
      <c r="Z143" s="286">
        <f>2*AH148</f>
        <v>4.9498831634702833</v>
      </c>
      <c r="AA143" s="3">
        <f t="shared" si="54"/>
        <v>0</v>
      </c>
      <c r="AB143" s="4"/>
      <c r="AD143" s="1"/>
      <c r="AE143" s="1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346"/>
      <c r="BL143" s="346"/>
      <c r="BM143" s="346"/>
      <c r="BN143" s="346"/>
      <c r="BO143" s="4"/>
      <c r="BP143" s="4" t="s">
        <v>41</v>
      </c>
      <c r="BQ143" s="1" t="s">
        <v>88</v>
      </c>
      <c r="BR143" s="4" t="s">
        <v>283</v>
      </c>
      <c r="BS143" s="2" t="s">
        <v>90</v>
      </c>
      <c r="BT143" s="2" t="s">
        <v>86</v>
      </c>
      <c r="BU143" s="1" t="s">
        <v>650</v>
      </c>
      <c r="BV143" s="2" t="s">
        <v>95</v>
      </c>
      <c r="BW143" s="2" t="s">
        <v>25</v>
      </c>
      <c r="BX143" s="2" t="s">
        <v>98</v>
      </c>
      <c r="BY143" s="2" t="s">
        <v>95</v>
      </c>
      <c r="BZ143" s="2" t="s">
        <v>95</v>
      </c>
      <c r="CA143" s="2" t="s">
        <v>94</v>
      </c>
      <c r="CB143" s="2" t="s">
        <v>92</v>
      </c>
      <c r="CD143" s="3" t="s">
        <v>363</v>
      </c>
      <c r="CE143" s="83">
        <f>(2*BT145)</f>
        <v>64242.414155999337</v>
      </c>
      <c r="CF143" s="83">
        <f>(2*CO146)</f>
        <v>64242.414155999337</v>
      </c>
      <c r="CG143" s="3">
        <f t="shared" si="58"/>
        <v>0</v>
      </c>
      <c r="CJ143" s="348"/>
      <c r="CK143" s="3" t="s">
        <v>590</v>
      </c>
      <c r="CL143" s="289">
        <f>CO2_Kiln_Out</f>
        <v>92.56271799213043</v>
      </c>
      <c r="CM143" s="289">
        <f>CL143/CL144</f>
        <v>5.9443974043438524E-3</v>
      </c>
      <c r="CN143" s="289">
        <f>MW_CO2</f>
        <v>4.4009800000000002E-2</v>
      </c>
      <c r="CO143" s="289">
        <f>CL143/CN143</f>
        <v>2103.2296895721051</v>
      </c>
      <c r="CP143" s="289">
        <f>h_CO2</f>
        <v>-8941.1903712354979</v>
      </c>
      <c r="CQ143" s="289">
        <f>b_ch_CO2</f>
        <v>19.900000000000034</v>
      </c>
      <c r="CR143" s="1">
        <f>CO143/$CO$147</f>
        <v>5.3605756021428235E-4</v>
      </c>
      <c r="CS143" s="1">
        <f t="shared" ref="CS143:CS146" si="60">LN(CR143)</f>
        <v>-7.5312690141997178</v>
      </c>
      <c r="CT143" s="1">
        <f>RT0*CS143</f>
        <v>-17.10327921503502</v>
      </c>
      <c r="CU143" s="1">
        <f t="shared" ref="CU143:CU146" si="61">CQ143+CT143</f>
        <v>2.7967207849650144</v>
      </c>
      <c r="CV143" s="1">
        <f t="shared" ref="CV143:CV146" si="62">CU143*CR143</f>
        <v>1.4992033205889182E-3</v>
      </c>
      <c r="CW143" s="1">
        <f t="shared" ref="CW143:CW146" si="63">$CO$147*CV143</f>
        <v>5882.146188381822</v>
      </c>
      <c r="DV143" s="346"/>
      <c r="DW143" s="346"/>
      <c r="DX143" s="346"/>
      <c r="DY143" s="346"/>
      <c r="EA143" s="94" t="s">
        <v>41</v>
      </c>
      <c r="EB143" s="186" t="s">
        <v>88</v>
      </c>
      <c r="EC143" s="1" t="s">
        <v>562</v>
      </c>
      <c r="ED143" s="187" t="s">
        <v>90</v>
      </c>
      <c r="EE143" s="187" t="s">
        <v>86</v>
      </c>
      <c r="EF143" s="1" t="s">
        <v>650</v>
      </c>
      <c r="EG143" s="187" t="s">
        <v>95</v>
      </c>
      <c r="EH143" s="187" t="s">
        <v>25</v>
      </c>
      <c r="EI143" s="187" t="s">
        <v>98</v>
      </c>
      <c r="EJ143" s="187" t="s">
        <v>95</v>
      </c>
      <c r="EK143" s="187" t="s">
        <v>95</v>
      </c>
      <c r="EL143" s="187" t="s">
        <v>94</v>
      </c>
      <c r="EM143" s="187" t="s">
        <v>92</v>
      </c>
      <c r="EN143" s="1"/>
      <c r="EP143" s="3" t="s">
        <v>18</v>
      </c>
      <c r="EQ143" s="83">
        <f>EE133+EE157+EE118+(10*EE105)</f>
        <v>20857.392816592874</v>
      </c>
      <c r="ER143" s="83">
        <f>FE145</f>
        <v>20857.392816592877</v>
      </c>
      <c r="ES143" s="3">
        <f t="shared" si="59"/>
        <v>0</v>
      </c>
      <c r="FA143" s="1"/>
      <c r="FB143" s="1" t="s">
        <v>558</v>
      </c>
      <c r="FC143" s="1" t="s">
        <v>559</v>
      </c>
      <c r="FD143" s="1" t="s">
        <v>561</v>
      </c>
      <c r="FE143" s="1" t="s">
        <v>85</v>
      </c>
      <c r="FF143" s="1" t="s">
        <v>665</v>
      </c>
      <c r="FG143" s="1" t="s">
        <v>6</v>
      </c>
      <c r="FH143" s="1" t="s">
        <v>7</v>
      </c>
      <c r="FI143" s="1" t="s">
        <v>8</v>
      </c>
      <c r="FJ143" s="1" t="s">
        <v>9</v>
      </c>
      <c r="FK143" s="1" t="s">
        <v>49</v>
      </c>
      <c r="FL143" s="1" t="s">
        <v>560</v>
      </c>
      <c r="FM143" s="1" t="s">
        <v>50</v>
      </c>
    </row>
    <row r="144" spans="2:171" ht="18" customHeight="1" x14ac:dyDescent="0.25">
      <c r="B144" s="15" t="s">
        <v>278</v>
      </c>
      <c r="C144" s="15" t="s">
        <v>272</v>
      </c>
      <c r="D144" s="15">
        <f>3100</f>
        <v>3100</v>
      </c>
      <c r="E144" s="114">
        <f t="shared" si="55"/>
        <v>3270.6860000000001</v>
      </c>
      <c r="F144" s="114">
        <f t="shared" si="56"/>
        <v>34.105994609377035</v>
      </c>
      <c r="G144" s="114">
        <v>1.06</v>
      </c>
      <c r="H144" s="114">
        <f t="shared" si="57"/>
        <v>36.152354285939658</v>
      </c>
      <c r="I144" s="282" t="s">
        <v>576</v>
      </c>
      <c r="J144" s="62" t="s">
        <v>492</v>
      </c>
      <c r="K144" s="17">
        <f>F149</f>
        <v>241.59146310558401</v>
      </c>
      <c r="L144" s="17">
        <f>K144/LHV_Diesel</f>
        <v>5.671161105764883E-3</v>
      </c>
      <c r="M144" s="17">
        <f>MW_C12H23</f>
        <v>0.16731462</v>
      </c>
      <c r="N144" s="17">
        <f>L144/M144</f>
        <v>3.3895191620223523E-2</v>
      </c>
      <c r="O144" s="17">
        <f>LHV_Diesel</f>
        <v>42600</v>
      </c>
      <c r="P144" s="17">
        <f>b_ch_Diesel</f>
        <v>45492.270191724252</v>
      </c>
      <c r="Q144" s="17">
        <f>N144/N145</f>
        <v>1</v>
      </c>
      <c r="R144" s="17">
        <f>LN(Q144)</f>
        <v>0</v>
      </c>
      <c r="S144" s="17">
        <f>RT0*R144</f>
        <v>0</v>
      </c>
      <c r="T144" s="17">
        <f>S144+P144</f>
        <v>45492.270191724252</v>
      </c>
      <c r="U144" s="17">
        <f>Q144*T144</f>
        <v>45492.270191724252</v>
      </c>
      <c r="V144" s="17">
        <f>U144*L144</f>
        <v>257.99399332425372</v>
      </c>
      <c r="W144" s="4"/>
      <c r="X144" s="4"/>
      <c r="Y144" s="4"/>
      <c r="Z144" s="4"/>
      <c r="AA144" s="4"/>
      <c r="AB144" s="4"/>
      <c r="AD144" s="4"/>
      <c r="AE144" s="1" t="s">
        <v>558</v>
      </c>
      <c r="AF144" s="1" t="s">
        <v>559</v>
      </c>
      <c r="AG144" s="1" t="s">
        <v>561</v>
      </c>
      <c r="AH144" s="1" t="s">
        <v>85</v>
      </c>
      <c r="AI144" s="1" t="s">
        <v>665</v>
      </c>
      <c r="AJ144" s="1" t="s">
        <v>6</v>
      </c>
      <c r="AK144" s="1" t="s">
        <v>7</v>
      </c>
      <c r="AL144" s="1" t="s">
        <v>8</v>
      </c>
      <c r="AM144" s="1" t="s">
        <v>9</v>
      </c>
      <c r="AN144" s="1" t="s">
        <v>49</v>
      </c>
      <c r="AO144" s="1" t="s">
        <v>560</v>
      </c>
      <c r="AP144" s="1" t="s">
        <v>50</v>
      </c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348" t="s">
        <v>528</v>
      </c>
      <c r="BP144" s="8" t="s">
        <v>303</v>
      </c>
      <c r="BQ144" s="17">
        <f>O2_Kiln_in</f>
        <v>273.36172368284468</v>
      </c>
      <c r="BR144" s="17">
        <f>O2_Kiln_in/BQ146</f>
        <v>0.23300750051310179</v>
      </c>
      <c r="BS144" s="3">
        <f>MW_O2</f>
        <v>3.1998800000000001E-2</v>
      </c>
      <c r="BT144" s="3">
        <f>BQ144/BS144</f>
        <v>8542.8742228722531</v>
      </c>
      <c r="BU144" s="27">
        <f>h_O2</f>
        <v>0</v>
      </c>
      <c r="BV144" s="3">
        <f>b_ch_O2</f>
        <v>4</v>
      </c>
      <c r="BW144" s="3">
        <f>BT144/BT146</f>
        <v>0.21008403361344541</v>
      </c>
      <c r="BX144" s="1">
        <f>LN(BW144)</f>
        <v>-1.5602476682433284</v>
      </c>
      <c r="BY144" s="1">
        <f>RT0*BX144</f>
        <v>-3.5432742429276498</v>
      </c>
      <c r="BZ144" s="1">
        <f>BV144+BY144</f>
        <v>0.45672575707235019</v>
      </c>
      <c r="CA144" s="1">
        <f>BZ144*BW144</f>
        <v>9.5950789300913913E-2</v>
      </c>
      <c r="CB144" s="1">
        <f>BT146*CA144</f>
        <v>3901.7506970151949</v>
      </c>
      <c r="CD144" s="3" t="s">
        <v>182</v>
      </c>
      <c r="CE144" s="83">
        <f>(4*BT156)</f>
        <v>5185720.2813950712</v>
      </c>
      <c r="CF144" s="83">
        <f>(2*CO145)+(2*CO142)</f>
        <v>5185720.2813950712</v>
      </c>
      <c r="CG144" s="3">
        <f t="shared" si="58"/>
        <v>0</v>
      </c>
      <c r="CJ144" s="348"/>
      <c r="CK144" s="3" t="s">
        <v>18</v>
      </c>
      <c r="CL144" s="145">
        <f>C_Kiln_out</f>
        <v>15571.421574959049</v>
      </c>
      <c r="CM144" s="1">
        <f>CL144/$CL$147</f>
        <v>0.70573666561599591</v>
      </c>
      <c r="CN144" s="1">
        <f>MW_C</f>
        <v>1.2010999999999999E-2</v>
      </c>
      <c r="CO144" s="1">
        <f>CL144/CN144</f>
        <v>1296430.0703487678</v>
      </c>
      <c r="CP144" s="1">
        <f>h_C</f>
        <v>0</v>
      </c>
      <c r="CQ144" s="1">
        <f>b_ch_C</f>
        <v>410.3</v>
      </c>
      <c r="CR144" s="1">
        <f>CO144/$CO$147</f>
        <v>0.33042569907853397</v>
      </c>
      <c r="CS144" s="1">
        <f t="shared" si="60"/>
        <v>-1.1073734586454635</v>
      </c>
      <c r="CT144" s="1">
        <f>RT0*CS144</f>
        <v>-2.5148109067439752</v>
      </c>
      <c r="CU144" s="1">
        <f t="shared" si="61"/>
        <v>407.78518909325601</v>
      </c>
      <c r="CV144" s="1">
        <f t="shared" si="62"/>
        <v>134.74270618001128</v>
      </c>
      <c r="CW144" s="1">
        <f t="shared" si="63"/>
        <v>528664981.38335544</v>
      </c>
      <c r="DZ144" s="348" t="s">
        <v>528</v>
      </c>
      <c r="EA144" s="1" t="s">
        <v>303</v>
      </c>
      <c r="EB144" s="178">
        <f>O2_BF_in+O2_added_BF+((((EE118*O2_Naturalgas_molcoeff)+(EE105*O2_Oil_molcoeff)))*ED144)</f>
        <v>750.02828160126808</v>
      </c>
      <c r="EC144" s="175">
        <f>EB144/EB146</f>
        <v>0.26125726349696193</v>
      </c>
      <c r="ED144" s="261">
        <f>MW_O2</f>
        <v>3.1998800000000001E-2</v>
      </c>
      <c r="EE144" s="167">
        <f>EB144/ED144</f>
        <v>23439.262772393591</v>
      </c>
      <c r="EF144" s="27">
        <f>h_O2</f>
        <v>0</v>
      </c>
      <c r="EG144" s="167">
        <f>b_ch_O2</f>
        <v>4</v>
      </c>
      <c r="EH144" s="167">
        <f>EE144/$EE$146</f>
        <v>0.23641120950762273</v>
      </c>
      <c r="EI144" s="179">
        <f>LN(EH144)</f>
        <v>-1.4421825770294348</v>
      </c>
      <c r="EJ144" s="179">
        <f>RT0*EI144</f>
        <v>-3.2751520689922158</v>
      </c>
      <c r="EK144" s="179">
        <f>EG144+EJ144</f>
        <v>0.72484793100778422</v>
      </c>
      <c r="EL144" s="179">
        <f>EK144*EH144</f>
        <v>0.17136217607864815</v>
      </c>
      <c r="EM144" s="179">
        <f>$EE$146*EL144</f>
        <v>16989.901124917276</v>
      </c>
      <c r="EP144" s="3" t="s">
        <v>29</v>
      </c>
      <c r="EQ144" s="83">
        <f>(3*EE130)+(2*EE131)+EE132+(2*EE144)+(2*EE158)</f>
        <v>69478.553160568845</v>
      </c>
      <c r="ER144" s="83">
        <f>FE146+(2*FE145)+(3*FE108)</f>
        <v>69478.553160568845</v>
      </c>
      <c r="ES144" s="3">
        <f t="shared" si="59"/>
        <v>0</v>
      </c>
      <c r="FA144" s="2" t="s">
        <v>41</v>
      </c>
      <c r="FB144" s="1" t="s">
        <v>88</v>
      </c>
      <c r="FC144" s="1" t="s">
        <v>562</v>
      </c>
      <c r="FD144" s="1" t="s">
        <v>90</v>
      </c>
      <c r="FE144" s="1" t="s">
        <v>86</v>
      </c>
      <c r="FF144" s="1" t="s">
        <v>650</v>
      </c>
      <c r="FG144" s="1" t="s">
        <v>95</v>
      </c>
      <c r="FH144" s="1" t="s">
        <v>25</v>
      </c>
      <c r="FI144" s="1" t="s">
        <v>98</v>
      </c>
      <c r="FJ144" s="1" t="s">
        <v>95</v>
      </c>
      <c r="FK144" s="1" t="s">
        <v>95</v>
      </c>
      <c r="FL144" s="1" t="s">
        <v>94</v>
      </c>
      <c r="FM144" s="1" t="s">
        <v>92</v>
      </c>
    </row>
    <row r="145" spans="2:169" ht="18" x14ac:dyDescent="0.25">
      <c r="B145" s="15" t="s">
        <v>278</v>
      </c>
      <c r="C145" s="15" t="s">
        <v>273</v>
      </c>
      <c r="D145" s="15">
        <v>1060</v>
      </c>
      <c r="E145" s="114">
        <f t="shared" si="55"/>
        <v>1118.3636000000001</v>
      </c>
      <c r="F145" s="114">
        <f t="shared" si="56"/>
        <v>11.662049769657957</v>
      </c>
      <c r="G145" s="114">
        <v>1.06</v>
      </c>
      <c r="H145" s="114">
        <f t="shared" si="57"/>
        <v>12.361772755837434</v>
      </c>
      <c r="J145" s="17" t="s">
        <v>19</v>
      </c>
      <c r="K145" s="17">
        <f>SUM(K144)</f>
        <v>241.59146310558401</v>
      </c>
      <c r="L145" s="17">
        <f>SUM(L144)</f>
        <v>5.671161105764883E-3</v>
      </c>
      <c r="M145" s="17">
        <f>SUM(M144)</f>
        <v>0.16731462</v>
      </c>
      <c r="N145" s="17">
        <f>SUM(N144)</f>
        <v>3.3895191620223523E-2</v>
      </c>
      <c r="O145" s="17">
        <f>SUM(O144)</f>
        <v>42600</v>
      </c>
      <c r="P145" s="17"/>
      <c r="Q145" s="17"/>
      <c r="R145" s="17"/>
      <c r="S145" s="17"/>
      <c r="T145" s="17"/>
      <c r="U145" s="17">
        <f>SUM(U144)</f>
        <v>45492.270191724252</v>
      </c>
      <c r="V145" s="17">
        <f>SUM(V144)</f>
        <v>257.99399332425372</v>
      </c>
      <c r="W145" s="4"/>
      <c r="X145" s="4"/>
      <c r="Y145" s="4"/>
      <c r="Z145" s="4"/>
      <c r="AA145" s="4"/>
      <c r="AB145" s="4"/>
      <c r="AD145" s="4" t="s">
        <v>41</v>
      </c>
      <c r="AE145" s="1" t="s">
        <v>88</v>
      </c>
      <c r="AF145" s="4" t="s">
        <v>283</v>
      </c>
      <c r="AG145" s="2" t="s">
        <v>90</v>
      </c>
      <c r="AH145" s="2" t="s">
        <v>86</v>
      </c>
      <c r="AI145" s="1" t="s">
        <v>650</v>
      </c>
      <c r="AJ145" s="2" t="s">
        <v>95</v>
      </c>
      <c r="AK145" s="2" t="s">
        <v>25</v>
      </c>
      <c r="AL145" s="2" t="s">
        <v>98</v>
      </c>
      <c r="AM145" s="2" t="s">
        <v>95</v>
      </c>
      <c r="AN145" s="2" t="s">
        <v>95</v>
      </c>
      <c r="AO145" s="2" t="s">
        <v>94</v>
      </c>
      <c r="AP145" s="2" t="s">
        <v>92</v>
      </c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348"/>
      <c r="BP145" s="60" t="s">
        <v>67</v>
      </c>
      <c r="BQ145" s="28">
        <f>N2_Kiln_in</f>
        <v>899.82679205540217</v>
      </c>
      <c r="BR145" s="3">
        <f>N2_Kiln_in/BQ146</f>
        <v>0.76699249948689818</v>
      </c>
      <c r="BS145" s="28">
        <f>MW_N2</f>
        <v>2.801348E-2</v>
      </c>
      <c r="BT145" s="28">
        <f>BQ145/BS145</f>
        <v>32121.207077999668</v>
      </c>
      <c r="BU145" s="6">
        <f>h_N2</f>
        <v>0</v>
      </c>
      <c r="BV145" s="28">
        <f>b_ch_N2</f>
        <v>0.7</v>
      </c>
      <c r="BW145" s="28">
        <f>BT145/BT146</f>
        <v>0.78991596638655459</v>
      </c>
      <c r="BX145" s="2">
        <f>LN(BW145)</f>
        <v>-0.23582871084152554</v>
      </c>
      <c r="BY145" s="2">
        <f>RT0*BX145</f>
        <v>-0.53555971521393941</v>
      </c>
      <c r="BZ145" s="2">
        <f>BV145+BY145</f>
        <v>0.16444028478606054</v>
      </c>
      <c r="CA145" s="2">
        <f>BZ145*BW145</f>
        <v>0.12989400646966126</v>
      </c>
      <c r="CB145" s="2">
        <f>BT146*CA145</f>
        <v>5282.0204395782885</v>
      </c>
      <c r="CJ145" s="348"/>
      <c r="CK145" s="3" t="s">
        <v>66</v>
      </c>
      <c r="CL145" s="1">
        <f>H2_Kiln_Out</f>
        <v>5192.4520818525407</v>
      </c>
      <c r="CM145" s="1">
        <f>CL145/$CL$147</f>
        <v>0.23533521335717131</v>
      </c>
      <c r="CN145" s="6">
        <f>MW_H*2</f>
        <v>2.0158800000000003E-3</v>
      </c>
      <c r="CO145" s="1">
        <f>CL145/CN145</f>
        <v>2575774.392251791</v>
      </c>
      <c r="CP145" s="1">
        <f>h_H2</f>
        <v>0</v>
      </c>
      <c r="CQ145" s="6">
        <f>b_ch_H2</f>
        <v>236.1</v>
      </c>
      <c r="CR145" s="1">
        <f>CO145/$CO$147</f>
        <v>0.65649669326122551</v>
      </c>
      <c r="CS145" s="1">
        <f t="shared" si="60"/>
        <v>-0.42083762217318171</v>
      </c>
      <c r="CT145" s="1">
        <f>RT0*CS145</f>
        <v>-0.95570923607277047</v>
      </c>
      <c r="CU145" s="1">
        <f t="shared" si="61"/>
        <v>235.14429076392722</v>
      </c>
      <c r="CV145" s="1">
        <f t="shared" si="62"/>
        <v>154.37144932577434</v>
      </c>
      <c r="CW145" s="1">
        <f t="shared" si="63"/>
        <v>605678642.63393295</v>
      </c>
      <c r="DZ145" s="348"/>
      <c r="EA145" s="60" t="s">
        <v>67</v>
      </c>
      <c r="EB145" s="188">
        <f>N2_BF_out+N2_added_BF+(((EE105+N2_molcoeff)+(EE118*N2_molcoeff))*ED145)</f>
        <v>2120.8135528497378</v>
      </c>
      <c r="EC145" s="188">
        <f>EB145/EB146</f>
        <v>0.73874273650303801</v>
      </c>
      <c r="ED145" s="267">
        <f>MW_N2</f>
        <v>2.801348E-2</v>
      </c>
      <c r="EE145" s="189">
        <f>EB145/ED145</f>
        <v>75706.893711518089</v>
      </c>
      <c r="EF145" s="6">
        <f>h_N2</f>
        <v>0</v>
      </c>
      <c r="EG145" s="189">
        <f>b_ch_N2</f>
        <v>0.7</v>
      </c>
      <c r="EH145" s="189">
        <f>EE145/$EE$146</f>
        <v>0.76358879049237727</v>
      </c>
      <c r="EI145" s="187">
        <f>LN(EH145)</f>
        <v>-0.26972586705445795</v>
      </c>
      <c r="EJ145" s="187">
        <f>RT0*EI145</f>
        <v>-0.61253910955138202</v>
      </c>
      <c r="EK145" s="187">
        <f>EG145+EJ145</f>
        <v>8.7460890448617934E-2</v>
      </c>
      <c r="EL145" s="187">
        <f>EK145*EH145</f>
        <v>6.6784155553046481E-2</v>
      </c>
      <c r="EM145" s="187">
        <f>$EE$146*EL145</f>
        <v>6621.3923371082456</v>
      </c>
      <c r="EP145" s="3" t="s">
        <v>182</v>
      </c>
      <c r="EQ145" s="83">
        <f>(20*EE105)+(4*EE118)+(2*EE156)+(4*EE157)</f>
        <v>43650.222678654616</v>
      </c>
      <c r="ER145" s="83">
        <f>2*FE146</f>
        <v>43650.222678654616</v>
      </c>
      <c r="ES145" s="3">
        <f t="shared" si="59"/>
        <v>0</v>
      </c>
      <c r="EZ145" s="348" t="s">
        <v>556</v>
      </c>
      <c r="FA145" s="3" t="s">
        <v>23</v>
      </c>
      <c r="FB145" s="8">
        <f>CO2_BF_Out+CO2_out_BF+(((EE105*Co2_Oil_molcoef)+(EE118*Co2_Naturalgas_molcoeff))*FD145)</f>
        <v>917.9296863796892</v>
      </c>
      <c r="FC145" s="8">
        <f>BF_CO2Waste/$FB$148</f>
        <v>0.26739547853799461</v>
      </c>
      <c r="FD145" s="8">
        <f>MW_CO2</f>
        <v>4.4009800000000002E-2</v>
      </c>
      <c r="FE145" s="8">
        <f>FB145/FD145</f>
        <v>20857.392816592877</v>
      </c>
      <c r="FF145" s="8">
        <f>h_CO2</f>
        <v>-8941.1903712354979</v>
      </c>
      <c r="FG145" s="8">
        <f>b_ch_CO2</f>
        <v>19.900000000000034</v>
      </c>
      <c r="FH145" s="8">
        <f>FE145/$FE$148</f>
        <v>0.17612704078891273</v>
      </c>
      <c r="FI145" s="8">
        <f>LN(FH145)</f>
        <v>-1.7365497216683923</v>
      </c>
      <c r="FJ145" s="8">
        <f>RT0*FI145</f>
        <v>-3.9436507585225189</v>
      </c>
      <c r="FK145" s="8">
        <f>FG145+FJ145</f>
        <v>15.956349241477515</v>
      </c>
      <c r="FL145" s="8">
        <f>FK145*FH145</f>
        <v>2.810344573695847</v>
      </c>
      <c r="FM145" s="8">
        <f>$FE$148*FL145</f>
        <v>332807.84404824034</v>
      </c>
    </row>
    <row r="146" spans="2:169" ht="21" customHeight="1" x14ac:dyDescent="0.25">
      <c r="B146" s="15" t="s">
        <v>278</v>
      </c>
      <c r="C146" s="117" t="s">
        <v>274</v>
      </c>
      <c r="D146" s="15">
        <v>60</v>
      </c>
      <c r="E146" s="114">
        <f t="shared" si="55"/>
        <v>63.303600000000003</v>
      </c>
      <c r="F146" s="114">
        <f t="shared" si="56"/>
        <v>0.6601160246976201</v>
      </c>
      <c r="G146" s="114">
        <v>1.06</v>
      </c>
      <c r="H146" s="114">
        <f t="shared" si="57"/>
        <v>0.69972298617947737</v>
      </c>
      <c r="K146" s="3" t="s">
        <v>48</v>
      </c>
      <c r="L146" s="1" t="s">
        <v>89</v>
      </c>
      <c r="M146" s="3" t="s">
        <v>91</v>
      </c>
      <c r="N146" s="3" t="s">
        <v>87</v>
      </c>
      <c r="O146" s="1" t="s">
        <v>666</v>
      </c>
      <c r="P146" s="4"/>
      <c r="Q146" s="4"/>
      <c r="U146" s="3" t="s">
        <v>96</v>
      </c>
      <c r="V146" s="1" t="s">
        <v>93</v>
      </c>
      <c r="W146" s="4"/>
      <c r="X146" s="4"/>
      <c r="Y146" s="4"/>
      <c r="Z146" s="4"/>
      <c r="AA146" s="4"/>
      <c r="AB146" s="4"/>
      <c r="AC146" s="348" t="s">
        <v>500</v>
      </c>
      <c r="AD146" s="17" t="s">
        <v>23</v>
      </c>
      <c r="AE146" s="8">
        <f>AG146*AH146</f>
        <v>1.949456229710942E-2</v>
      </c>
      <c r="AF146" s="8">
        <f>AE146/AE149</f>
        <v>0.20184347867154998</v>
      </c>
      <c r="AG146" s="1">
        <f>MW_CO2</f>
        <v>4.4009800000000002E-2</v>
      </c>
      <c r="AH146" s="1">
        <f>(CO2_molcoeff*N144) + (CO2_Gasoline_molcoeff*N155)</f>
        <v>0.4429595748471799</v>
      </c>
      <c r="AI146" s="8">
        <f>h_CO2</f>
        <v>-8941.1903712354979</v>
      </c>
      <c r="AJ146" s="1">
        <f>b_ch_CO2</f>
        <v>19.900000000000034</v>
      </c>
      <c r="AK146" s="1">
        <f>AH146/AH149</f>
        <v>0.13228833003314258</v>
      </c>
      <c r="AL146" s="1">
        <f>LN(AK146)</f>
        <v>-2.0227714201180831</v>
      </c>
      <c r="AM146" s="1">
        <f>RT0*AL146</f>
        <v>-4.5936513914512851</v>
      </c>
      <c r="AN146" s="1">
        <f>AJ146+AM146</f>
        <v>15.306348608548749</v>
      </c>
      <c r="AO146" s="1">
        <f>AN146*AK146</f>
        <v>2.0248512963300298</v>
      </c>
      <c r="AP146" s="8">
        <f>AH149*AO146</f>
        <v>6.7800936721054788</v>
      </c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3" t="s">
        <v>19</v>
      </c>
      <c r="BQ146" s="3">
        <f>SUM(BQ144:BQ145)</f>
        <v>1173.1885157382469</v>
      </c>
      <c r="BR146" s="17"/>
      <c r="BS146" s="3">
        <f>SUM(BS144:BS145)</f>
        <v>6.0012280000000001E-2</v>
      </c>
      <c r="BT146" s="3">
        <f>SUM(BT144:BT145)</f>
        <v>40664.08130087192</v>
      </c>
      <c r="BU146" s="27">
        <f>SUM(BU144:BU145)</f>
        <v>0</v>
      </c>
      <c r="BW146" s="3">
        <f>SUM(BW144:BW145)</f>
        <v>1</v>
      </c>
      <c r="CA146" s="3">
        <f>SUM(CA144:CA145)</f>
        <v>0.22584479577057517</v>
      </c>
      <c r="CB146" s="3">
        <f>SUM(CB144:CB145)</f>
        <v>9183.7711365934829</v>
      </c>
      <c r="CK146" s="7" t="s">
        <v>67</v>
      </c>
      <c r="CL146" s="290">
        <f>N2_Kiln_in</f>
        <v>899.82679205540217</v>
      </c>
      <c r="CM146" s="1">
        <f>CL146/$CL$147</f>
        <v>4.0782452443413962E-2</v>
      </c>
      <c r="CN146" s="6">
        <f>MW_N2</f>
        <v>2.801348E-2</v>
      </c>
      <c r="CO146" s="1">
        <f>CL146/CN146</f>
        <v>32121.207077999668</v>
      </c>
      <c r="CP146" s="1">
        <f>h_N2</f>
        <v>0</v>
      </c>
      <c r="CQ146" s="6">
        <f>b_ch_N2</f>
        <v>0.7</v>
      </c>
      <c r="CR146" s="1">
        <f>CO146/$CO$147</f>
        <v>8.1868452041837375E-3</v>
      </c>
      <c r="CS146" s="1">
        <f t="shared" si="60"/>
        <v>-4.8052266562804711</v>
      </c>
      <c r="CT146" s="1">
        <f>RT0*CS146</f>
        <v>-10.91252125490927</v>
      </c>
      <c r="CU146" s="1">
        <f t="shared" si="61"/>
        <v>-10.212521254909271</v>
      </c>
      <c r="CV146" s="1">
        <f t="shared" si="62"/>
        <v>-8.3608330658378457E-2</v>
      </c>
      <c r="CW146" s="1">
        <f t="shared" si="63"/>
        <v>-328038.51001741376</v>
      </c>
      <c r="EA146" s="3" t="s">
        <v>19</v>
      </c>
      <c r="EB146" s="3">
        <f>SUM(EB144:EB145)</f>
        <v>2870.841834451006</v>
      </c>
      <c r="ED146" s="3">
        <f>SUM(ED144:ED145)</f>
        <v>6.0012280000000001E-2</v>
      </c>
      <c r="EE146" s="3">
        <f>SUM(EE144:EE145)</f>
        <v>99146.156483911676</v>
      </c>
      <c r="EF146" s="27">
        <f>SUM(EF144:EF145)</f>
        <v>0</v>
      </c>
      <c r="EL146" s="3">
        <f>SUM(EL144:EL145)</f>
        <v>0.23814633163169463</v>
      </c>
      <c r="EM146" s="3">
        <f>SUM(EM144:EM145)</f>
        <v>23611.293462025522</v>
      </c>
      <c r="EP146" s="3" t="s">
        <v>363</v>
      </c>
      <c r="EQ146" s="83">
        <f>(2*EE145)+(2*EE159)</f>
        <v>151479.85915618631</v>
      </c>
      <c r="ER146" s="83">
        <f>2*FE147</f>
        <v>151479.85915618628</v>
      </c>
      <c r="ES146" s="3">
        <f t="shared" si="59"/>
        <v>0</v>
      </c>
      <c r="EZ146" s="348"/>
      <c r="FA146" s="3" t="s">
        <v>455</v>
      </c>
      <c r="FB146" s="1">
        <f>H2O_out_BF+(((EE105*H2O_Oil_molcoeff)+(EE118*H2O_Naturalgas_molcoeff))*FD146)</f>
        <v>393.18549180915653</v>
      </c>
      <c r="FC146" s="1">
        <f>FB146/FB148</f>
        <v>0.11453603069660183</v>
      </c>
      <c r="FD146" s="1">
        <f>MW_H2O</f>
        <v>1.8015280000000002E-2</v>
      </c>
      <c r="FE146" s="1">
        <f>FB146/FD146</f>
        <v>21825.111339327308</v>
      </c>
      <c r="FF146" s="1">
        <f>h_H2O</f>
        <v>-13421.939597941302</v>
      </c>
      <c r="FG146" s="1">
        <f>b_ch_H2O</f>
        <v>9.5113440000000082</v>
      </c>
      <c r="FH146" s="1">
        <f>FE146/$FE$148</f>
        <v>0.18429879078780234</v>
      </c>
      <c r="FI146" s="1">
        <f>LN(FH146)</f>
        <v>-1.6911969754358471</v>
      </c>
      <c r="FJ146" s="1">
        <f>RT0*FI146</f>
        <v>-3.8406560732282675</v>
      </c>
      <c r="FK146" s="1">
        <f>FG146+FJ146</f>
        <v>5.6706879267717412</v>
      </c>
      <c r="FL146" s="1">
        <f>FK146*FH146</f>
        <v>1.0451009278390218</v>
      </c>
      <c r="FM146" s="1">
        <f>$FE$148*FL146</f>
        <v>123763.3953723724</v>
      </c>
    </row>
    <row r="147" spans="2:169" ht="18" x14ac:dyDescent="0.25">
      <c r="B147" s="15" t="s">
        <v>278</v>
      </c>
      <c r="C147" s="15" t="s">
        <v>275</v>
      </c>
      <c r="D147" s="114">
        <v>170</v>
      </c>
      <c r="E147" s="114">
        <f t="shared" si="55"/>
        <v>179.36020000000002</v>
      </c>
      <c r="F147" s="114">
        <f t="shared" si="56"/>
        <v>1.8703287366432571</v>
      </c>
      <c r="G147" s="114">
        <v>1.06</v>
      </c>
      <c r="H147" s="114">
        <f t="shared" si="57"/>
        <v>1.9825484608418527</v>
      </c>
      <c r="L147" s="1"/>
      <c r="P147" s="4"/>
      <c r="Q147" s="4"/>
      <c r="V147" s="1"/>
      <c r="W147" s="4"/>
      <c r="X147" s="4"/>
      <c r="Y147" s="4"/>
      <c r="Z147" s="4"/>
      <c r="AA147" s="4"/>
      <c r="AB147" s="4"/>
      <c r="AC147" s="348"/>
      <c r="AD147" s="3" t="s">
        <v>68</v>
      </c>
      <c r="AE147" s="1">
        <f>AG147*AH147</f>
        <v>7.7562831303630564E-3</v>
      </c>
      <c r="AF147" s="1">
        <f>AE147/AE149</f>
        <v>8.0307274650945767E-2</v>
      </c>
      <c r="AG147" s="6">
        <f>MW_H2O</f>
        <v>1.8015280000000002E-2</v>
      </c>
      <c r="AH147" s="1">
        <f>(H2O_molcoeff*N144)+(H2O_Gasoline_molcoeff*N155)</f>
        <v>0.43053913846263037</v>
      </c>
      <c r="AI147" s="1">
        <f>h_H2O</f>
        <v>-13421.939597941302</v>
      </c>
      <c r="AJ147" s="6">
        <f>b_ch_H2O</f>
        <v>9.5113440000000082</v>
      </c>
      <c r="AK147" s="1">
        <f>AH147/AH149</f>
        <v>0.12857901008411154</v>
      </c>
      <c r="AL147" s="1">
        <f t="shared" ref="AL147:AL148" si="64">LN(AK147)</f>
        <v>-2.0512116991307763</v>
      </c>
      <c r="AM147" s="1">
        <f>RT0*AL147</f>
        <v>-4.6582383862844896</v>
      </c>
      <c r="AN147" s="1">
        <f t="shared" ref="AN147:AN148" si="65">AJ147+AM147</f>
        <v>4.8531056137155186</v>
      </c>
      <c r="AO147" s="1">
        <f>AN147*AK147</f>
        <v>0.62400751564518597</v>
      </c>
      <c r="AP147" s="1">
        <f>AH149*AO147</f>
        <v>2.0894519097972339</v>
      </c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Q147" s="1" t="s">
        <v>89</v>
      </c>
      <c r="BS147" s="3" t="s">
        <v>91</v>
      </c>
      <c r="BT147" s="3" t="s">
        <v>87</v>
      </c>
      <c r="BU147" s="1" t="s">
        <v>666</v>
      </c>
      <c r="BV147" s="4"/>
      <c r="BW147" s="4"/>
      <c r="CA147" s="3" t="s">
        <v>96</v>
      </c>
      <c r="CB147" s="1" t="s">
        <v>93</v>
      </c>
      <c r="CK147" s="17" t="s">
        <v>19</v>
      </c>
      <c r="CL147" s="1">
        <f>SUM(CL142:CL146)</f>
        <v>22064.067709118775</v>
      </c>
      <c r="CM147" s="8">
        <f>SUM(CM142:CM146)</f>
        <v>1.0017492182011059</v>
      </c>
      <c r="CN147" s="8">
        <f>SUM(CN142:CN146)</f>
        <v>0.10406544000000001</v>
      </c>
      <c r="CO147" s="8">
        <f>SUM(CO142:CO146)</f>
        <v>3923514.6478138752</v>
      </c>
      <c r="CP147" s="17" cm="1">
        <f t="array" ref="CP147">SUM(CL142:CL146*CP142:CP146) / CL147</f>
        <v>-224.75252172010772</v>
      </c>
      <c r="CQ147" s="62"/>
      <c r="CR147" s="8">
        <f>SUM(CR142:CR146)</f>
        <v>1</v>
      </c>
      <c r="CS147" s="17"/>
      <c r="CT147" s="17"/>
      <c r="CU147" s="17"/>
      <c r="CV147" s="8">
        <f>SUM(CV142:CV146)</f>
        <v>289.01970176572314</v>
      </c>
      <c r="CW147" s="8">
        <f>SUM(CW142:CW146)</f>
        <v>1133973033.3846123</v>
      </c>
      <c r="EB147" s="1" t="s">
        <v>89</v>
      </c>
      <c r="EC147" s="1"/>
      <c r="ED147" s="3" t="s">
        <v>91</v>
      </c>
      <c r="EE147" s="3" t="s">
        <v>87</v>
      </c>
      <c r="EF147" s="1" t="s">
        <v>666</v>
      </c>
      <c r="EG147" s="4"/>
      <c r="EH147" s="4"/>
      <c r="EL147" s="3" t="s">
        <v>96</v>
      </c>
      <c r="EM147" s="1" t="s">
        <v>93</v>
      </c>
      <c r="EZ147" s="348"/>
      <c r="FA147" s="60" t="s">
        <v>67</v>
      </c>
      <c r="FB147" s="180">
        <f>EB145+EB159</f>
        <v>2121.7390024373208</v>
      </c>
      <c r="FC147" s="1">
        <f>FB147/FB148</f>
        <v>0.6180684907654036</v>
      </c>
      <c r="FD147" s="6">
        <f>MW_N2</f>
        <v>2.801348E-2</v>
      </c>
      <c r="FE147" s="6">
        <f>FB147/FD147</f>
        <v>75739.929578093142</v>
      </c>
      <c r="FF147" s="6">
        <f>h_N2</f>
        <v>0</v>
      </c>
      <c r="FG147" s="7">
        <f>b_ch_N2</f>
        <v>0.7</v>
      </c>
      <c r="FH147" s="1">
        <f>FE147/$FE$148</f>
        <v>0.63957416842328496</v>
      </c>
      <c r="FI147" s="1">
        <f>LN(FH147)</f>
        <v>-0.44695268591846055</v>
      </c>
      <c r="FJ147" s="1">
        <f>RT0*FI147</f>
        <v>-1.0150157388828289</v>
      </c>
      <c r="FK147" s="1">
        <f>FG147+FJ147</f>
        <v>-0.31501573888282897</v>
      </c>
      <c r="FL147" s="1">
        <f>FK147*FH147</f>
        <v>-0.201475929236232</v>
      </c>
      <c r="FM147" s="1">
        <f>$FE$148*FL147</f>
        <v>-23859.26987897644</v>
      </c>
    </row>
    <row r="148" spans="2:169" ht="19" thickBot="1" x14ac:dyDescent="0.3">
      <c r="B148" s="15" t="s">
        <v>278</v>
      </c>
      <c r="C148" s="114" t="s">
        <v>277</v>
      </c>
      <c r="D148" s="114">
        <v>6</v>
      </c>
      <c r="E148" s="114">
        <f t="shared" si="55"/>
        <v>6.3303600000000007</v>
      </c>
      <c r="F148" s="114">
        <f t="shared" si="56"/>
        <v>6.601160246976201E-2</v>
      </c>
      <c r="G148" s="114">
        <v>1.06</v>
      </c>
      <c r="H148" s="114">
        <f t="shared" si="57"/>
        <v>6.9972298617947737E-2</v>
      </c>
      <c r="L148" s="1"/>
      <c r="P148" s="4"/>
      <c r="Q148" s="4"/>
      <c r="V148" s="1"/>
      <c r="W148" s="4"/>
      <c r="X148" s="4"/>
      <c r="Y148" s="4"/>
      <c r="Z148" s="4"/>
      <c r="AA148" s="4"/>
      <c r="AB148" s="4"/>
      <c r="AC148" s="348"/>
      <c r="AD148" s="7" t="s">
        <v>67</v>
      </c>
      <c r="AE148" s="1">
        <f>AG148*AH148</f>
        <v>6.933172650110575E-2</v>
      </c>
      <c r="AF148" s="1">
        <f>AE148/AE149</f>
        <v>0.71784924667750427</v>
      </c>
      <c r="AG148" s="6">
        <f>MW_N2</f>
        <v>2.801348E-2</v>
      </c>
      <c r="AH148" s="1">
        <f>N168</f>
        <v>2.4749415817351417</v>
      </c>
      <c r="AI148" s="1">
        <f>h_N2</f>
        <v>0</v>
      </c>
      <c r="AJ148" s="6">
        <f>MW_N2</f>
        <v>2.801348E-2</v>
      </c>
      <c r="AK148" s="1">
        <f>AH148/AH149</f>
        <v>0.73913265988274579</v>
      </c>
      <c r="AL148" s="1">
        <f t="shared" si="64"/>
        <v>-0.30227786144786772</v>
      </c>
      <c r="AM148" s="1">
        <f>RT0*AL148</f>
        <v>-0.68646368296218885</v>
      </c>
      <c r="AN148" s="1">
        <f t="shared" si="65"/>
        <v>-0.65845020296218881</v>
      </c>
      <c r="AO148" s="1">
        <f t="shared" ref="AO148" si="66">AN148*AK148</f>
        <v>-0.48668204991577646</v>
      </c>
      <c r="AP148" s="1">
        <f>AH149*AO148</f>
        <v>-1.6296257868130646</v>
      </c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Z148" s="4"/>
      <c r="CA148" s="4"/>
      <c r="CL148" s="1" t="s">
        <v>89</v>
      </c>
      <c r="CM148" s="1"/>
      <c r="CN148" s="3" t="s">
        <v>91</v>
      </c>
      <c r="CO148" s="3" t="s">
        <v>87</v>
      </c>
      <c r="CP148" s="1" t="s">
        <v>666</v>
      </c>
      <c r="CQ148" s="4"/>
      <c r="CR148" s="4"/>
      <c r="CV148" s="3" t="s">
        <v>96</v>
      </c>
      <c r="CW148" s="1" t="s">
        <v>93</v>
      </c>
      <c r="EB148" s="1"/>
      <c r="EC148" s="1"/>
      <c r="EG148" s="4"/>
      <c r="EH148" s="4"/>
      <c r="EM148" s="1"/>
      <c r="FA148" s="1" t="s">
        <v>19</v>
      </c>
      <c r="FB148" s="27">
        <f>SUM(FB145:FB147)</f>
        <v>3432.8541806261665</v>
      </c>
      <c r="FC148" s="27"/>
      <c r="FD148" s="27">
        <f>SUM(FD145:FD147)</f>
        <v>9.0038560000000004E-2</v>
      </c>
      <c r="FE148" s="27">
        <f>SUM(FE145:FE147)</f>
        <v>118422.43373401332</v>
      </c>
      <c r="FF148" s="17" cm="1">
        <f t="array" ref="FF148">SUM(FB145:FB147*FF145:FF147) / FB148</f>
        <v>-3928.1295638135666</v>
      </c>
      <c r="FG148" s="27"/>
      <c r="FH148" s="27">
        <f>SUM(FH145:FH147)</f>
        <v>1</v>
      </c>
      <c r="FI148" s="27"/>
      <c r="FJ148" s="27"/>
      <c r="FK148" s="27"/>
      <c r="FL148" s="27">
        <f>SUM(FL145:FL147)</f>
        <v>3.6539695722986369</v>
      </c>
      <c r="FM148" s="27">
        <f>SUM(FM145:FM147)</f>
        <v>432711.9695416363</v>
      </c>
    </row>
    <row r="149" spans="2:169" ht="19" thickBot="1" x14ac:dyDescent="0.3">
      <c r="F149" s="3">
        <f>SUM(F141:F148)</f>
        <v>241.59146310558401</v>
      </c>
      <c r="H149" s="3">
        <f>SUM(H141:H148)</f>
        <v>256.086950891919</v>
      </c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63" t="s">
        <v>1</v>
      </c>
      <c r="V149" s="58" t="s">
        <v>0</v>
      </c>
      <c r="W149" s="4"/>
      <c r="X149" s="4"/>
      <c r="Y149" s="4"/>
      <c r="Z149" s="4"/>
      <c r="AA149" s="4"/>
      <c r="AB149" s="4"/>
      <c r="AC149" s="348"/>
      <c r="AD149" s="17" t="s">
        <v>19</v>
      </c>
      <c r="AE149" s="8">
        <f>SUM(AE146:AE148)</f>
        <v>9.658257192857822E-2</v>
      </c>
      <c r="AF149" s="8">
        <f>SUM(AF146:AF148)</f>
        <v>1</v>
      </c>
      <c r="AG149" s="8">
        <f>SUM(AG146:AG148)</f>
        <v>9.0038560000000004E-2</v>
      </c>
      <c r="AH149" s="8">
        <f>SUM(AH146:AH148)</f>
        <v>3.3484402950449521</v>
      </c>
      <c r="AI149" s="17" cm="1">
        <f t="array" ref="AI149">SUM(AE146:AE148*AI146:AI148) / AE149</f>
        <v>-2882.6003576350172</v>
      </c>
      <c r="AJ149" s="62"/>
      <c r="AK149" s="8">
        <f>SUM(AK146:AK148)</f>
        <v>0.99999999999999989</v>
      </c>
      <c r="AL149" s="17"/>
      <c r="AM149" s="17"/>
      <c r="AN149" s="17"/>
      <c r="AO149" s="8">
        <f>SUM(AO146:AO148)</f>
        <v>2.1621767620594392</v>
      </c>
      <c r="AP149" s="8">
        <f>SUM(AP146:AP148)</f>
        <v>7.2399197950896488</v>
      </c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Z149" s="4"/>
      <c r="CA149" s="4"/>
      <c r="FB149" s="1" t="s">
        <v>89</v>
      </c>
      <c r="FC149" s="1"/>
      <c r="FD149" s="3" t="s">
        <v>91</v>
      </c>
      <c r="FE149" s="3" t="s">
        <v>87</v>
      </c>
      <c r="FF149" s="1" t="s">
        <v>666</v>
      </c>
      <c r="FG149" s="4"/>
      <c r="FH149" s="4"/>
      <c r="FL149" s="3" t="s">
        <v>96</v>
      </c>
      <c r="FM149" s="1" t="s">
        <v>93</v>
      </c>
    </row>
    <row r="150" spans="2:169" ht="18" x14ac:dyDescent="0.25"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65" t="s">
        <v>89</v>
      </c>
      <c r="V150" s="64" t="s">
        <v>93</v>
      </c>
      <c r="W150" s="4"/>
      <c r="X150" s="4"/>
      <c r="Y150" s="4"/>
      <c r="Z150" s="4"/>
      <c r="AA150" s="4"/>
      <c r="AB150" s="4"/>
      <c r="AE150" s="1" t="s">
        <v>89</v>
      </c>
      <c r="AF150" s="1"/>
      <c r="AG150" s="3" t="s">
        <v>91</v>
      </c>
      <c r="AH150" s="3" t="s">
        <v>87</v>
      </c>
      <c r="AI150" s="1" t="s">
        <v>666</v>
      </c>
      <c r="AJ150" s="4"/>
      <c r="AK150" s="4"/>
      <c r="AO150" s="3" t="s">
        <v>96</v>
      </c>
      <c r="AP150" s="1" t="s">
        <v>93</v>
      </c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5"/>
      <c r="BZ150" s="159" t="s">
        <v>340</v>
      </c>
      <c r="CA150" s="157" t="s">
        <v>1</v>
      </c>
      <c r="CB150" s="58" t="s">
        <v>0</v>
      </c>
      <c r="EL150" s="182" t="s">
        <v>1</v>
      </c>
      <c r="EM150" s="183" t="s">
        <v>0</v>
      </c>
    </row>
    <row r="151" spans="2:169" ht="19" thickBot="1" x14ac:dyDescent="0.3">
      <c r="J151" s="4"/>
      <c r="K151" s="4"/>
      <c r="L151" s="4"/>
      <c r="M151" s="4"/>
      <c r="N151" s="4"/>
      <c r="O151" s="4"/>
      <c r="P151" s="4"/>
      <c r="Q151" s="204" t="s">
        <v>577</v>
      </c>
      <c r="R151" s="4"/>
      <c r="S151" s="4"/>
      <c r="T151" s="4"/>
      <c r="U151" s="50">
        <f>L156</f>
        <v>5.1714158616864253E-4</v>
      </c>
      <c r="V151" s="48">
        <f>V156</f>
        <v>24.076233417548465</v>
      </c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199"/>
      <c r="BJ151" s="199"/>
      <c r="BK151" s="199"/>
      <c r="BL151" s="199"/>
      <c r="BM151" s="4"/>
      <c r="BN151" s="4"/>
      <c r="BO151" s="4"/>
      <c r="BP151" s="45"/>
      <c r="BZ151" s="49" t="s">
        <v>63</v>
      </c>
      <c r="CA151" s="38" t="s">
        <v>11</v>
      </c>
      <c r="CB151" s="47" t="s">
        <v>48</v>
      </c>
      <c r="EL151" s="184" t="s">
        <v>89</v>
      </c>
      <c r="EM151" s="185" t="s">
        <v>93</v>
      </c>
    </row>
    <row r="152" spans="2:169" ht="17" thickBot="1" x14ac:dyDescent="0.25"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5"/>
      <c r="BW152" s="3" t="s">
        <v>477</v>
      </c>
      <c r="BZ152" s="122">
        <v>298.14999999999998</v>
      </c>
      <c r="CA152" s="69">
        <f>BR156</f>
        <v>20798.316475388398</v>
      </c>
      <c r="CB152" s="48">
        <f>CB156</f>
        <v>1078370532.5161049</v>
      </c>
      <c r="EH152" s="3" t="s">
        <v>676</v>
      </c>
      <c r="EL152" s="173">
        <f>EB160</f>
        <v>48.707873030693563</v>
      </c>
      <c r="EM152" s="174">
        <f>EM160</f>
        <v>4161190.674154886</v>
      </c>
    </row>
    <row r="153" spans="2:169" ht="19.25" customHeight="1" x14ac:dyDescent="0.25">
      <c r="B153" s="346" t="s">
        <v>490</v>
      </c>
      <c r="C153" s="346"/>
      <c r="D153" s="346"/>
      <c r="E153" s="346"/>
      <c r="F153" s="346"/>
      <c r="G153" s="346"/>
      <c r="H153" s="346"/>
      <c r="J153" s="4"/>
      <c r="K153" s="3" t="s">
        <v>564</v>
      </c>
      <c r="L153" s="1" t="s">
        <v>558</v>
      </c>
      <c r="M153" s="1" t="s">
        <v>561</v>
      </c>
      <c r="N153" s="1" t="s">
        <v>85</v>
      </c>
      <c r="O153" s="1" t="s">
        <v>665</v>
      </c>
      <c r="P153" s="1" t="s">
        <v>6</v>
      </c>
      <c r="Q153" s="1" t="s">
        <v>7</v>
      </c>
      <c r="R153" s="1" t="s">
        <v>8</v>
      </c>
      <c r="S153" s="1" t="s">
        <v>9</v>
      </c>
      <c r="T153" s="1" t="s">
        <v>49</v>
      </c>
      <c r="U153" s="1" t="s">
        <v>560</v>
      </c>
      <c r="V153" s="1" t="s">
        <v>50</v>
      </c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V153" s="1"/>
      <c r="BW153" s="1"/>
      <c r="BX153" s="1"/>
      <c r="BY153" s="1"/>
      <c r="BZ153" s="1"/>
      <c r="CA153" s="1"/>
      <c r="CB153" s="1"/>
    </row>
    <row r="154" spans="2:169" ht="18" x14ac:dyDescent="0.25">
      <c r="B154" s="347"/>
      <c r="C154" s="347"/>
      <c r="D154" s="347"/>
      <c r="E154" s="347"/>
      <c r="F154" s="347"/>
      <c r="G154" s="347"/>
      <c r="H154" s="347"/>
      <c r="J154" s="4" t="s">
        <v>41</v>
      </c>
      <c r="K154" s="3" t="s">
        <v>563</v>
      </c>
      <c r="L154" s="1" t="s">
        <v>88</v>
      </c>
      <c r="M154" s="1" t="s">
        <v>90</v>
      </c>
      <c r="N154" s="1" t="s">
        <v>86</v>
      </c>
      <c r="O154" s="1" t="s">
        <v>650</v>
      </c>
      <c r="P154" s="1" t="s">
        <v>650</v>
      </c>
      <c r="Q154" s="1" t="s">
        <v>25</v>
      </c>
      <c r="R154" s="1" t="s">
        <v>98</v>
      </c>
      <c r="S154" s="1" t="s">
        <v>95</v>
      </c>
      <c r="T154" s="1" t="s">
        <v>95</v>
      </c>
      <c r="U154" s="1" t="s">
        <v>94</v>
      </c>
      <c r="V154" s="1" t="s">
        <v>92</v>
      </c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346" t="s">
        <v>476</v>
      </c>
      <c r="BL154" s="346"/>
      <c r="BM154" s="346"/>
      <c r="BN154" s="346"/>
      <c r="BP154" s="4"/>
      <c r="BQ154" s="3" t="s">
        <v>564</v>
      </c>
      <c r="BR154" s="1" t="s">
        <v>558</v>
      </c>
      <c r="BS154" s="3" t="s">
        <v>5</v>
      </c>
      <c r="BT154" s="3" t="s">
        <v>363</v>
      </c>
      <c r="BU154" s="1" t="s">
        <v>665</v>
      </c>
      <c r="BV154" s="1" t="s">
        <v>132</v>
      </c>
      <c r="BW154" s="1" t="s">
        <v>129</v>
      </c>
      <c r="BX154" s="1" t="s">
        <v>8</v>
      </c>
      <c r="BY154" s="1" t="s">
        <v>133</v>
      </c>
      <c r="BZ154" s="1" t="s">
        <v>134</v>
      </c>
      <c r="CA154" s="1" t="s">
        <v>135</v>
      </c>
      <c r="CB154" s="1" t="s">
        <v>136</v>
      </c>
      <c r="CC154" s="1"/>
      <c r="EA154" s="25"/>
      <c r="EB154" s="1" t="s">
        <v>558</v>
      </c>
      <c r="EC154" s="1" t="s">
        <v>559</v>
      </c>
      <c r="ED154" s="1" t="s">
        <v>561</v>
      </c>
      <c r="EE154" s="1" t="s">
        <v>85</v>
      </c>
      <c r="EF154" s="1" t="s">
        <v>665</v>
      </c>
      <c r="EG154" s="1" t="s">
        <v>6</v>
      </c>
      <c r="EH154" s="1" t="s">
        <v>7</v>
      </c>
      <c r="EI154" s="1" t="s">
        <v>8</v>
      </c>
      <c r="EJ154" s="1" t="s">
        <v>9</v>
      </c>
      <c r="EK154" s="1" t="s">
        <v>49</v>
      </c>
      <c r="EL154" s="1" t="s">
        <v>560</v>
      </c>
      <c r="EM154" s="1" t="s">
        <v>50</v>
      </c>
      <c r="EN154" s="1"/>
    </row>
    <row r="155" spans="2:169" ht="18" x14ac:dyDescent="0.25">
      <c r="B155" s="15" t="s">
        <v>264</v>
      </c>
      <c r="C155" s="114" t="s">
        <v>263</v>
      </c>
      <c r="D155" s="114" t="s">
        <v>235</v>
      </c>
      <c r="E155" s="114" t="s">
        <v>235</v>
      </c>
      <c r="F155" s="114" t="s">
        <v>235</v>
      </c>
      <c r="G155" s="115" t="s">
        <v>322</v>
      </c>
      <c r="H155" s="114" t="s">
        <v>316</v>
      </c>
      <c r="I155" s="282" t="s">
        <v>577</v>
      </c>
      <c r="J155" s="62" t="s">
        <v>491</v>
      </c>
      <c r="K155" s="17">
        <f>F157</f>
        <v>22.443944839719084</v>
      </c>
      <c r="L155" s="17">
        <f>K155/LHV_Gasoline</f>
        <v>5.1714158616864253E-4</v>
      </c>
      <c r="M155" s="17">
        <f>MW_C8H18</f>
        <v>0.11423092</v>
      </c>
      <c r="N155" s="17">
        <f>L155/M155</f>
        <v>4.5271594255622081E-3</v>
      </c>
      <c r="O155" s="17">
        <f>h_C8H18</f>
        <v>-2189.4247196818515</v>
      </c>
      <c r="P155" s="17">
        <f>b_ch_Gasoline</f>
        <v>46556.366885754731</v>
      </c>
      <c r="Q155" s="17">
        <f>N155/N156</f>
        <v>1</v>
      </c>
      <c r="R155" s="17">
        <f>LN(Q155)</f>
        <v>0</v>
      </c>
      <c r="S155" s="17">
        <f>RT0*R155</f>
        <v>0</v>
      </c>
      <c r="T155" s="17">
        <f>S155+P155</f>
        <v>46556.366885754731</v>
      </c>
      <c r="U155" s="17">
        <f>Q155*T155</f>
        <v>46556.366885754731</v>
      </c>
      <c r="V155" s="17">
        <f>U155*L155</f>
        <v>24.076233417548465</v>
      </c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346"/>
      <c r="BL155" s="346"/>
      <c r="BM155" s="346"/>
      <c r="BN155" s="346"/>
      <c r="BP155" s="4"/>
      <c r="BQ155" s="3" t="s">
        <v>563</v>
      </c>
      <c r="BR155" s="1" t="s">
        <v>88</v>
      </c>
      <c r="BS155" s="1" t="s">
        <v>90</v>
      </c>
      <c r="BT155" s="2" t="s">
        <v>86</v>
      </c>
      <c r="BU155" s="1" t="s">
        <v>650</v>
      </c>
      <c r="BV155" s="2" t="s">
        <v>95</v>
      </c>
      <c r="BW155" s="2" t="s">
        <v>25</v>
      </c>
      <c r="BX155" s="1" t="s">
        <v>98</v>
      </c>
      <c r="BY155" s="2" t="s">
        <v>95</v>
      </c>
      <c r="BZ155" s="2" t="s">
        <v>95</v>
      </c>
      <c r="CA155" s="2" t="s">
        <v>94</v>
      </c>
      <c r="CB155" s="1" t="s">
        <v>92</v>
      </c>
      <c r="EA155" s="3" t="s">
        <v>41</v>
      </c>
      <c r="EB155" s="3" t="s">
        <v>11</v>
      </c>
      <c r="EC155" s="1" t="s">
        <v>562</v>
      </c>
      <c r="ED155" s="1" t="s">
        <v>84</v>
      </c>
      <c r="EE155" s="3" t="s">
        <v>42</v>
      </c>
      <c r="EF155" s="1" t="s">
        <v>650</v>
      </c>
      <c r="EG155" s="1" t="s">
        <v>95</v>
      </c>
      <c r="EH155" s="1" t="s">
        <v>25</v>
      </c>
      <c r="EI155" s="1" t="s">
        <v>98</v>
      </c>
      <c r="EJ155" s="1" t="s">
        <v>95</v>
      </c>
      <c r="EK155" s="1" t="s">
        <v>95</v>
      </c>
      <c r="EL155" s="1" t="s">
        <v>94</v>
      </c>
      <c r="EM155" s="1" t="s">
        <v>92</v>
      </c>
    </row>
    <row r="156" spans="2:169" ht="18" customHeight="1" x14ac:dyDescent="0.25">
      <c r="B156" s="15" t="s">
        <v>98</v>
      </c>
      <c r="C156" s="15" t="s">
        <v>98</v>
      </c>
      <c r="D156" s="114" t="s">
        <v>328</v>
      </c>
      <c r="E156" s="114" t="s">
        <v>329</v>
      </c>
      <c r="F156" s="114" t="s">
        <v>48</v>
      </c>
      <c r="G156" s="115" t="s">
        <v>98</v>
      </c>
      <c r="H156" s="114" t="s">
        <v>48</v>
      </c>
      <c r="J156" s="17" t="s">
        <v>19</v>
      </c>
      <c r="K156" s="17">
        <f>SUM(K155)</f>
        <v>22.443944839719084</v>
      </c>
      <c r="L156" s="17">
        <f>SUM(L155)</f>
        <v>5.1714158616864253E-4</v>
      </c>
      <c r="M156" s="17">
        <f>SUM(M155)</f>
        <v>0.11423092</v>
      </c>
      <c r="N156" s="17">
        <f>SUM(N155)</f>
        <v>4.5271594255622081E-3</v>
      </c>
      <c r="O156" s="17">
        <f>SUM(O155)</f>
        <v>-2189.4247196818515</v>
      </c>
      <c r="P156" s="17"/>
      <c r="Q156" s="17"/>
      <c r="R156" s="17"/>
      <c r="S156" s="17"/>
      <c r="T156" s="17"/>
      <c r="U156" s="17">
        <f>SUM(U155)</f>
        <v>46556.366885754731</v>
      </c>
      <c r="V156" s="17">
        <f>SUM(V155)</f>
        <v>24.076233417548465</v>
      </c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116" t="s">
        <v>321</v>
      </c>
      <c r="BN156" s="4"/>
      <c r="BO156" s="256" t="s">
        <v>477</v>
      </c>
      <c r="BP156" s="95" t="s">
        <v>65</v>
      </c>
      <c r="BQ156" s="95">
        <f>BR156*LHV_CH4</f>
        <v>1039915823.7694199</v>
      </c>
      <c r="BR156" s="42">
        <f>CH4_into_Kiln</f>
        <v>20798.316475388398</v>
      </c>
      <c r="BS156" s="33" cm="1">
        <f t="array" ref="BS156">MW_CH4</f>
        <v>1.604276E-2</v>
      </c>
      <c r="BT156" s="33">
        <f>BR156/BS156</f>
        <v>1296430.0703487678</v>
      </c>
      <c r="BU156" s="33">
        <f>h_CH4</f>
        <v>1.604276E-2</v>
      </c>
      <c r="BV156" s="42">
        <f>b_ch_CH4</f>
        <v>831.8</v>
      </c>
      <c r="BW156" s="33">
        <f>BT156/BT156</f>
        <v>1</v>
      </c>
      <c r="BX156" s="42">
        <f>LN(BW156)</f>
        <v>0</v>
      </c>
      <c r="BY156" s="42">
        <f>RT0*BX156</f>
        <v>0</v>
      </c>
      <c r="BZ156" s="42">
        <f>BV156+BY156</f>
        <v>831.8</v>
      </c>
      <c r="CA156" s="42">
        <f>BZ156*BW156</f>
        <v>831.8</v>
      </c>
      <c r="CB156" s="35">
        <f>BT156*CA156</f>
        <v>1078370532.5161049</v>
      </c>
      <c r="DZ156" s="352" t="s">
        <v>527</v>
      </c>
      <c r="EA156" s="17" t="s">
        <v>66</v>
      </c>
      <c r="EB156" s="17">
        <f>H2_to_BF</f>
        <v>27.342940664747548</v>
      </c>
      <c r="EC156" s="17">
        <f>EB156/$EB$160</f>
        <v>0.56136593456908346</v>
      </c>
      <c r="ED156" s="17">
        <f>MW_H*2</f>
        <v>2.0158800000000003E-3</v>
      </c>
      <c r="EE156" s="17">
        <f>EB156/ED156</f>
        <v>13563.773967075194</v>
      </c>
      <c r="EF156" s="17">
        <f>h_H2</f>
        <v>0</v>
      </c>
      <c r="EG156" s="17">
        <f>b_ch_H2</f>
        <v>236.1</v>
      </c>
      <c r="EH156" s="17">
        <f>EE156/$EE$160</f>
        <v>0.91544766952145862</v>
      </c>
      <c r="EI156" s="17">
        <f>LN(EH156)</f>
        <v>-8.8342077045854228E-2</v>
      </c>
      <c r="EJ156" s="17">
        <f>RT0*EI156</f>
        <v>-0.20062212720095421</v>
      </c>
      <c r="EK156" s="17">
        <f>EG156+EJ156</f>
        <v>235.89937787279905</v>
      </c>
      <c r="EL156" s="17">
        <f>EK156*EH156</f>
        <v>215.95353571521582</v>
      </c>
      <c r="EM156" s="17">
        <f>EL156*$EE$160</f>
        <v>3199685.8404403059</v>
      </c>
    </row>
    <row r="157" spans="2:169" ht="18" customHeight="1" x14ac:dyDescent="0.25">
      <c r="B157" s="15" t="s">
        <v>488</v>
      </c>
      <c r="C157" s="114" t="s">
        <v>276</v>
      </c>
      <c r="D157" s="114">
        <v>2040</v>
      </c>
      <c r="E157" s="114">
        <f>D157*Btu_to_kJ</f>
        <v>2152.3224</v>
      </c>
      <c r="F157" s="114">
        <f>E157*($AE$131/1000)</f>
        <v>22.443944839719084</v>
      </c>
      <c r="G157" s="114">
        <v>1.04</v>
      </c>
      <c r="H157" s="114">
        <f>F157*G157</f>
        <v>23.341702633307847</v>
      </c>
      <c r="K157" s="3" t="s">
        <v>48</v>
      </c>
      <c r="L157" s="1" t="s">
        <v>89</v>
      </c>
      <c r="M157" s="3" t="s">
        <v>91</v>
      </c>
      <c r="N157" s="3" t="s">
        <v>87</v>
      </c>
      <c r="O157" s="1" t="s">
        <v>666</v>
      </c>
      <c r="P157" s="4"/>
      <c r="Q157" s="4"/>
      <c r="U157" s="3" t="s">
        <v>96</v>
      </c>
      <c r="V157" s="1" t="s">
        <v>93</v>
      </c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6" t="s">
        <v>404</v>
      </c>
      <c r="BN157" s="4"/>
      <c r="BP157" s="1" t="s">
        <v>19</v>
      </c>
      <c r="BR157" s="1">
        <f>BR156</f>
        <v>20798.316475388398</v>
      </c>
      <c r="BS157" s="6">
        <f>BS156</f>
        <v>1.604276E-2</v>
      </c>
      <c r="BT157" s="6">
        <f>BT156</f>
        <v>1296430.0703487678</v>
      </c>
      <c r="BU157" s="6">
        <f>BU156</f>
        <v>1.604276E-2</v>
      </c>
      <c r="BV157" s="1"/>
      <c r="BW157" s="6"/>
      <c r="BX157" s="1"/>
      <c r="BY157" s="1"/>
      <c r="BZ157" s="1"/>
      <c r="CA157" s="1">
        <f>CA156</f>
        <v>831.8</v>
      </c>
      <c r="CB157" s="1">
        <f>BT157*CA157</f>
        <v>1078370532.5161049</v>
      </c>
      <c r="DZ157" s="352"/>
      <c r="EA157" s="3" t="s">
        <v>65</v>
      </c>
      <c r="EB157" s="3">
        <f>CH4_to_BF</f>
        <v>18.691700922521807</v>
      </c>
      <c r="EC157" s="3">
        <f t="shared" ref="EC157:EC159" si="67">EB157/$EB$160</f>
        <v>0.38375112193347299</v>
      </c>
      <c r="ED157" s="3">
        <f>MW_CH4</f>
        <v>1.604276E-2</v>
      </c>
      <c r="EE157" s="3">
        <f>EB157/ED157</f>
        <v>1165.1175310558663</v>
      </c>
      <c r="EF157" s="3">
        <f>h_CH4</f>
        <v>1.604276E-2</v>
      </c>
      <c r="EG157" s="3">
        <f>b_ch_CH4</f>
        <v>831.8</v>
      </c>
      <c r="EH157" s="3">
        <f>EE157/$EE$160</f>
        <v>7.8636235837663701E-2</v>
      </c>
      <c r="EI157" s="3">
        <f t="shared" ref="EI157:EI159" si="68">LN(EH157)</f>
        <v>-2.5429226700357286</v>
      </c>
      <c r="EJ157" s="3">
        <f>RT0*EI157</f>
        <v>-5.7748988073406355</v>
      </c>
      <c r="EK157" s="3">
        <f t="shared" ref="EK157:EK159" si="69">EG157+EJ157</f>
        <v>826.02510119265935</v>
      </c>
      <c r="EL157" s="3">
        <f t="shared" ref="EL157:EL159" si="70">EK157*EH157</f>
        <v>64.955504665215983</v>
      </c>
      <c r="EM157" s="3">
        <f>EL157*$EE$160</f>
        <v>962416.32649176323</v>
      </c>
    </row>
    <row r="158" spans="2:169" ht="18" x14ac:dyDescent="0.25">
      <c r="L158" s="1"/>
      <c r="P158" s="4"/>
      <c r="Q158" s="4"/>
      <c r="V158" s="1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1"/>
      <c r="BR158" s="1" t="s">
        <v>89</v>
      </c>
      <c r="BS158" s="3" t="s">
        <v>91</v>
      </c>
      <c r="BT158" s="3" t="s">
        <v>87</v>
      </c>
      <c r="BU158" s="1" t="s">
        <v>666</v>
      </c>
      <c r="BV158" s="4"/>
      <c r="BW158" s="4"/>
      <c r="CA158" s="3" t="s">
        <v>96</v>
      </c>
      <c r="CB158" s="1" t="s">
        <v>93</v>
      </c>
      <c r="DZ158" s="352"/>
      <c r="EA158" s="239" t="s">
        <v>24</v>
      </c>
      <c r="EB158" s="3">
        <f>O2_to_BF_from_coke</f>
        <v>1.7477818558410245</v>
      </c>
      <c r="EC158" s="3">
        <f t="shared" si="67"/>
        <v>3.5882943497443406E-2</v>
      </c>
      <c r="ED158" s="3">
        <f>MW_O2</f>
        <v>3.1998800000000001E-2</v>
      </c>
      <c r="EE158" s="3">
        <f>EB158/ED158</f>
        <v>54.620231253704027</v>
      </c>
      <c r="EF158" s="3">
        <f>h_O2</f>
        <v>0</v>
      </c>
      <c r="EG158" s="3">
        <f>b_ch_O2</f>
        <v>4</v>
      </c>
      <c r="EH158" s="3">
        <f>EE158/$EE$160</f>
        <v>3.6864344341996282E-3</v>
      </c>
      <c r="EI158" s="3">
        <f t="shared" si="68"/>
        <v>-5.6030955660719171</v>
      </c>
      <c r="EJ158" s="3">
        <f>RT0*EI158</f>
        <v>-12.724456894896331</v>
      </c>
      <c r="EK158" s="3">
        <f t="shared" si="69"/>
        <v>-8.7244568948963312</v>
      </c>
      <c r="EL158" s="3">
        <f t="shared" si="70"/>
        <v>-3.2162138317036203E-2</v>
      </c>
      <c r="EM158" s="3">
        <f>EL158*$EE$160</f>
        <v>-476.53185316221021</v>
      </c>
    </row>
    <row r="159" spans="2:169" ht="18" x14ac:dyDescent="0.25">
      <c r="D159" s="16" t="s">
        <v>279</v>
      </c>
      <c r="E159" s="97" t="s">
        <v>280</v>
      </c>
      <c r="F159" s="4" t="s">
        <v>281</v>
      </c>
      <c r="I159" s="222"/>
      <c r="L159" s="1"/>
      <c r="P159" s="4"/>
      <c r="Q159" s="4"/>
      <c r="V159" s="1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1"/>
      <c r="BR159" s="1"/>
      <c r="BS159" s="6"/>
      <c r="BT159" s="6"/>
      <c r="BU159" s="6"/>
      <c r="BV159" s="1"/>
      <c r="BW159" s="6"/>
      <c r="BX159" s="1"/>
      <c r="BY159" s="1"/>
      <c r="BZ159" s="1"/>
      <c r="CA159" s="1"/>
      <c r="CB159" s="1"/>
      <c r="DZ159" s="352"/>
      <c r="EA159" s="7" t="s">
        <v>67</v>
      </c>
      <c r="EB159" s="3">
        <f>N2_to_BF_from_coke</f>
        <v>0.92544958758317764</v>
      </c>
      <c r="EC159" s="3">
        <f t="shared" si="67"/>
        <v>1.9E-2</v>
      </c>
      <c r="ED159" s="3">
        <f>MW_N2</f>
        <v>2.801348E-2</v>
      </c>
      <c r="EE159" s="3">
        <f>EB159/ED159</f>
        <v>33.03586657506235</v>
      </c>
      <c r="EF159" s="3">
        <f>h_N2</f>
        <v>0</v>
      </c>
      <c r="EG159" s="3">
        <f>b_ch_N2</f>
        <v>0.7</v>
      </c>
      <c r="EH159" s="3">
        <f>EE159/$EE$160</f>
        <v>2.229660206678009E-3</v>
      </c>
      <c r="EI159" s="3">
        <f t="shared" si="68"/>
        <v>-6.1059060788071511</v>
      </c>
      <c r="EJ159" s="3">
        <f>RT0*EI159</f>
        <v>-13.866324032473203</v>
      </c>
      <c r="EK159" s="3">
        <f t="shared" si="69"/>
        <v>-13.166324032473204</v>
      </c>
      <c r="EL159" s="3">
        <f t="shared" si="70"/>
        <v>-2.9356428763433841E-2</v>
      </c>
      <c r="EM159" s="3">
        <f>EL159*$EE$160</f>
        <v>-434.96092402082161</v>
      </c>
    </row>
    <row r="160" spans="2:169" ht="17" thickBot="1" x14ac:dyDescent="0.25">
      <c r="L160" s="1"/>
      <c r="P160" s="4"/>
      <c r="Q160" s="4"/>
      <c r="V160" s="1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1"/>
      <c r="BR160" s="1"/>
      <c r="BS160" s="6"/>
      <c r="BT160" s="6"/>
      <c r="BU160" s="6"/>
      <c r="BV160" s="1"/>
      <c r="BW160" s="6"/>
      <c r="BX160" s="1"/>
      <c r="BY160" s="1"/>
      <c r="BZ160" s="1"/>
      <c r="CA160" s="1"/>
      <c r="CB160" s="1"/>
      <c r="DZ160" s="266"/>
      <c r="EA160" s="17" t="s">
        <v>19</v>
      </c>
      <c r="EB160" s="17">
        <f>0.7*DF241</f>
        <v>48.707873030693563</v>
      </c>
      <c r="EC160" s="17"/>
      <c r="ED160" s="17"/>
      <c r="EE160" s="17">
        <f>SUM(EE156:EE159)</f>
        <v>14816.547595959828</v>
      </c>
      <c r="EF160" s="17" cm="1">
        <f t="array" ref="EF160">SUM(EB156:EB159*EF156:EF159) / EB160</f>
        <v>6.1564271489094437E-3</v>
      </c>
      <c r="EG160" s="17">
        <f>SUM(EG156:EG159)</f>
        <v>1072.5999999999999</v>
      </c>
      <c r="EH160" s="17">
        <f>SUM(EH156:EH159)</f>
        <v>0.99999999999999989</v>
      </c>
      <c r="EI160" s="17"/>
      <c r="EJ160" s="17"/>
      <c r="EK160" s="17"/>
      <c r="EL160" s="17">
        <f>SUM(EL156:EL159)</f>
        <v>280.84752181335131</v>
      </c>
      <c r="EM160" s="17">
        <f>SUM(EM156:EM159)</f>
        <v>4161190.674154886</v>
      </c>
    </row>
    <row r="161" spans="1:143" ht="18" x14ac:dyDescent="0.25">
      <c r="U161" s="63" t="s">
        <v>1</v>
      </c>
      <c r="V161" s="58" t="s">
        <v>0</v>
      </c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1"/>
      <c r="BR161" s="1"/>
      <c r="BS161" s="6"/>
      <c r="BT161" s="6"/>
      <c r="BU161" s="6"/>
      <c r="BV161" s="1"/>
      <c r="BW161" s="6"/>
      <c r="BX161" s="1"/>
      <c r="BY161" s="1"/>
      <c r="BZ161" s="1"/>
      <c r="CA161" s="1"/>
      <c r="CB161" s="1"/>
      <c r="DZ161" s="266"/>
      <c r="EB161" s="1" t="s">
        <v>89</v>
      </c>
      <c r="EC161" s="1"/>
      <c r="ED161" s="3" t="s">
        <v>91</v>
      </c>
      <c r="EE161" s="3" t="s">
        <v>87</v>
      </c>
      <c r="EF161" s="1" t="s">
        <v>666</v>
      </c>
      <c r="EG161" s="4"/>
      <c r="EH161" s="4"/>
      <c r="EL161" s="3" t="s">
        <v>96</v>
      </c>
      <c r="EM161" s="1" t="s">
        <v>93</v>
      </c>
    </row>
    <row r="162" spans="1:143" ht="18" x14ac:dyDescent="0.25">
      <c r="U162" s="65" t="s">
        <v>89</v>
      </c>
      <c r="V162" s="64" t="s">
        <v>93</v>
      </c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1"/>
      <c r="BR162" s="1"/>
      <c r="BS162" s="6"/>
      <c r="BT162" s="6"/>
      <c r="BU162" s="6"/>
      <c r="BV162" s="1"/>
      <c r="BW162" s="6"/>
      <c r="BX162" s="1"/>
      <c r="BY162" s="1"/>
      <c r="BZ162" s="1"/>
      <c r="CA162" s="1"/>
      <c r="CB162" s="1"/>
      <c r="DZ162" s="266"/>
    </row>
    <row r="163" spans="1:143" ht="17" thickBot="1" x14ac:dyDescent="0.25">
      <c r="Q163" s="3" t="s">
        <v>528</v>
      </c>
      <c r="U163" s="50">
        <f>K169</f>
        <v>9.0394269236644703E-2</v>
      </c>
      <c r="V163" s="48">
        <f>V169</f>
        <v>0.70761030268572533</v>
      </c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1"/>
      <c r="BR163" s="1"/>
      <c r="BS163" s="6"/>
      <c r="BT163" s="6"/>
      <c r="BU163" s="6"/>
      <c r="BV163" s="1"/>
      <c r="BW163" s="6"/>
      <c r="BX163" s="1"/>
      <c r="BY163" s="1"/>
      <c r="BZ163" s="1"/>
      <c r="CA163" s="1"/>
      <c r="CB163" s="1"/>
      <c r="DZ163" s="266"/>
    </row>
    <row r="164" spans="1:143" ht="16" x14ac:dyDescent="0.2"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1"/>
      <c r="BR164" s="1"/>
      <c r="BS164" s="6"/>
      <c r="BT164" s="6"/>
      <c r="BU164" s="6"/>
      <c r="BV164" s="1"/>
      <c r="BW164" s="6"/>
      <c r="BX164" s="1"/>
      <c r="BY164" s="1"/>
      <c r="BZ164" s="1"/>
      <c r="CA164" s="1"/>
      <c r="CB164" s="1"/>
      <c r="DZ164" s="266"/>
      <c r="EK164" s="167"/>
    </row>
    <row r="165" spans="1:143" ht="18" x14ac:dyDescent="0.25">
      <c r="E165" s="346" t="s">
        <v>522</v>
      </c>
      <c r="F165" s="346"/>
      <c r="G165" s="346"/>
      <c r="H165" s="346"/>
      <c r="J165" s="4"/>
      <c r="K165" s="1" t="s">
        <v>558</v>
      </c>
      <c r="L165" s="1" t="s">
        <v>559</v>
      </c>
      <c r="M165" s="1" t="s">
        <v>561</v>
      </c>
      <c r="N165" s="1" t="s">
        <v>85</v>
      </c>
      <c r="O165" s="1" t="s">
        <v>665</v>
      </c>
      <c r="P165" s="1" t="s">
        <v>6</v>
      </c>
      <c r="Q165" s="1" t="s">
        <v>7</v>
      </c>
      <c r="R165" s="1" t="s">
        <v>8</v>
      </c>
      <c r="S165" s="1" t="s">
        <v>9</v>
      </c>
      <c r="T165" s="1" t="s">
        <v>49</v>
      </c>
      <c r="U165" s="1" t="s">
        <v>560</v>
      </c>
      <c r="V165" s="1" t="s">
        <v>50</v>
      </c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1"/>
      <c r="BR165" s="1"/>
      <c r="BS165" s="6"/>
      <c r="BT165" s="6"/>
      <c r="BU165" s="6"/>
      <c r="BV165" s="1"/>
      <c r="BW165" s="6"/>
      <c r="BX165" s="1"/>
      <c r="BY165" s="1"/>
      <c r="BZ165" s="1"/>
      <c r="CA165" s="1"/>
      <c r="CB165" s="1"/>
      <c r="DZ165" s="266"/>
      <c r="EB165" s="178"/>
    </row>
    <row r="166" spans="1:143" ht="18" x14ac:dyDescent="0.25">
      <c r="E166" s="346"/>
      <c r="F166" s="346"/>
      <c r="G166" s="346"/>
      <c r="H166" s="346"/>
      <c r="J166" s="4" t="s">
        <v>41</v>
      </c>
      <c r="K166" s="1" t="s">
        <v>88</v>
      </c>
      <c r="L166" s="4" t="s">
        <v>283</v>
      </c>
      <c r="M166" s="2" t="s">
        <v>90</v>
      </c>
      <c r="N166" s="2" t="s">
        <v>86</v>
      </c>
      <c r="O166" s="1" t="s">
        <v>650</v>
      </c>
      <c r="P166" s="2" t="s">
        <v>95</v>
      </c>
      <c r="Q166" s="2" t="s">
        <v>25</v>
      </c>
      <c r="R166" s="2" t="s">
        <v>98</v>
      </c>
      <c r="S166" s="2" t="s">
        <v>95</v>
      </c>
      <c r="T166" s="2" t="s">
        <v>95</v>
      </c>
      <c r="U166" s="2" t="s">
        <v>94</v>
      </c>
      <c r="V166" s="2" t="s">
        <v>92</v>
      </c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1"/>
      <c r="BR166" s="1"/>
      <c r="BS166" s="6"/>
      <c r="BT166" s="6"/>
      <c r="BU166" s="6"/>
      <c r="BV166" s="1"/>
      <c r="BW166" s="6"/>
      <c r="BX166" s="1"/>
      <c r="BY166" s="1"/>
      <c r="BZ166" s="1"/>
      <c r="CA166" s="1"/>
      <c r="CB166" s="1"/>
      <c r="DZ166" s="266"/>
    </row>
    <row r="167" spans="1:143" ht="18" x14ac:dyDescent="0.25">
      <c r="I167" s="348" t="s">
        <v>528</v>
      </c>
      <c r="J167" s="8" t="s">
        <v>303</v>
      </c>
      <c r="K167" s="17">
        <f>M167*N167</f>
        <v>2.1062542735538953E-2</v>
      </c>
      <c r="L167" s="17">
        <f>K167/K169</f>
        <v>0.23300750051310179</v>
      </c>
      <c r="M167" s="3">
        <f>MW_O2</f>
        <v>3.1998800000000001E-2</v>
      </c>
      <c r="N167" s="3">
        <f>(O2_molcoeff*N144) + (O2_Gasoline_molcoeff*N155)</f>
        <v>0.6582291440784952</v>
      </c>
      <c r="O167" s="17">
        <f>h_O2</f>
        <v>0</v>
      </c>
      <c r="P167" s="3">
        <f>b_ch_O2</f>
        <v>4</v>
      </c>
      <c r="Q167" s="3">
        <f>N167/N169</f>
        <v>0.21008403361344538</v>
      </c>
      <c r="R167" s="1">
        <f>LN(Q167)</f>
        <v>-1.5602476682433286</v>
      </c>
      <c r="S167" s="1">
        <f>RT0*R167</f>
        <v>-3.5432742429276503</v>
      </c>
      <c r="T167" s="1">
        <f>P167+S167</f>
        <v>0.45672575707234975</v>
      </c>
      <c r="U167" s="1">
        <f>T167*Q167</f>
        <v>9.5950789300913816E-2</v>
      </c>
      <c r="V167" s="1">
        <f>N169*U167</f>
        <v>0.30063020415633551</v>
      </c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1"/>
      <c r="BR167" s="1"/>
      <c r="BS167" s="6"/>
      <c r="BT167" s="6"/>
      <c r="BU167" s="6"/>
      <c r="BV167" s="1"/>
      <c r="BW167" s="6"/>
      <c r="BX167" s="1"/>
      <c r="BY167" s="1"/>
      <c r="BZ167" s="1"/>
      <c r="CA167" s="1"/>
      <c r="CB167" s="1"/>
      <c r="DZ167" s="266"/>
    </row>
    <row r="168" spans="1:143" ht="18" x14ac:dyDescent="0.25">
      <c r="I168" s="348"/>
      <c r="J168" s="60" t="s">
        <v>67</v>
      </c>
      <c r="K168" s="3">
        <f>M168*N168</f>
        <v>6.933172650110575E-2</v>
      </c>
      <c r="L168" s="3">
        <f>K168/K169</f>
        <v>0.76699249948689818</v>
      </c>
      <c r="M168" s="28">
        <f>MW_N2</f>
        <v>2.801348E-2</v>
      </c>
      <c r="N168" s="28">
        <f>N2_molcoeff*N167</f>
        <v>2.4749415817351417</v>
      </c>
      <c r="O168" s="28">
        <f>h_N2</f>
        <v>0</v>
      </c>
      <c r="P168" s="28">
        <f>b_ch_N2</f>
        <v>0.7</v>
      </c>
      <c r="Q168" s="28">
        <f>N168/N169</f>
        <v>0.78991596638655459</v>
      </c>
      <c r="R168" s="2">
        <f>LN(Q168)</f>
        <v>-0.23582871084152554</v>
      </c>
      <c r="S168" s="2">
        <f>RT0*R168</f>
        <v>-0.53555971521393941</v>
      </c>
      <c r="T168" s="2">
        <f>P168+S168</f>
        <v>0.16444028478606054</v>
      </c>
      <c r="U168" s="2">
        <f>T168*Q168</f>
        <v>0.12989400646966126</v>
      </c>
      <c r="V168" s="2">
        <f>N169*U168</f>
        <v>0.40698009852938982</v>
      </c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1"/>
      <c r="BR168" s="1"/>
      <c r="BS168" s="6"/>
      <c r="BT168" s="6"/>
      <c r="BU168" s="6"/>
      <c r="BV168" s="1"/>
      <c r="BW168" s="6"/>
      <c r="BX168" s="1"/>
      <c r="BY168" s="1"/>
      <c r="BZ168" s="1"/>
      <c r="CA168" s="1"/>
      <c r="CB168" s="1"/>
      <c r="DZ168" s="266"/>
    </row>
    <row r="169" spans="1:143" ht="16" x14ac:dyDescent="0.2">
      <c r="J169" s="3" t="s">
        <v>19</v>
      </c>
      <c r="K169" s="17">
        <f>SUM(K167:K168)</f>
        <v>9.0394269236644703E-2</v>
      </c>
      <c r="L169" s="17">
        <f>SUM(L167:L168)</f>
        <v>1</v>
      </c>
      <c r="M169" s="3">
        <f>SUM(M167:M168)</f>
        <v>6.0012280000000001E-2</v>
      </c>
      <c r="N169" s="3">
        <f>SUM(N167:N168)</f>
        <v>3.133170725813637</v>
      </c>
      <c r="O169" s="17" cm="1">
        <f t="array" ref="O169">SUM(K167:K168*O167:O168) / K169</f>
        <v>0</v>
      </c>
      <c r="U169" s="3">
        <f>SUM(U167:U168)</f>
        <v>0.22584479577057509</v>
      </c>
      <c r="V169" s="3">
        <f>SUM(V167:V168)</f>
        <v>0.70761030268572533</v>
      </c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1"/>
      <c r="BR169" s="1"/>
      <c r="BS169" s="6"/>
      <c r="BT169" s="6"/>
      <c r="BU169" s="6"/>
      <c r="BV169" s="1"/>
      <c r="BW169" s="6"/>
      <c r="BX169" s="1"/>
      <c r="BY169" s="1"/>
      <c r="BZ169" s="1"/>
      <c r="CA169" s="1"/>
      <c r="CB169" s="1"/>
      <c r="DZ169" s="266"/>
    </row>
    <row r="170" spans="1:143" ht="18" x14ac:dyDescent="0.25">
      <c r="K170" s="1" t="s">
        <v>89</v>
      </c>
      <c r="L170" s="1"/>
      <c r="M170" s="3" t="s">
        <v>91</v>
      </c>
      <c r="N170" s="3" t="s">
        <v>87</v>
      </c>
      <c r="O170" s="1" t="s">
        <v>666</v>
      </c>
      <c r="P170" s="4"/>
      <c r="Q170" s="4"/>
      <c r="U170" s="3" t="s">
        <v>96</v>
      </c>
      <c r="V170" s="1" t="s">
        <v>93</v>
      </c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1"/>
      <c r="BR170" s="1"/>
      <c r="BS170" s="6"/>
      <c r="BT170" s="6"/>
      <c r="BU170" s="6"/>
      <c r="BV170" s="1"/>
      <c r="BW170" s="6"/>
      <c r="BX170" s="1"/>
      <c r="BY170" s="1"/>
      <c r="BZ170" s="1"/>
      <c r="CA170" s="1"/>
      <c r="CB170" s="1"/>
      <c r="DZ170" s="266"/>
    </row>
    <row r="171" spans="1:143" ht="16" x14ac:dyDescent="0.2">
      <c r="K171" s="1"/>
      <c r="L171" s="1"/>
      <c r="P171" s="4"/>
      <c r="Q171" s="4"/>
      <c r="V171" s="1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1"/>
      <c r="BR171" s="1"/>
      <c r="BS171" s="6"/>
      <c r="BT171" s="6"/>
      <c r="BU171" s="6"/>
      <c r="BV171" s="1"/>
      <c r="BW171" s="6"/>
      <c r="BX171" s="1"/>
      <c r="BY171" s="1"/>
      <c r="BZ171" s="1"/>
      <c r="CA171" s="1"/>
      <c r="CB171" s="1"/>
      <c r="DZ171" s="266"/>
    </row>
    <row r="172" spans="1:143" ht="16" x14ac:dyDescent="0.2">
      <c r="K172" s="1"/>
      <c r="L172" s="1"/>
      <c r="P172" s="4"/>
      <c r="Q172" s="4"/>
      <c r="V172" s="1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1"/>
      <c r="BR172" s="1"/>
      <c r="BS172" s="6"/>
      <c r="BT172" s="6"/>
      <c r="BU172" s="6"/>
      <c r="BV172" s="1"/>
      <c r="BW172" s="6"/>
      <c r="BX172" s="1"/>
      <c r="BY172" s="1"/>
      <c r="BZ172" s="1"/>
      <c r="CA172" s="1"/>
      <c r="CB172" s="1"/>
      <c r="DZ172" s="266"/>
    </row>
    <row r="173" spans="1:143" ht="16" x14ac:dyDescent="0.2">
      <c r="K173" s="1"/>
      <c r="L173" s="1"/>
      <c r="P173" s="4"/>
      <c r="Q173" s="4"/>
      <c r="V173" s="1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1"/>
      <c r="BR173" s="1"/>
      <c r="BS173" s="6"/>
      <c r="BT173" s="6"/>
      <c r="BU173" s="6"/>
      <c r="BV173" s="1"/>
      <c r="BW173" s="6"/>
      <c r="BX173" s="1"/>
      <c r="BY173" s="1"/>
      <c r="BZ173" s="1"/>
      <c r="CA173" s="1"/>
      <c r="CB173" s="1"/>
      <c r="DZ173" s="266"/>
    </row>
    <row r="174" spans="1:143" ht="16" x14ac:dyDescent="0.2">
      <c r="K174" s="1"/>
      <c r="L174" s="1"/>
      <c r="P174" s="4"/>
      <c r="Q174" s="4"/>
      <c r="V174" s="1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1"/>
      <c r="BR174" s="1"/>
      <c r="BS174" s="6"/>
      <c r="BT174" s="6"/>
      <c r="BU174" s="6"/>
      <c r="BV174" s="1"/>
      <c r="BW174" s="6"/>
      <c r="BX174" s="1"/>
      <c r="BY174" s="1"/>
      <c r="BZ174" s="1"/>
      <c r="CA174" s="1"/>
      <c r="CB174" s="1"/>
      <c r="DZ174" s="266"/>
    </row>
    <row r="175" spans="1:143" ht="16" x14ac:dyDescent="0.2">
      <c r="K175" s="1"/>
      <c r="L175" s="1"/>
      <c r="P175" s="4"/>
      <c r="Q175" s="4"/>
      <c r="V175" s="1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1"/>
      <c r="BR175" s="1"/>
      <c r="BS175" s="6"/>
      <c r="BT175" s="6"/>
      <c r="BU175" s="6"/>
      <c r="BV175" s="1"/>
      <c r="BW175" s="6"/>
      <c r="BX175" s="1"/>
      <c r="BY175" s="1"/>
      <c r="BZ175" s="1"/>
      <c r="CA175" s="1"/>
      <c r="CB175" s="1"/>
      <c r="DZ175" s="266"/>
    </row>
    <row r="176" spans="1:143" ht="17" thickBot="1" x14ac:dyDescent="0.25">
      <c r="A176" s="98"/>
      <c r="B176" s="98"/>
      <c r="C176" s="98"/>
      <c r="D176" s="98"/>
      <c r="E176" s="98"/>
      <c r="F176" s="98"/>
      <c r="G176" s="98"/>
      <c r="H176" s="98"/>
      <c r="I176" s="98"/>
      <c r="J176" s="98"/>
      <c r="K176" s="98"/>
      <c r="L176" s="98"/>
      <c r="M176" s="98"/>
      <c r="N176" s="98"/>
      <c r="O176" s="98"/>
      <c r="P176" s="98"/>
      <c r="Q176" s="98"/>
      <c r="R176" s="98"/>
      <c r="S176" s="98"/>
      <c r="T176" s="98"/>
      <c r="U176" s="98"/>
      <c r="V176" s="98"/>
      <c r="W176" s="90"/>
      <c r="X176" s="90"/>
      <c r="Y176" s="90"/>
      <c r="Z176" s="90"/>
      <c r="AA176" s="90"/>
      <c r="AB176" s="90"/>
      <c r="AC176" s="90"/>
      <c r="AD176" s="90"/>
      <c r="AE176" s="90"/>
      <c r="AF176" s="90"/>
      <c r="AG176" s="90"/>
      <c r="AH176" s="90"/>
      <c r="AI176" s="90"/>
      <c r="AJ176" s="90"/>
      <c r="AK176" s="90"/>
      <c r="AL176" s="90"/>
      <c r="AM176" s="90"/>
      <c r="AN176" s="90"/>
      <c r="AO176" s="90"/>
      <c r="AP176" s="90"/>
      <c r="AQ176" s="90"/>
      <c r="AR176" s="90"/>
      <c r="AS176" s="90"/>
      <c r="AT176" s="90"/>
      <c r="AU176" s="90"/>
      <c r="AV176" s="90"/>
      <c r="AW176" s="90"/>
      <c r="AX176" s="90"/>
      <c r="AY176" s="90"/>
      <c r="AZ176" s="90"/>
      <c r="BA176" s="90"/>
      <c r="BB176" s="90"/>
      <c r="BC176" s="90"/>
      <c r="BD176" s="90"/>
      <c r="BE176" s="90"/>
      <c r="BF176" s="90"/>
      <c r="BG176" s="90"/>
      <c r="BH176" s="90"/>
      <c r="BI176" s="90"/>
      <c r="BJ176" s="90"/>
      <c r="BK176" s="90"/>
      <c r="BL176" s="90"/>
      <c r="BM176" s="90"/>
      <c r="BN176" s="90"/>
      <c r="BO176" s="90"/>
      <c r="BP176" s="142"/>
      <c r="BQ176" s="143"/>
      <c r="BR176" s="143"/>
      <c r="BS176" s="98"/>
      <c r="BT176" s="98"/>
      <c r="BU176" s="98"/>
      <c r="BV176" s="90"/>
      <c r="BW176" s="90"/>
      <c r="BX176" s="98"/>
      <c r="BY176" s="98"/>
      <c r="BZ176" s="98"/>
      <c r="CA176" s="98"/>
      <c r="CB176" s="143"/>
      <c r="CC176" s="98"/>
      <c r="CD176" s="98"/>
      <c r="CE176" s="98"/>
      <c r="CF176" s="98"/>
      <c r="CG176" s="98"/>
      <c r="CH176" s="98"/>
      <c r="CI176" s="98"/>
      <c r="CJ176" s="98"/>
      <c r="CK176" s="98"/>
      <c r="CL176" s="98"/>
      <c r="CM176" s="98"/>
      <c r="CN176" s="98"/>
      <c r="CO176" s="98"/>
      <c r="CP176" s="98"/>
      <c r="CQ176" s="98"/>
      <c r="CR176" s="98"/>
      <c r="CS176" s="98"/>
      <c r="CT176" s="98"/>
      <c r="CU176" s="98"/>
      <c r="CV176" s="98"/>
      <c r="CW176" s="98"/>
      <c r="CX176" s="98"/>
      <c r="CY176" s="98"/>
      <c r="CZ176" s="98"/>
      <c r="DA176" s="98"/>
      <c r="DZ176" s="266"/>
    </row>
    <row r="177" spans="16:130" ht="16" x14ac:dyDescent="0.2"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5"/>
      <c r="BN177" s="1"/>
      <c r="BO177" s="1"/>
      <c r="BR177" s="4"/>
      <c r="BS177" s="4"/>
      <c r="BY177" s="1"/>
      <c r="DZ177" s="266"/>
    </row>
    <row r="178" spans="16:130" ht="16" x14ac:dyDescent="0.2"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5"/>
      <c r="BN178" s="1"/>
      <c r="BO178" s="1"/>
      <c r="BR178" s="4"/>
      <c r="BS178" s="4"/>
      <c r="BY178" s="1"/>
    </row>
    <row r="179" spans="16:130" x14ac:dyDescent="0.2"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W179" s="4"/>
      <c r="BX179" s="4"/>
    </row>
    <row r="180" spans="16:130" x14ac:dyDescent="0.2"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W180" s="4"/>
      <c r="BX180" s="4"/>
    </row>
    <row r="181" spans="16:130" ht="16" x14ac:dyDescent="0.2"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W181" s="4"/>
      <c r="BX181" s="4"/>
      <c r="CN181" s="1"/>
      <c r="CO181" s="1"/>
      <c r="CP181" s="1"/>
      <c r="CQ181" s="1"/>
      <c r="CR181" s="1"/>
      <c r="CS181" s="1"/>
      <c r="CT181" s="1"/>
      <c r="CU181" s="1"/>
    </row>
    <row r="182" spans="16:130" ht="16" x14ac:dyDescent="0.2">
      <c r="T182" s="4"/>
      <c r="U182" s="4"/>
      <c r="V182" s="4"/>
      <c r="W182" s="355" t="s">
        <v>437</v>
      </c>
      <c r="X182" s="355"/>
      <c r="Y182" s="355"/>
      <c r="Z182" s="355"/>
      <c r="AA182" s="355"/>
      <c r="AB182" s="355"/>
      <c r="AC182" s="355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W182" s="4"/>
      <c r="BX182" s="4"/>
      <c r="CJ182" s="1"/>
      <c r="CK182" s="4"/>
      <c r="CL182" s="1"/>
      <c r="CM182" s="1"/>
      <c r="CN182" s="1"/>
      <c r="CO182" s="1"/>
      <c r="CP182" s="1"/>
      <c r="CQ182" s="1"/>
      <c r="CR182" s="1"/>
      <c r="CS182" s="1"/>
      <c r="CT182" s="1"/>
      <c r="CU182" s="1"/>
    </row>
    <row r="183" spans="16:130" x14ac:dyDescent="0.2">
      <c r="T183" s="4"/>
      <c r="U183" s="4"/>
      <c r="V183" s="4"/>
      <c r="W183" s="61" t="s">
        <v>264</v>
      </c>
      <c r="X183" s="13" t="s">
        <v>263</v>
      </c>
      <c r="Y183" s="13" t="s">
        <v>235</v>
      </c>
      <c r="Z183" s="13" t="s">
        <v>235</v>
      </c>
      <c r="AA183" s="13" t="s">
        <v>235</v>
      </c>
      <c r="AB183" s="105" t="s">
        <v>322</v>
      </c>
      <c r="AC183" s="13" t="s">
        <v>316</v>
      </c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W183" s="4"/>
      <c r="BX183" s="4"/>
      <c r="CJ183" s="178"/>
      <c r="CS183" s="4"/>
      <c r="CT183" s="4"/>
    </row>
    <row r="184" spans="16:130" ht="17" x14ac:dyDescent="0.25">
      <c r="T184" s="4"/>
      <c r="U184" s="4"/>
      <c r="V184" s="4"/>
      <c r="W184" s="61" t="s">
        <v>98</v>
      </c>
      <c r="X184" s="61" t="s">
        <v>98</v>
      </c>
      <c r="Y184" s="13" t="s">
        <v>231</v>
      </c>
      <c r="Z184" s="13" t="s">
        <v>234</v>
      </c>
      <c r="AA184" s="13" t="s">
        <v>48</v>
      </c>
      <c r="AB184" s="34" t="s">
        <v>98</v>
      </c>
      <c r="AC184" s="13" t="s">
        <v>48</v>
      </c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W184" s="4"/>
      <c r="BX184" s="4"/>
      <c r="CS184" s="4"/>
      <c r="CT184" s="4"/>
    </row>
    <row r="185" spans="16:130" x14ac:dyDescent="0.2">
      <c r="T185" s="4"/>
      <c r="U185" s="4"/>
      <c r="V185" s="4"/>
      <c r="W185" s="61" t="s">
        <v>265</v>
      </c>
      <c r="X185" s="13" t="s">
        <v>251</v>
      </c>
      <c r="Y185" s="61">
        <v>132000</v>
      </c>
      <c r="Z185" s="13">
        <f t="shared" ref="Z185:Z194" si="71">Y185*Btu_to_kJ</f>
        <v>139267.92000000001</v>
      </c>
      <c r="AA185" s="13">
        <f t="shared" ref="AA185:AA194" si="72">Z185*($K$217/1000)</f>
        <v>39953.745649167096</v>
      </c>
      <c r="AB185" s="3">
        <v>1</v>
      </c>
      <c r="AC185" s="13">
        <f>AA185*AB185</f>
        <v>39953.745649167096</v>
      </c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W185" s="4"/>
      <c r="BX185" s="4"/>
      <c r="CS185" s="4"/>
      <c r="CT185" s="4"/>
    </row>
    <row r="186" spans="16:130" x14ac:dyDescent="0.2">
      <c r="T186" s="4"/>
      <c r="U186" s="4"/>
      <c r="V186" s="4"/>
      <c r="W186" s="61" t="s">
        <v>265</v>
      </c>
      <c r="X186" s="61" t="s">
        <v>250</v>
      </c>
      <c r="Y186" s="61">
        <v>58600</v>
      </c>
      <c r="Z186" s="13">
        <f t="shared" si="71"/>
        <v>61826.516000000003</v>
      </c>
      <c r="AA186" s="13">
        <f t="shared" si="72"/>
        <v>17737.041629099938</v>
      </c>
      <c r="AB186" s="13">
        <v>1</v>
      </c>
      <c r="AC186" s="13">
        <f t="shared" ref="AC186:AC194" si="73">AA186*AB186</f>
        <v>17737.041629099938</v>
      </c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W186" s="4"/>
      <c r="BX186" s="4"/>
      <c r="CS186" s="4"/>
      <c r="CT186" s="4"/>
    </row>
    <row r="187" spans="16:130" x14ac:dyDescent="0.2">
      <c r="T187" s="4"/>
      <c r="U187" s="4"/>
      <c r="V187" s="4"/>
      <c r="W187" s="61" t="s">
        <v>265</v>
      </c>
      <c r="X187" s="61" t="s">
        <v>253</v>
      </c>
      <c r="Y187" s="61">
        <v>4120</v>
      </c>
      <c r="Z187" s="13">
        <f t="shared" si="71"/>
        <v>4346.8472000000002</v>
      </c>
      <c r="AA187" s="13">
        <f t="shared" si="72"/>
        <v>1247.041152080064</v>
      </c>
      <c r="AB187" s="13">
        <v>1</v>
      </c>
      <c r="AC187" s="13">
        <f t="shared" si="73"/>
        <v>1247.041152080064</v>
      </c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355" t="s">
        <v>438</v>
      </c>
      <c r="AP187" s="355"/>
      <c r="AQ187" s="355"/>
      <c r="AR187" s="355"/>
      <c r="AS187" s="355"/>
      <c r="AT187" s="355"/>
      <c r="AU187" s="355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355" t="s">
        <v>439</v>
      </c>
      <c r="BH187" s="355"/>
      <c r="BI187" s="355"/>
      <c r="BJ187" s="355"/>
      <c r="BK187" s="355"/>
      <c r="BL187" s="355"/>
      <c r="BM187" s="355"/>
      <c r="BN187" s="4"/>
      <c r="BO187" s="4"/>
      <c r="BP187" s="4"/>
      <c r="BQ187" s="4"/>
      <c r="BR187" s="4"/>
      <c r="BS187" s="4"/>
      <c r="BW187" s="4"/>
      <c r="BX187" s="4"/>
      <c r="CS187" s="4"/>
      <c r="CT187" s="4"/>
    </row>
    <row r="188" spans="16:130" x14ac:dyDescent="0.2">
      <c r="T188" s="4"/>
      <c r="U188" s="4"/>
      <c r="V188" s="4"/>
      <c r="W188" s="61" t="s">
        <v>265</v>
      </c>
      <c r="X188" s="61" t="s">
        <v>254</v>
      </c>
      <c r="Y188" s="61">
        <v>34700</v>
      </c>
      <c r="Z188" s="13">
        <f t="shared" si="71"/>
        <v>36610.582000000002</v>
      </c>
      <c r="AA188" s="13">
        <f t="shared" si="72"/>
        <v>10502.99222747044</v>
      </c>
      <c r="AB188" s="13">
        <v>1</v>
      </c>
      <c r="AC188" s="13">
        <f t="shared" si="73"/>
        <v>10502.99222747044</v>
      </c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13" t="s">
        <v>264</v>
      </c>
      <c r="AP188" s="13" t="s">
        <v>266</v>
      </c>
      <c r="AQ188" s="13" t="s">
        <v>235</v>
      </c>
      <c r="AR188" s="13" t="s">
        <v>36</v>
      </c>
      <c r="AS188" s="13" t="s">
        <v>235</v>
      </c>
      <c r="AT188" s="105" t="s">
        <v>322</v>
      </c>
      <c r="AU188" s="13" t="s">
        <v>316</v>
      </c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61" t="s">
        <v>264</v>
      </c>
      <c r="BH188" s="13" t="s">
        <v>263</v>
      </c>
      <c r="BI188" s="13" t="s">
        <v>235</v>
      </c>
      <c r="BJ188" s="13" t="s">
        <v>235</v>
      </c>
      <c r="BK188" s="13" t="s">
        <v>235</v>
      </c>
      <c r="BL188" s="105" t="s">
        <v>322</v>
      </c>
      <c r="BM188" s="13" t="s">
        <v>316</v>
      </c>
      <c r="BN188" s="4"/>
      <c r="BO188" s="4"/>
      <c r="BP188" s="4"/>
      <c r="BQ188" s="4"/>
      <c r="BR188" s="4"/>
      <c r="BS188" s="4"/>
      <c r="BT188" s="4"/>
      <c r="BU188" s="4"/>
      <c r="BV188" s="4"/>
      <c r="CS188" s="4"/>
      <c r="CT188" s="4"/>
    </row>
    <row r="189" spans="16:130" ht="33" x14ac:dyDescent="0.25">
      <c r="P189" s="362" t="s">
        <v>364</v>
      </c>
      <c r="Q189" s="362"/>
      <c r="T189" s="4"/>
      <c r="U189" s="4"/>
      <c r="V189" s="4"/>
      <c r="W189" s="61" t="s">
        <v>265</v>
      </c>
      <c r="X189" s="89" t="s">
        <v>255</v>
      </c>
      <c r="Y189" s="61">
        <v>17500</v>
      </c>
      <c r="Z189" s="13">
        <f t="shared" si="71"/>
        <v>18463.550000000003</v>
      </c>
      <c r="AA189" s="13">
        <f t="shared" si="72"/>
        <v>5296.8980974274564</v>
      </c>
      <c r="AB189" s="13">
        <v>1</v>
      </c>
      <c r="AC189" s="13">
        <f t="shared" si="73"/>
        <v>5296.8980974274564</v>
      </c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13" t="s">
        <v>98</v>
      </c>
      <c r="AP189" s="13" t="s">
        <v>98</v>
      </c>
      <c r="AQ189" s="13" t="s">
        <v>237</v>
      </c>
      <c r="AR189" s="13" t="s">
        <v>236</v>
      </c>
      <c r="AS189" s="13" t="s">
        <v>48</v>
      </c>
      <c r="AT189" s="34" t="s">
        <v>98</v>
      </c>
      <c r="AU189" s="13" t="s">
        <v>48</v>
      </c>
      <c r="AV189" s="4"/>
      <c r="AW189" s="4"/>
      <c r="AX189" s="72"/>
      <c r="AY189" s="4"/>
      <c r="AZ189" s="4"/>
      <c r="BA189" s="4"/>
      <c r="BB189" s="4"/>
      <c r="BC189" s="4"/>
      <c r="BD189" s="4"/>
      <c r="BE189" s="4"/>
      <c r="BF189" s="4"/>
      <c r="BG189" s="61" t="s">
        <v>98</v>
      </c>
      <c r="BH189" s="61" t="s">
        <v>98</v>
      </c>
      <c r="BI189" s="13" t="s">
        <v>230</v>
      </c>
      <c r="BJ189" s="13" t="s">
        <v>234</v>
      </c>
      <c r="BK189" s="13" t="s">
        <v>48</v>
      </c>
      <c r="BL189" s="34" t="s">
        <v>98</v>
      </c>
      <c r="BM189" s="13" t="s">
        <v>48</v>
      </c>
      <c r="BN189" s="4"/>
      <c r="BO189" s="4"/>
      <c r="BP189" s="4"/>
      <c r="BQ189" s="4"/>
      <c r="BR189" s="4"/>
      <c r="BS189" s="4"/>
      <c r="BT189" s="4"/>
      <c r="BU189" s="4"/>
      <c r="BV189" s="4"/>
      <c r="CS189" s="4"/>
      <c r="CT189" s="4"/>
    </row>
    <row r="190" spans="16:130" ht="16" thickBot="1" x14ac:dyDescent="0.25">
      <c r="P190" s="363"/>
      <c r="Q190" s="363"/>
      <c r="T190" s="4"/>
      <c r="U190" s="4"/>
      <c r="V190" s="4"/>
      <c r="W190" s="61" t="s">
        <v>265</v>
      </c>
      <c r="X190" s="61" t="s">
        <v>256</v>
      </c>
      <c r="Y190" s="13">
        <v>4690</v>
      </c>
      <c r="Z190" s="13">
        <f t="shared" si="71"/>
        <v>4948.2314000000006</v>
      </c>
      <c r="AA190" s="13">
        <f t="shared" si="72"/>
        <v>1419.5686901105582</v>
      </c>
      <c r="AB190" s="13">
        <v>1</v>
      </c>
      <c r="AC190" s="13">
        <f t="shared" si="73"/>
        <v>1419.5686901105582</v>
      </c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61" t="s">
        <v>265</v>
      </c>
      <c r="AP190" s="13" t="s">
        <v>302</v>
      </c>
      <c r="AQ190" s="13">
        <v>700</v>
      </c>
      <c r="AR190" s="13">
        <v>798</v>
      </c>
      <c r="AS190" s="61">
        <f>AR190*AQ190*(AE217/1000)</f>
        <v>160253.43323591491</v>
      </c>
      <c r="AT190" s="13">
        <v>1</v>
      </c>
      <c r="AU190" s="13">
        <f>AS190*AT190</f>
        <v>160253.43323591491</v>
      </c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61" t="s">
        <v>265</v>
      </c>
      <c r="BH190" s="13" t="s">
        <v>178</v>
      </c>
      <c r="BI190" s="13">
        <v>93200</v>
      </c>
      <c r="BJ190" s="61">
        <f>BI190*Btu_to_kJ</f>
        <v>98331.592000000004</v>
      </c>
      <c r="BK190" s="61">
        <f>BJ190*($AX$217/1000)</f>
        <v>28209.76586744222</v>
      </c>
      <c r="BL190" s="13">
        <v>1</v>
      </c>
      <c r="BM190" s="13">
        <f>BK190*BL190</f>
        <v>28209.76586744222</v>
      </c>
      <c r="BN190" s="4"/>
      <c r="BO190" s="4"/>
      <c r="BP190" s="4"/>
      <c r="BQ190" s="4"/>
      <c r="BR190" s="4"/>
      <c r="BS190" s="4"/>
      <c r="BT190" s="4"/>
      <c r="BU190" s="4"/>
      <c r="BV190" s="4"/>
      <c r="CU190" s="127"/>
    </row>
    <row r="191" spans="16:130" ht="16" x14ac:dyDescent="0.2">
      <c r="P191" s="358" t="s">
        <v>344</v>
      </c>
      <c r="Q191" s="102" t="s">
        <v>317</v>
      </c>
      <c r="T191" s="4"/>
      <c r="U191" s="4"/>
      <c r="V191" s="4"/>
      <c r="W191" s="61" t="s">
        <v>265</v>
      </c>
      <c r="X191" s="13" t="s">
        <v>258</v>
      </c>
      <c r="Y191" s="13">
        <v>1760</v>
      </c>
      <c r="Z191" s="13">
        <f t="shared" si="71"/>
        <v>1856.9056000000003</v>
      </c>
      <c r="AA191" s="13">
        <f t="shared" si="72"/>
        <v>532.71660865556134</v>
      </c>
      <c r="AB191" s="13">
        <v>1</v>
      </c>
      <c r="AC191" s="13">
        <f t="shared" si="73"/>
        <v>532.71660865556134</v>
      </c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61" t="s">
        <v>265</v>
      </c>
      <c r="BH191" s="13" t="s">
        <v>247</v>
      </c>
      <c r="BI191" s="13">
        <v>585</v>
      </c>
      <c r="BJ191" s="61">
        <f>BI191*Btu_to_kJ</f>
        <v>617.21010000000001</v>
      </c>
      <c r="BK191" s="61">
        <f>BJ191*($AX$217/1000)</f>
        <v>177.0677363997178</v>
      </c>
      <c r="BL191" s="13">
        <v>1</v>
      </c>
      <c r="BM191" s="13">
        <f t="shared" ref="BM191:BM194" si="74">BK191*BL191</f>
        <v>177.0677363997178</v>
      </c>
      <c r="BN191" s="4"/>
      <c r="BO191" s="4"/>
      <c r="BP191" s="4"/>
      <c r="BQ191" s="4"/>
      <c r="BR191" s="4"/>
      <c r="BS191" s="4"/>
      <c r="BT191" s="4"/>
      <c r="BU191" s="4"/>
      <c r="BV191" s="4"/>
    </row>
    <row r="192" spans="16:130" x14ac:dyDescent="0.2">
      <c r="P192" s="359"/>
      <c r="Q192" s="103" t="s">
        <v>48</v>
      </c>
      <c r="T192" s="4"/>
      <c r="U192" s="4"/>
      <c r="V192" s="4"/>
      <c r="W192" s="61" t="s">
        <v>265</v>
      </c>
      <c r="X192" s="13" t="s">
        <v>259</v>
      </c>
      <c r="Y192" s="13">
        <v>2360</v>
      </c>
      <c r="Z192" s="13">
        <f t="shared" si="71"/>
        <v>2489.9416000000001</v>
      </c>
      <c r="AA192" s="13">
        <f t="shared" si="72"/>
        <v>714.32454342450262</v>
      </c>
      <c r="AB192" s="13">
        <v>1</v>
      </c>
      <c r="AC192" s="13">
        <f t="shared" si="73"/>
        <v>714.32454342450262</v>
      </c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72"/>
      <c r="BA192" s="4"/>
      <c r="BB192" s="4"/>
      <c r="BC192" s="4"/>
      <c r="BD192" s="4"/>
      <c r="BE192" s="4"/>
      <c r="BF192" s="4"/>
      <c r="BG192" s="61" t="s">
        <v>265</v>
      </c>
      <c r="BH192" s="13" t="s">
        <v>248</v>
      </c>
      <c r="BI192" s="13">
        <v>359</v>
      </c>
      <c r="BJ192" s="61">
        <f>BI192*Btu_to_kJ</f>
        <v>378.76654000000002</v>
      </c>
      <c r="BK192" s="61">
        <f>BJ192*($AX$217/1000)</f>
        <v>108.66208097008324</v>
      </c>
      <c r="BL192" s="13">
        <v>1</v>
      </c>
      <c r="BM192" s="13">
        <f t="shared" si="74"/>
        <v>108.66208097008324</v>
      </c>
      <c r="BN192" s="4"/>
      <c r="BO192" s="4"/>
      <c r="BP192" s="4"/>
      <c r="BQ192" s="4"/>
      <c r="BR192" s="4"/>
      <c r="BS192" s="4"/>
      <c r="BT192" s="4"/>
      <c r="BU192" s="4"/>
      <c r="BV192" s="4"/>
    </row>
    <row r="193" spans="5:101" x14ac:dyDescent="0.2">
      <c r="P193" s="139" t="s">
        <v>341</v>
      </c>
      <c r="Q193" s="103">
        <f>((N210*(U210-0)/AC195))</f>
        <v>111.42326190935763</v>
      </c>
      <c r="T193" s="4"/>
      <c r="U193" s="4"/>
      <c r="V193" s="4"/>
      <c r="W193" s="61" t="s">
        <v>265</v>
      </c>
      <c r="X193" s="61" t="s">
        <v>261</v>
      </c>
      <c r="Y193" s="61">
        <v>143</v>
      </c>
      <c r="Z193" s="13">
        <f t="shared" si="71"/>
        <v>150.87358</v>
      </c>
      <c r="AA193" s="13">
        <f t="shared" si="72"/>
        <v>43.283224453264353</v>
      </c>
      <c r="AB193" s="13">
        <v>1</v>
      </c>
      <c r="AC193" s="13">
        <f t="shared" si="73"/>
        <v>43.283224453264353</v>
      </c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61" t="s">
        <v>265</v>
      </c>
      <c r="BH193" s="13" t="s">
        <v>249</v>
      </c>
      <c r="BI193" s="13">
        <v>238</v>
      </c>
      <c r="BJ193" s="61">
        <f>BI193*Btu_to_kJ</f>
        <v>251.10428000000002</v>
      </c>
      <c r="BK193" s="61">
        <f>BJ193*($AX$217/1000)</f>
        <v>72.037814125013398</v>
      </c>
      <c r="BL193" s="13">
        <v>1</v>
      </c>
      <c r="BM193" s="13">
        <f t="shared" si="74"/>
        <v>72.037814125013398</v>
      </c>
      <c r="BN193" s="4"/>
      <c r="BO193" s="4"/>
      <c r="BP193" s="4"/>
      <c r="BQ193" s="4"/>
      <c r="BR193" s="4"/>
      <c r="BS193" s="4"/>
      <c r="BT193" s="4"/>
      <c r="BU193" s="4"/>
      <c r="BV193" s="4"/>
    </row>
    <row r="194" spans="5:101" ht="16" thickBot="1" x14ac:dyDescent="0.25">
      <c r="N194" s="4"/>
      <c r="O194" s="4"/>
      <c r="P194" s="139" t="s">
        <v>637</v>
      </c>
      <c r="Q194" s="103">
        <f>V206/AC195</f>
        <v>113.02497570495387</v>
      </c>
      <c r="T194" s="4"/>
      <c r="U194" s="4"/>
      <c r="V194" s="4"/>
      <c r="W194" s="61" t="s">
        <v>265</v>
      </c>
      <c r="X194" s="61" t="s">
        <v>262</v>
      </c>
      <c r="Y194" s="61">
        <v>6</v>
      </c>
      <c r="Z194" s="13">
        <f t="shared" si="71"/>
        <v>6.3303600000000007</v>
      </c>
      <c r="AA194" s="13">
        <f t="shared" si="72"/>
        <v>1.8160793476894135</v>
      </c>
      <c r="AB194" s="13">
        <v>1</v>
      </c>
      <c r="AC194" s="13">
        <f t="shared" si="73"/>
        <v>1.8160793476894135</v>
      </c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BE194" s="4"/>
      <c r="BF194" s="4"/>
      <c r="BG194" s="61" t="s">
        <v>265</v>
      </c>
      <c r="BH194" s="61" t="s">
        <v>238</v>
      </c>
      <c r="BI194" s="61">
        <v>121</v>
      </c>
      <c r="BJ194" s="61">
        <f>BI194*Btu_to_kJ</f>
        <v>127.66226000000002</v>
      </c>
      <c r="BK194" s="61">
        <f>BJ194*($AX$217/1000)</f>
        <v>36.62426684506984</v>
      </c>
      <c r="BL194" s="13">
        <v>1</v>
      </c>
      <c r="BM194" s="13">
        <f t="shared" si="74"/>
        <v>36.62426684506984</v>
      </c>
      <c r="BN194" s="4"/>
      <c r="BO194" s="4"/>
      <c r="BP194" s="4"/>
      <c r="BQ194" s="4"/>
      <c r="BR194" s="4"/>
      <c r="BS194" s="4"/>
      <c r="BT194" s="4"/>
      <c r="BU194" s="4"/>
      <c r="BV194" s="4"/>
    </row>
    <row r="195" spans="5:101" ht="16" thickBot="1" x14ac:dyDescent="0.25">
      <c r="N195" s="4"/>
      <c r="O195" s="4"/>
      <c r="P195" s="140" t="s">
        <v>343</v>
      </c>
      <c r="Q195" s="99">
        <f>V210/AC195</f>
        <v>112.98778938876482</v>
      </c>
      <c r="T195" s="4"/>
      <c r="U195" s="4"/>
      <c r="V195" s="4"/>
      <c r="W195" s="364" t="s">
        <v>506</v>
      </c>
      <c r="X195" s="365"/>
      <c r="Y195" s="264"/>
      <c r="Z195" s="264"/>
      <c r="AA195" s="264">
        <f>SUM(AA185:AA186,AA187:AA188,AA189:AA190,AA191:AA192,AA193:AA194)</f>
        <v>77449.427901236573</v>
      </c>
      <c r="AB195" s="263">
        <v>1</v>
      </c>
      <c r="AC195" s="265">
        <f>AA195*AB195</f>
        <v>77449.427901236573</v>
      </c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Y195" s="4"/>
      <c r="AZ195" s="4"/>
      <c r="BE195" s="4"/>
      <c r="BF195" s="4"/>
      <c r="BG195" s="61"/>
      <c r="BH195" s="13" t="s">
        <v>19</v>
      </c>
      <c r="BI195" s="13">
        <f>SUM(BI190:BI194)</f>
        <v>94503</v>
      </c>
      <c r="BJ195" s="13">
        <f>SUM(BJ190:BJ194)</f>
        <v>99706.335179999995</v>
      </c>
      <c r="BK195" s="13">
        <f>SUM(BK190:BK194)</f>
        <v>28604.157765782104</v>
      </c>
      <c r="BL195" s="13"/>
      <c r="BM195" s="13">
        <f>SUM(BM190:BM194)</f>
        <v>28604.157765782104</v>
      </c>
      <c r="BT195" s="4"/>
      <c r="BU195" s="4"/>
      <c r="BV195" s="4"/>
      <c r="CL195"/>
    </row>
    <row r="196" spans="5:101" x14ac:dyDescent="0.2">
      <c r="T196" s="4"/>
      <c r="U196" s="4"/>
      <c r="V196" s="4"/>
      <c r="W196" s="171"/>
      <c r="X196" s="171"/>
      <c r="Y196" s="171"/>
      <c r="Z196" s="171"/>
      <c r="AA196" s="171"/>
      <c r="AB196" s="171"/>
      <c r="AC196" s="171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Y196" s="4"/>
      <c r="AZ196" s="4"/>
      <c r="BE196" s="4"/>
      <c r="BF196" s="4"/>
      <c r="BG196" s="4"/>
      <c r="BH196" s="4"/>
      <c r="BI196" s="4"/>
      <c r="BW196" s="4"/>
      <c r="BX196" s="4"/>
    </row>
    <row r="197" spans="5:101" x14ac:dyDescent="0.2">
      <c r="T197" s="4"/>
      <c r="U197" s="4"/>
      <c r="V197" s="4"/>
      <c r="W197" s="171"/>
      <c r="X197" s="171"/>
      <c r="Y197" s="171"/>
      <c r="Z197" s="171"/>
      <c r="AA197" s="171"/>
      <c r="AB197" s="171"/>
      <c r="AC197" s="171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Y197" s="4"/>
      <c r="AZ197" s="4"/>
      <c r="BE197" s="4"/>
      <c r="BF197" s="4"/>
      <c r="BG197" s="4"/>
      <c r="BH197" s="4"/>
      <c r="BI197" s="4"/>
      <c r="BW197" s="4"/>
      <c r="BX197" s="4"/>
    </row>
    <row r="198" spans="5:101" x14ac:dyDescent="0.2">
      <c r="T198" s="4"/>
      <c r="U198" s="4"/>
      <c r="V198" s="4"/>
      <c r="W198" s="171"/>
      <c r="X198" s="171"/>
      <c r="Y198" s="171"/>
      <c r="Z198" s="171"/>
      <c r="AA198" s="171"/>
      <c r="AB198" s="171"/>
      <c r="AC198" s="171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Y198" s="4"/>
      <c r="AZ198" s="4"/>
      <c r="BE198" s="4"/>
      <c r="BF198" s="4"/>
      <c r="BG198" s="4"/>
      <c r="BH198" s="4"/>
      <c r="BI198" s="4"/>
      <c r="BN198" s="16" t="s">
        <v>242</v>
      </c>
      <c r="BO198" s="3" t="s">
        <v>244</v>
      </c>
      <c r="BP198" s="3" t="s">
        <v>245</v>
      </c>
      <c r="BQ198" s="3" t="s">
        <v>246</v>
      </c>
      <c r="BW198" s="4"/>
      <c r="BX198" s="4"/>
    </row>
    <row r="199" spans="5:101" x14ac:dyDescent="0.2">
      <c r="I199" s="4"/>
      <c r="T199" s="4"/>
      <c r="U199" s="4"/>
      <c r="V199" s="4"/>
      <c r="W199" s="171"/>
      <c r="X199" s="171"/>
      <c r="Y199" s="171"/>
      <c r="Z199" s="171"/>
      <c r="AA199" s="171"/>
      <c r="AB199" s="171"/>
      <c r="AC199" s="171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Y199" s="4"/>
      <c r="AZ199" s="4"/>
      <c r="BE199" s="4"/>
      <c r="BF199" s="4"/>
      <c r="BG199" s="4"/>
      <c r="BH199" s="4"/>
      <c r="BI199" s="4"/>
      <c r="BW199" s="4"/>
      <c r="BX199" s="4"/>
    </row>
    <row r="200" spans="5:101" x14ac:dyDescent="0.2">
      <c r="T200" s="4"/>
      <c r="U200" s="4"/>
      <c r="V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Z200" s="4"/>
      <c r="BA200" s="4"/>
      <c r="BB200" s="4"/>
      <c r="BF200" s="4"/>
      <c r="BG200" s="4"/>
      <c r="BH200" s="4"/>
      <c r="BI200" s="4"/>
      <c r="BJ200" s="4"/>
      <c r="BX200" s="4"/>
      <c r="BY200" s="4"/>
    </row>
    <row r="201" spans="5:101" x14ac:dyDescent="0.2">
      <c r="T201" s="4"/>
      <c r="U201" s="4"/>
      <c r="V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X201" s="4"/>
      <c r="BY201" s="4"/>
    </row>
    <row r="202" spans="5:101" x14ac:dyDescent="0.2">
      <c r="T202" s="4"/>
      <c r="U202" s="4"/>
      <c r="V202" s="4"/>
      <c r="Z202" s="4" t="s">
        <v>197</v>
      </c>
      <c r="AA202" s="4"/>
      <c r="AB202" s="4"/>
      <c r="AC202" s="4"/>
      <c r="AE202" s="4"/>
      <c r="AF202" s="4"/>
      <c r="AG202" s="4"/>
      <c r="AH202" s="4"/>
      <c r="AI202" s="4"/>
      <c r="AQ202" s="4"/>
      <c r="AR202" s="4"/>
      <c r="AS202" s="4"/>
      <c r="AT202" s="4"/>
      <c r="AU202" s="4"/>
      <c r="AV202" s="4"/>
      <c r="AZ202" s="4"/>
      <c r="BA202" s="4"/>
      <c r="BB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M202" s="4"/>
      <c r="CN202" s="4"/>
    </row>
    <row r="203" spans="5:101" ht="16" thickBot="1" x14ac:dyDescent="0.25">
      <c r="T203" s="4"/>
      <c r="U203" s="4"/>
      <c r="V203" s="4"/>
      <c r="Z203" s="16" t="s">
        <v>198</v>
      </c>
      <c r="AA203" s="3" t="s">
        <v>199</v>
      </c>
      <c r="AB203" s="3" t="s">
        <v>200</v>
      </c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Z203" s="4"/>
      <c r="CA203" s="4"/>
      <c r="CB203" s="4"/>
      <c r="CO203" s="4"/>
      <c r="CP203" s="4"/>
      <c r="CQ203" s="4"/>
      <c r="CR203" s="4"/>
    </row>
    <row r="204" spans="5:101" x14ac:dyDescent="0.2"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63" t="s">
        <v>1</v>
      </c>
      <c r="V204" s="58" t="s">
        <v>0</v>
      </c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63" t="s">
        <v>1</v>
      </c>
      <c r="AP204" s="58" t="s">
        <v>0</v>
      </c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63" t="s">
        <v>1</v>
      </c>
      <c r="BI204" s="58" t="s">
        <v>0</v>
      </c>
      <c r="BJ204" s="25"/>
      <c r="BK204" s="25"/>
      <c r="BL204" s="25"/>
      <c r="BM204" s="25"/>
      <c r="BN204" s="25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63" t="s">
        <v>1</v>
      </c>
      <c r="CB204" s="58" t="s">
        <v>0</v>
      </c>
      <c r="CC204" s="4"/>
      <c r="CD204" s="4"/>
      <c r="CU204" s="4"/>
      <c r="CV204" s="63" t="s">
        <v>1</v>
      </c>
      <c r="CW204" s="58" t="s">
        <v>0</v>
      </c>
    </row>
    <row r="205" spans="5:101" ht="18" x14ac:dyDescent="0.25"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65" t="s">
        <v>89</v>
      </c>
      <c r="V205" s="64" t="s">
        <v>93</v>
      </c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 t="s">
        <v>525</v>
      </c>
      <c r="AL205" s="4"/>
      <c r="AM205" s="4"/>
      <c r="AN205" s="4"/>
      <c r="AO205" s="65" t="s">
        <v>89</v>
      </c>
      <c r="AP205" s="64" t="s">
        <v>93</v>
      </c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 t="s">
        <v>542</v>
      </c>
      <c r="BD205" s="4"/>
      <c r="BE205" s="4"/>
      <c r="BF205" s="4"/>
      <c r="BG205" s="4"/>
      <c r="BH205" s="65" t="s">
        <v>89</v>
      </c>
      <c r="BI205" s="64" t="s">
        <v>93</v>
      </c>
      <c r="BJ205" s="1"/>
      <c r="BK205" s="1"/>
      <c r="BL205" s="1"/>
      <c r="BM205" s="1"/>
      <c r="BN205" s="1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65" t="s">
        <v>89</v>
      </c>
      <c r="CB205" s="64" t="s">
        <v>93</v>
      </c>
      <c r="CC205" s="4"/>
      <c r="CD205" s="4"/>
      <c r="CU205" s="4"/>
      <c r="CV205" s="65" t="s">
        <v>89</v>
      </c>
      <c r="CW205" s="64" t="s">
        <v>93</v>
      </c>
    </row>
    <row r="206" spans="5:101" ht="15" customHeight="1" thickBot="1" x14ac:dyDescent="0.25">
      <c r="J206" s="4"/>
      <c r="K206" s="4"/>
      <c r="L206" s="4"/>
      <c r="M206" s="4"/>
      <c r="N206" s="4"/>
      <c r="O206" s="4"/>
      <c r="P206" s="356" t="s">
        <v>426</v>
      </c>
      <c r="Q206" s="356"/>
      <c r="R206" s="356"/>
      <c r="S206" s="4"/>
      <c r="T206" s="4"/>
      <c r="U206" s="50">
        <f>K217</f>
        <v>286.88405520213911</v>
      </c>
      <c r="V206" s="48">
        <f>V217</f>
        <v>8753719.7068998404</v>
      </c>
      <c r="W206" s="360" t="s">
        <v>417</v>
      </c>
      <c r="X206" s="360"/>
      <c r="Y206" s="360"/>
      <c r="Z206" s="360"/>
      <c r="AA206" s="360"/>
      <c r="AB206" s="360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50">
        <f>AE217</f>
        <v>286.88405520213911</v>
      </c>
      <c r="AP206" s="48">
        <f>AP217</f>
        <v>8753719.7068998404</v>
      </c>
      <c r="AQ206" s="360" t="s">
        <v>543</v>
      </c>
      <c r="AR206" s="360"/>
      <c r="AS206" s="360"/>
      <c r="AT206" s="360"/>
      <c r="AU206" s="360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50">
        <f>AX217</f>
        <v>286.88405520213911</v>
      </c>
      <c r="BI206" s="48">
        <f>BI217</f>
        <v>8753719.7068998404</v>
      </c>
      <c r="BJ206" s="360" t="s">
        <v>458</v>
      </c>
      <c r="BK206" s="360"/>
      <c r="BL206" s="360"/>
      <c r="BM206" s="360"/>
      <c r="BN206" s="360"/>
      <c r="BO206" s="4"/>
      <c r="BP206" s="4"/>
      <c r="BQ206" s="4"/>
      <c r="BR206" s="4"/>
      <c r="BS206" s="4"/>
      <c r="BT206" s="4"/>
      <c r="BU206" s="4"/>
      <c r="BV206" s="4"/>
      <c r="BW206" s="4" t="s">
        <v>526</v>
      </c>
      <c r="BX206" s="4"/>
      <c r="BY206" s="4"/>
      <c r="BZ206" s="4"/>
      <c r="CA206" s="50">
        <f>BQ217</f>
        <v>286.88405520213911</v>
      </c>
      <c r="CB206" s="48">
        <f>CB217</f>
        <v>8753719.7068998404</v>
      </c>
      <c r="CD206" s="360" t="s">
        <v>436</v>
      </c>
      <c r="CE206" s="360"/>
      <c r="CF206" s="360"/>
      <c r="CG206" s="360"/>
      <c r="CH206" s="360"/>
      <c r="CI206" s="305"/>
      <c r="CR206" s="3" t="s">
        <v>632</v>
      </c>
      <c r="CU206" s="4"/>
      <c r="CV206" s="50">
        <f>CL211</f>
        <v>198.80764502323905</v>
      </c>
      <c r="CW206" s="48">
        <f>CW211</f>
        <v>6791339.3350291392</v>
      </c>
    </row>
    <row r="207" spans="5:101" ht="15" customHeight="1" thickBot="1" x14ac:dyDescent="0.25"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360"/>
      <c r="X207" s="360"/>
      <c r="Y207" s="360"/>
      <c r="Z207" s="360"/>
      <c r="AA207" s="360"/>
      <c r="AB207" s="360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360"/>
      <c r="AR207" s="360"/>
      <c r="AS207" s="360"/>
      <c r="AT207" s="360"/>
      <c r="AU207" s="360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360"/>
      <c r="BK207" s="360"/>
      <c r="BL207" s="360"/>
      <c r="BM207" s="360"/>
      <c r="BN207" s="360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D207" s="374"/>
      <c r="CE207" s="374"/>
      <c r="CF207" s="374"/>
      <c r="CG207" s="374"/>
      <c r="CH207" s="374"/>
      <c r="CI207" s="305"/>
      <c r="CU207" s="4"/>
      <c r="CV207" s="4"/>
    </row>
    <row r="208" spans="5:101" ht="19.25" customHeight="1" x14ac:dyDescent="0.25">
      <c r="E208" s="346" t="s">
        <v>448</v>
      </c>
      <c r="F208" s="346"/>
      <c r="G208" s="346"/>
      <c r="H208" s="346"/>
      <c r="J208" s="4"/>
      <c r="K208" s="1" t="s">
        <v>558</v>
      </c>
      <c r="L208" s="1" t="s">
        <v>559</v>
      </c>
      <c r="M208" s="1" t="s">
        <v>561</v>
      </c>
      <c r="N208" s="1" t="s">
        <v>85</v>
      </c>
      <c r="O208" s="1" t="s">
        <v>665</v>
      </c>
      <c r="P208" s="1" t="s">
        <v>6</v>
      </c>
      <c r="Q208" s="1" t="s">
        <v>7</v>
      </c>
      <c r="R208" s="1" t="s">
        <v>8</v>
      </c>
      <c r="S208" s="1" t="s">
        <v>9</v>
      </c>
      <c r="T208" s="1" t="s">
        <v>49</v>
      </c>
      <c r="U208" s="1" t="s">
        <v>560</v>
      </c>
      <c r="V208" s="1" t="s">
        <v>50</v>
      </c>
      <c r="W208" s="4"/>
      <c r="X208" s="22" t="s">
        <v>431</v>
      </c>
      <c r="Y208" s="22" t="s">
        <v>479</v>
      </c>
      <c r="Z208" s="257" t="s">
        <v>337</v>
      </c>
      <c r="AA208" s="358" t="s">
        <v>344</v>
      </c>
      <c r="AB208" s="102" t="s">
        <v>317</v>
      </c>
      <c r="AC208" s="1"/>
      <c r="AD208" s="4"/>
      <c r="AE208" s="1" t="s">
        <v>558</v>
      </c>
      <c r="AF208" s="1" t="s">
        <v>559</v>
      </c>
      <c r="AG208" s="1" t="s">
        <v>561</v>
      </c>
      <c r="AH208" s="1" t="s">
        <v>85</v>
      </c>
      <c r="AI208" s="1" t="s">
        <v>665</v>
      </c>
      <c r="AJ208" s="1" t="s">
        <v>6</v>
      </c>
      <c r="AK208" s="1" t="s">
        <v>7</v>
      </c>
      <c r="AL208" s="1" t="s">
        <v>8</v>
      </c>
      <c r="AM208" s="1" t="s">
        <v>9</v>
      </c>
      <c r="AN208" s="1" t="s">
        <v>49</v>
      </c>
      <c r="AO208" s="1" t="s">
        <v>560</v>
      </c>
      <c r="AP208" s="1" t="s">
        <v>50</v>
      </c>
      <c r="AQ208" s="22" t="s">
        <v>431</v>
      </c>
      <c r="AR208" s="22" t="s">
        <v>479</v>
      </c>
      <c r="AS208" s="161" t="s">
        <v>337</v>
      </c>
      <c r="AT208" s="358" t="s">
        <v>344</v>
      </c>
      <c r="AU208" s="138" t="s">
        <v>317</v>
      </c>
      <c r="AV208" s="1"/>
      <c r="AW208" s="4"/>
      <c r="AX208" s="1" t="s">
        <v>558</v>
      </c>
      <c r="AY208" s="1" t="s">
        <v>559</v>
      </c>
      <c r="AZ208" s="1" t="s">
        <v>561</v>
      </c>
      <c r="BA208" s="1" t="s">
        <v>85</v>
      </c>
      <c r="BB208" s="1" t="s">
        <v>665</v>
      </c>
      <c r="BC208" s="1" t="s">
        <v>6</v>
      </c>
      <c r="BD208" s="1" t="s">
        <v>7</v>
      </c>
      <c r="BE208" s="1" t="s">
        <v>8</v>
      </c>
      <c r="BF208" s="1" t="s">
        <v>9</v>
      </c>
      <c r="BG208" s="1" t="s">
        <v>49</v>
      </c>
      <c r="BH208" s="1" t="s">
        <v>560</v>
      </c>
      <c r="BI208" s="1" t="s">
        <v>50</v>
      </c>
      <c r="BJ208" s="22" t="s">
        <v>431</v>
      </c>
      <c r="BK208" s="22" t="s">
        <v>479</v>
      </c>
      <c r="BL208" s="161" t="s">
        <v>337</v>
      </c>
      <c r="BM208" s="358" t="s">
        <v>344</v>
      </c>
      <c r="BN208" s="138" t="s">
        <v>317</v>
      </c>
      <c r="BO208" s="1"/>
      <c r="BP208" s="4"/>
      <c r="BQ208" s="1" t="s">
        <v>558</v>
      </c>
      <c r="BR208" s="1" t="s">
        <v>559</v>
      </c>
      <c r="BS208" s="1" t="s">
        <v>561</v>
      </c>
      <c r="BT208" s="1" t="s">
        <v>85</v>
      </c>
      <c r="BU208" s="1" t="s">
        <v>665</v>
      </c>
      <c r="BV208" s="1" t="s">
        <v>6</v>
      </c>
      <c r="BW208" s="1" t="s">
        <v>7</v>
      </c>
      <c r="BX208" s="1" t="s">
        <v>8</v>
      </c>
      <c r="BY208" s="1" t="s">
        <v>9</v>
      </c>
      <c r="BZ208" s="1" t="s">
        <v>49</v>
      </c>
      <c r="CA208" s="1" t="s">
        <v>560</v>
      </c>
      <c r="CB208" s="1" t="s">
        <v>50</v>
      </c>
      <c r="CD208" s="22" t="s">
        <v>431</v>
      </c>
      <c r="CE208" s="22" t="s">
        <v>479</v>
      </c>
      <c r="CF208" s="192" t="s">
        <v>337</v>
      </c>
      <c r="CG208" s="358" t="s">
        <v>344</v>
      </c>
      <c r="CH208" s="138" t="s">
        <v>317</v>
      </c>
      <c r="CI208" s="1"/>
      <c r="CJ208" s="1"/>
      <c r="CK208" s="4"/>
      <c r="CL208" s="1" t="s">
        <v>558</v>
      </c>
      <c r="CM208" s="1" t="s">
        <v>559</v>
      </c>
      <c r="CN208" s="1" t="s">
        <v>561</v>
      </c>
      <c r="CO208" s="1" t="s">
        <v>85</v>
      </c>
      <c r="CP208" s="1" t="s">
        <v>665</v>
      </c>
      <c r="CQ208" s="1" t="s">
        <v>6</v>
      </c>
      <c r="CR208" s="1" t="s">
        <v>7</v>
      </c>
      <c r="CS208" s="1" t="s">
        <v>8</v>
      </c>
      <c r="CT208" s="1" t="s">
        <v>9</v>
      </c>
      <c r="CU208" s="1" t="s">
        <v>49</v>
      </c>
      <c r="CV208" s="1" t="s">
        <v>560</v>
      </c>
      <c r="CW208" s="1" t="s">
        <v>50</v>
      </c>
    </row>
    <row r="209" spans="2:101" ht="18" x14ac:dyDescent="0.25">
      <c r="E209" s="346"/>
      <c r="F209" s="346"/>
      <c r="G209" s="346"/>
      <c r="H209" s="346"/>
      <c r="J209" s="4" t="s">
        <v>41</v>
      </c>
      <c r="K209" s="1" t="s">
        <v>88</v>
      </c>
      <c r="L209" s="4" t="s">
        <v>283</v>
      </c>
      <c r="M209" s="2" t="s">
        <v>90</v>
      </c>
      <c r="N209" s="2" t="s">
        <v>86</v>
      </c>
      <c r="O209" s="1" t="s">
        <v>650</v>
      </c>
      <c r="P209" s="2" t="s">
        <v>95</v>
      </c>
      <c r="Q209" s="2" t="s">
        <v>25</v>
      </c>
      <c r="R209" s="2" t="s">
        <v>98</v>
      </c>
      <c r="S209" s="2" t="s">
        <v>95</v>
      </c>
      <c r="T209" s="2" t="s">
        <v>95</v>
      </c>
      <c r="U209" s="2" t="s">
        <v>94</v>
      </c>
      <c r="V209" s="2" t="s">
        <v>92</v>
      </c>
      <c r="W209" s="4"/>
      <c r="X209" s="213" t="s">
        <v>48</v>
      </c>
      <c r="Y209" s="9" t="s">
        <v>48</v>
      </c>
      <c r="Z209" s="64" t="s">
        <v>89</v>
      </c>
      <c r="AA209" s="359"/>
      <c r="AB209" s="136" t="s">
        <v>82</v>
      </c>
      <c r="AC209" s="4"/>
      <c r="AD209" s="4" t="s">
        <v>41</v>
      </c>
      <c r="AE209" s="1" t="s">
        <v>88</v>
      </c>
      <c r="AF209" s="4" t="s">
        <v>283</v>
      </c>
      <c r="AG209" s="2" t="s">
        <v>90</v>
      </c>
      <c r="AH209" s="2" t="s">
        <v>86</v>
      </c>
      <c r="AI209" s="1" t="s">
        <v>650</v>
      </c>
      <c r="AJ209" s="2" t="s">
        <v>95</v>
      </c>
      <c r="AK209" s="2" t="s">
        <v>25</v>
      </c>
      <c r="AL209" s="2" t="s">
        <v>98</v>
      </c>
      <c r="AM209" s="2" t="s">
        <v>95</v>
      </c>
      <c r="AN209" s="2" t="s">
        <v>95</v>
      </c>
      <c r="AO209" s="2" t="s">
        <v>94</v>
      </c>
      <c r="AP209" s="2" t="s">
        <v>92</v>
      </c>
      <c r="AQ209" s="213" t="s">
        <v>48</v>
      </c>
      <c r="AR209" s="9" t="s">
        <v>48</v>
      </c>
      <c r="AS209" s="1" t="s">
        <v>89</v>
      </c>
      <c r="AT209" s="359"/>
      <c r="AU209" s="136" t="s">
        <v>82</v>
      </c>
      <c r="AV209" s="4"/>
      <c r="AW209" s="4" t="s">
        <v>41</v>
      </c>
      <c r="AX209" s="1" t="s">
        <v>88</v>
      </c>
      <c r="AY209" s="4" t="s">
        <v>283</v>
      </c>
      <c r="AZ209" s="2" t="s">
        <v>90</v>
      </c>
      <c r="BA209" s="2" t="s">
        <v>86</v>
      </c>
      <c r="BB209" s="1" t="s">
        <v>650</v>
      </c>
      <c r="BC209" s="2" t="s">
        <v>95</v>
      </c>
      <c r="BD209" s="2" t="s">
        <v>25</v>
      </c>
      <c r="BE209" s="2" t="s">
        <v>98</v>
      </c>
      <c r="BF209" s="2" t="s">
        <v>95</v>
      </c>
      <c r="BG209" s="2" t="s">
        <v>95</v>
      </c>
      <c r="BH209" s="2" t="s">
        <v>94</v>
      </c>
      <c r="BI209" s="2" t="s">
        <v>92</v>
      </c>
      <c r="BJ209" s="213" t="s">
        <v>48</v>
      </c>
      <c r="BK209" s="9" t="s">
        <v>48</v>
      </c>
      <c r="BL209" s="1" t="s">
        <v>89</v>
      </c>
      <c r="BM209" s="359"/>
      <c r="BN209" s="136" t="s">
        <v>82</v>
      </c>
      <c r="BO209" s="4"/>
      <c r="BP209" s="4" t="s">
        <v>41</v>
      </c>
      <c r="BQ209" s="1" t="s">
        <v>88</v>
      </c>
      <c r="BR209" s="4" t="s">
        <v>283</v>
      </c>
      <c r="BS209" s="2" t="s">
        <v>90</v>
      </c>
      <c r="BT209" s="2" t="s">
        <v>86</v>
      </c>
      <c r="BU209" s="1" t="s">
        <v>650</v>
      </c>
      <c r="BV209" s="2" t="s">
        <v>95</v>
      </c>
      <c r="BW209" s="2" t="s">
        <v>25</v>
      </c>
      <c r="BX209" s="2" t="s">
        <v>98</v>
      </c>
      <c r="BY209" s="2" t="s">
        <v>95</v>
      </c>
      <c r="BZ209" s="2" t="s">
        <v>95</v>
      </c>
      <c r="CA209" s="2" t="s">
        <v>94</v>
      </c>
      <c r="CB209" s="2" t="s">
        <v>92</v>
      </c>
      <c r="CD209" s="213" t="s">
        <v>48</v>
      </c>
      <c r="CE209" s="9" t="s">
        <v>48</v>
      </c>
      <c r="CF209" s="9" t="s">
        <v>89</v>
      </c>
      <c r="CG209" s="375"/>
      <c r="CH209" s="136" t="s">
        <v>82</v>
      </c>
      <c r="CI209" s="4"/>
      <c r="CJ209" s="4"/>
      <c r="CK209" s="4" t="s">
        <v>41</v>
      </c>
      <c r="CL209" s="1" t="s">
        <v>88</v>
      </c>
      <c r="CM209" s="4" t="s">
        <v>283</v>
      </c>
      <c r="CN209" s="2" t="s">
        <v>90</v>
      </c>
      <c r="CO209" s="2" t="s">
        <v>86</v>
      </c>
      <c r="CP209" s="1" t="s">
        <v>650</v>
      </c>
      <c r="CQ209" s="2" t="s">
        <v>95</v>
      </c>
      <c r="CR209" s="2" t="s">
        <v>25</v>
      </c>
      <c r="CS209" s="2" t="s">
        <v>98</v>
      </c>
      <c r="CT209" s="2" t="s">
        <v>95</v>
      </c>
      <c r="CU209" s="2" t="s">
        <v>95</v>
      </c>
      <c r="CV209" s="2" t="s">
        <v>94</v>
      </c>
      <c r="CW209" s="2" t="s">
        <v>92</v>
      </c>
    </row>
    <row r="210" spans="2:101" ht="16" thickBot="1" x14ac:dyDescent="0.25">
      <c r="I210" s="211" t="s">
        <v>426</v>
      </c>
      <c r="J210" s="62" t="str">
        <f>_xlfn.CONCAT("C"," ",mol_C_Coal_in," ","H"," ",mol_H_Coal," ","O",mol_O_Coal," ","N"," ",mol_N_Coal)</f>
        <v>C 1 H 2.49286325694876 O0.00856679817712224 N 0.00518144275589652</v>
      </c>
      <c r="K210" s="62">
        <f>COG_needed+C_for_BF</f>
        <v>268.39032078137268</v>
      </c>
      <c r="L210" s="62">
        <f t="shared" ref="L210:L216" si="75">K210/$AX$217</f>
        <v>0.93553585817888796</v>
      </c>
      <c r="M210" s="62" t="s">
        <v>388</v>
      </c>
      <c r="N210" s="62">
        <f>mol_C_Coal</f>
        <v>18216.584581012561</v>
      </c>
      <c r="O210" s="62">
        <f>NCV_dry_anthrocite</f>
        <v>30080</v>
      </c>
      <c r="P210" s="62">
        <f>AJ210</f>
        <v>480.40929118575997</v>
      </c>
      <c r="Q210" s="62">
        <f t="shared" ref="Q210:Q216" si="76">N210/$BA$217</f>
        <v>0.98615312780371323</v>
      </c>
      <c r="R210" s="62">
        <f>LN(Q210)</f>
        <v>-1.3943634405450302E-2</v>
      </c>
      <c r="S210" s="62">
        <f t="shared" ref="S210:S216" si="77">RT0*R210</f>
        <v>-3.1665562876474505E-2</v>
      </c>
      <c r="T210" s="62">
        <f>S210+P210</f>
        <v>480.3776256228835</v>
      </c>
      <c r="U210" s="62">
        <f>T210*Q210</f>
        <v>473.72589803492775</v>
      </c>
      <c r="V210" s="62">
        <f t="shared" ref="V210:V216" si="78">U210*$BA$217</f>
        <v>8750839.6479852442</v>
      </c>
      <c r="W210" s="4"/>
      <c r="X210" s="104">
        <f>AP227</f>
        <v>575.29559740969785</v>
      </c>
      <c r="Y210" s="99">
        <f>SUM(AC195,V206,V222,V236) - SUM(AP206,AP227)</f>
        <v>99323.641298372298</v>
      </c>
      <c r="Z210" s="258">
        <f>AO206-U206</f>
        <v>0</v>
      </c>
      <c r="AA210" s="139" t="s">
        <v>341</v>
      </c>
      <c r="AB210" s="103">
        <f>(($AH$210*($AO$210-U210))/AC195)</f>
        <v>0</v>
      </c>
      <c r="AC210" s="211" t="s">
        <v>538</v>
      </c>
      <c r="AD210" s="62" t="str">
        <f>_xlfn.CONCAT("C"," ",mol_C_Coal_in," ","H"," ",mol_H_Coal," ","O",mol_O_Coal," ","N"," ",mol_N_Coal)</f>
        <v>C 1 H 2.49286325694876 O0.00856679817712224 N 0.00518144275589652</v>
      </c>
      <c r="AE210" s="62">
        <f>COG_needed+C_for_BF</f>
        <v>268.39032078137268</v>
      </c>
      <c r="AF210" s="62">
        <f t="shared" ref="AF210:AF216" si="79">AE210/$AX$217</f>
        <v>0.93553585817888796</v>
      </c>
      <c r="AG210" s="62" t="s">
        <v>388</v>
      </c>
      <c r="AH210" s="62">
        <f>mol_C_Coal</f>
        <v>18216.584581012561</v>
      </c>
      <c r="AI210" s="62">
        <f>NCV_dry_anthrocite</f>
        <v>30080</v>
      </c>
      <c r="AJ210" s="62">
        <f>BC210</f>
        <v>480.40929118575997</v>
      </c>
      <c r="AK210" s="62">
        <f t="shared" ref="AK210:AK216" si="80">AH210/$BA$217</f>
        <v>0.98615312780371323</v>
      </c>
      <c r="AL210" s="62">
        <f>LN(AK210)</f>
        <v>-1.3943634405450302E-2</v>
      </c>
      <c r="AM210" s="62">
        <f t="shared" ref="AM210:AM216" si="81">RT0*AL210</f>
        <v>-3.1665562876474505E-2</v>
      </c>
      <c r="AN210" s="62">
        <f>AM210+AJ210</f>
        <v>480.3776256228835</v>
      </c>
      <c r="AO210" s="62">
        <f>AN210*AK210</f>
        <v>473.72589803492775</v>
      </c>
      <c r="AP210" s="62">
        <f t="shared" ref="AP210:AP216" si="82">AO210*$BA$217</f>
        <v>8750839.6479852442</v>
      </c>
      <c r="AQ210" s="104">
        <f>0</f>
        <v>0</v>
      </c>
      <c r="AR210" s="99">
        <f>AP206+AU190-BI206</f>
        <v>160253.43323591538</v>
      </c>
      <c r="AS210" s="141">
        <f>BH206-AO206</f>
        <v>0</v>
      </c>
      <c r="AT210" s="139" t="s">
        <v>341</v>
      </c>
      <c r="AU210" s="136">
        <f>((BA210*(BH210-AO210))/AU190)</f>
        <v>0</v>
      </c>
      <c r="AV210" s="211" t="s">
        <v>542</v>
      </c>
      <c r="AW210" s="200" t="str">
        <f>_xlfn.CONCAT("C"," ",mol_C_Coal_in," ","H"," ",mol_H_Coal," ","O",mol_O_Coal," ","N"," ",mol_N_Coal)</f>
        <v>C 1 H 2.49286325694876 O0.00856679817712224 N 0.00518144275589652</v>
      </c>
      <c r="AX210" s="62">
        <f>COG_needed+C_for_BF</f>
        <v>268.39032078137268</v>
      </c>
      <c r="AY210" s="62">
        <f t="shared" ref="AY210:AY216" si="83">AX210/$AX$217</f>
        <v>0.93553585817888796</v>
      </c>
      <c r="AZ210" s="62" t="s">
        <v>388</v>
      </c>
      <c r="BA210" s="62">
        <f>mol_C_Coal</f>
        <v>18216.584581012561</v>
      </c>
      <c r="BB210" s="62">
        <f>NCV_dry_anthrocite</f>
        <v>30080</v>
      </c>
      <c r="BC210" s="62">
        <f>BV210</f>
        <v>480.40929118575997</v>
      </c>
      <c r="BD210" s="62">
        <f t="shared" ref="BD210:BD216" si="84">BA210/$BA$217</f>
        <v>0.98615312780371323</v>
      </c>
      <c r="BE210" s="62">
        <f>LN(BD210)</f>
        <v>-1.3943634405450302E-2</v>
      </c>
      <c r="BF210" s="62">
        <f t="shared" ref="BF210:BF216" si="85">RT0*BE210</f>
        <v>-3.1665562876474505E-2</v>
      </c>
      <c r="BG210" s="62">
        <f>BF210+BC210</f>
        <v>480.3776256228835</v>
      </c>
      <c r="BH210" s="62">
        <f>BG210*BD210</f>
        <v>473.72589803492775</v>
      </c>
      <c r="BI210" s="62">
        <f t="shared" ref="BI210:BI216" si="86">BH210*$BA$217</f>
        <v>8750839.6479852442</v>
      </c>
      <c r="BJ210" s="104" t="str">
        <f>CF217</f>
        <v>[mol j]</v>
      </c>
      <c r="BK210" s="99">
        <f>(BM195+BI206)-CB206</f>
        <v>28604.157765781507</v>
      </c>
      <c r="BL210" s="141">
        <f>CA206-BH206</f>
        <v>0</v>
      </c>
      <c r="BM210" s="139" t="s">
        <v>341</v>
      </c>
      <c r="BN210" s="136">
        <f>((BT210*(CA210-BH210))/BM195)</f>
        <v>0</v>
      </c>
      <c r="BO210" s="211" t="s">
        <v>486</v>
      </c>
      <c r="BP210" s="200" t="str">
        <f>_xlfn.CONCAT("C"," ",mol_C_Coal_in," ","H"," ",mol_H_Coal," ","O",mol_O_Coal," ","N"," ",mol_N_Coal)</f>
        <v>C 1 H 2.49286325694876 O0.00856679817712224 N 0.00518144275589652</v>
      </c>
      <c r="BQ210" s="62">
        <f>COG_needed+C_for_BF</f>
        <v>268.39032078137268</v>
      </c>
      <c r="BR210" s="62">
        <f>BQ210/$BQ$217</f>
        <v>0.93553585817888796</v>
      </c>
      <c r="BS210" s="62" t="s">
        <v>388</v>
      </c>
      <c r="BT210" s="62">
        <f>mol_C_Coal</f>
        <v>18216.584581012561</v>
      </c>
      <c r="BU210" s="62">
        <f>NCV_dry_anthrocite</f>
        <v>30080</v>
      </c>
      <c r="BV210" s="62">
        <f>(b_ch_coal*BQ210)/BT210</f>
        <v>480.40929118575997</v>
      </c>
      <c r="BW210" s="62">
        <f t="shared" ref="BW210:BW216" si="87">BT210/$BT$217</f>
        <v>0.98615312780371323</v>
      </c>
      <c r="BX210" s="62">
        <f>LN(BW210)</f>
        <v>-1.3943634405450302E-2</v>
      </c>
      <c r="BY210" s="62">
        <f t="shared" ref="BY210:BY216" si="88">RT0*BX210</f>
        <v>-3.1665562876474505E-2</v>
      </c>
      <c r="BZ210" s="62">
        <f>BY210+BV210</f>
        <v>480.3776256228835</v>
      </c>
      <c r="CA210" s="62">
        <f>BZ210*BW210</f>
        <v>473.72589803492775</v>
      </c>
      <c r="CB210" s="62">
        <f>CA210*$BT$217</f>
        <v>8750839.6479852442</v>
      </c>
      <c r="CD210" s="104">
        <f>SUM(CB206,CB225,CB242,CB254) - SUM(CW250,CW233,CW217,CW206)</f>
        <v>-2253420.798186779</v>
      </c>
      <c r="CE210" s="99">
        <f>SUM(CB254,CB206,CB225,CB242) - SUM(CW206,CW217,CW233,CW250)</f>
        <v>-2253420.7981867772</v>
      </c>
      <c r="CF210" s="194">
        <f>ROUND(CV206+CV217+CV233+CV250-CA206-CA225-CA242-CA254, 10)</f>
        <v>0</v>
      </c>
      <c r="CG210" s="139" t="s">
        <v>341</v>
      </c>
      <c r="CH210" s="136" t="s">
        <v>98</v>
      </c>
      <c r="CI210" s="4"/>
      <c r="CJ210" s="256" t="s">
        <v>633</v>
      </c>
      <c r="CK210" s="95" t="s">
        <v>18</v>
      </c>
      <c r="CL210" s="170">
        <f>C_for_BF</f>
        <v>198.80764502323905</v>
      </c>
      <c r="CM210" s="95">
        <f>CL210/CL211</f>
        <v>1</v>
      </c>
      <c r="CN210" s="95">
        <f>MW_C</f>
        <v>1.2010999999999999E-2</v>
      </c>
      <c r="CO210" s="95">
        <f>CL210/CN210</f>
        <v>16552.130965218472</v>
      </c>
      <c r="CP210" s="95">
        <f>h_C</f>
        <v>0</v>
      </c>
      <c r="CQ210" s="95">
        <f>b_ch_C</f>
        <v>410.3</v>
      </c>
      <c r="CR210" s="95">
        <f>CO210/CO211</f>
        <v>1</v>
      </c>
      <c r="CS210" s="95">
        <f>LN(CR210)</f>
        <v>0</v>
      </c>
      <c r="CT210" s="95">
        <f>RT0*CS210</f>
        <v>0</v>
      </c>
      <c r="CU210" s="96">
        <f>CT210+CQ210</f>
        <v>410.3</v>
      </c>
      <c r="CV210" s="96">
        <f>CU210*CR210</f>
        <v>410.3</v>
      </c>
      <c r="CW210" s="95">
        <f>CV210*CO211</f>
        <v>6791339.3350291392</v>
      </c>
    </row>
    <row r="211" spans="2:101" ht="17" x14ac:dyDescent="0.25">
      <c r="I211" s="361" t="s">
        <v>540</v>
      </c>
      <c r="J211" s="62" t="s">
        <v>307</v>
      </c>
      <c r="K211" s="62">
        <f t="shared" ref="K211:K216" si="89">AE211</f>
        <v>6.8833679514092623</v>
      </c>
      <c r="L211" s="62">
        <f t="shared" si="75"/>
        <v>2.3993553585817892E-2</v>
      </c>
      <c r="M211" s="62">
        <f>MW_Al2O3</f>
        <v>0.10196127799999999</v>
      </c>
      <c r="N211" s="62">
        <f t="shared" ref="N211:N216" si="90">K211/M211</f>
        <v>67.509628031626505</v>
      </c>
      <c r="O211" s="62">
        <f>h_Al2O3</f>
        <v>-16434.670424590011</v>
      </c>
      <c r="P211" s="62">
        <f>b_ch_Al2O3</f>
        <v>31.875999999999976</v>
      </c>
      <c r="Q211" s="62">
        <f t="shared" si="76"/>
        <v>3.6546274931056905E-3</v>
      </c>
      <c r="R211" s="62">
        <f t="shared" ref="R211:R216" si="91">LN(Q211)</f>
        <v>-5.611761108045239</v>
      </c>
      <c r="S211" s="62">
        <f t="shared" si="77"/>
        <v>-12.744136072952498</v>
      </c>
      <c r="T211" s="62">
        <f t="shared" ref="T211:T216" si="92">S211+P211</f>
        <v>19.131863927047476</v>
      </c>
      <c r="U211" s="62">
        <f t="shared" ref="U211:U216" si="93">T211*Q211</f>
        <v>6.9919835902144706E-2</v>
      </c>
      <c r="V211" s="62">
        <f t="shared" si="78"/>
        <v>1291.5850172666683</v>
      </c>
      <c r="W211" s="4"/>
      <c r="X211" s="4"/>
      <c r="Y211" s="4"/>
      <c r="Z211" s="4"/>
      <c r="AA211" s="139" t="s">
        <v>637</v>
      </c>
      <c r="AB211" s="103">
        <f>(AP206+AP227)/($AC$195+V206+V222+V236)</f>
        <v>0.98878157674342848</v>
      </c>
      <c r="AC211" s="361" t="s">
        <v>539</v>
      </c>
      <c r="AD211" s="62" t="s">
        <v>307</v>
      </c>
      <c r="AE211" s="62">
        <f t="shared" ref="AE211:AE216" si="94">AX211</f>
        <v>6.8833679514092623</v>
      </c>
      <c r="AF211" s="62">
        <f t="shared" si="79"/>
        <v>2.3993553585817892E-2</v>
      </c>
      <c r="AG211" s="62">
        <f>MW_Al2O3</f>
        <v>0.10196127799999999</v>
      </c>
      <c r="AH211" s="62">
        <f t="shared" ref="AH211:AH216" si="95">AE211/AG211</f>
        <v>67.509628031626505</v>
      </c>
      <c r="AI211" s="62">
        <f>h_Al2O3</f>
        <v>-16434.670424590011</v>
      </c>
      <c r="AJ211" s="62">
        <f>b_ch_Al2O3</f>
        <v>31.875999999999976</v>
      </c>
      <c r="AK211" s="62">
        <f t="shared" si="80"/>
        <v>3.6546274931056905E-3</v>
      </c>
      <c r="AL211" s="62">
        <f t="shared" ref="AL211:AL216" si="96">LN(AK211)</f>
        <v>-5.611761108045239</v>
      </c>
      <c r="AM211" s="62">
        <f t="shared" si="81"/>
        <v>-12.744136072952498</v>
      </c>
      <c r="AN211" s="62">
        <f t="shared" ref="AN211:AN216" si="97">AM211+AJ211</f>
        <v>19.131863927047476</v>
      </c>
      <c r="AO211" s="62">
        <f t="shared" ref="AO211:AO216" si="98">AN211*AK211</f>
        <v>6.9919835902144706E-2</v>
      </c>
      <c r="AP211" s="62">
        <f t="shared" si="82"/>
        <v>1291.5850172666683</v>
      </c>
      <c r="AQ211" s="4"/>
      <c r="AR211" s="4"/>
      <c r="AT211" s="139" t="s">
        <v>637</v>
      </c>
      <c r="AU211" s="136">
        <f>BI206/(AP206+AU190)</f>
        <v>0.98202222166069097</v>
      </c>
      <c r="AV211" s="361" t="s">
        <v>537</v>
      </c>
      <c r="AW211" s="62" t="s">
        <v>307</v>
      </c>
      <c r="AX211" s="62">
        <f>CL221</f>
        <v>6.8833679514092623</v>
      </c>
      <c r="AY211" s="62">
        <f t="shared" si="83"/>
        <v>2.3993553585817892E-2</v>
      </c>
      <c r="AZ211" s="62">
        <f>MW_Al2O3</f>
        <v>0.10196127799999999</v>
      </c>
      <c r="BA211" s="62">
        <f t="shared" ref="BA211:BA216" si="99">AX211/AZ211</f>
        <v>67.509628031626505</v>
      </c>
      <c r="BB211" s="62">
        <f>h_Al2O3</f>
        <v>-16434.670424590011</v>
      </c>
      <c r="BC211" s="62">
        <f>b_ch_Al2O3</f>
        <v>31.875999999999976</v>
      </c>
      <c r="BD211" s="62">
        <f t="shared" si="84"/>
        <v>3.6546274931056905E-3</v>
      </c>
      <c r="BE211" s="62">
        <f t="shared" ref="BE211:BE216" si="100">LN(BD211)</f>
        <v>-5.611761108045239</v>
      </c>
      <c r="BF211" s="62">
        <f t="shared" si="85"/>
        <v>-12.744136072952498</v>
      </c>
      <c r="BG211" s="62">
        <f t="shared" ref="BG211:BG216" si="101">BF211+BC211</f>
        <v>19.131863927047476</v>
      </c>
      <c r="BH211" s="62">
        <f t="shared" ref="BH211:BH216" si="102">BG211*BD211</f>
        <v>6.9919835902144706E-2</v>
      </c>
      <c r="BI211" s="62">
        <f t="shared" si="86"/>
        <v>1291.5850172666683</v>
      </c>
      <c r="BJ211" s="4"/>
      <c r="BK211" s="4"/>
      <c r="BM211" s="139" t="s">
        <v>637</v>
      </c>
      <c r="BN211" s="136">
        <f>CB206/(BM195+BI206)</f>
        <v>0.9967429853184</v>
      </c>
      <c r="BO211" s="361" t="s">
        <v>536</v>
      </c>
      <c r="BP211" s="62" t="s">
        <v>307</v>
      </c>
      <c r="BQ211" s="62">
        <f t="shared" ref="BQ211:BQ216" si="103">AX211</f>
        <v>6.8833679514092623</v>
      </c>
      <c r="BR211" s="62">
        <f t="shared" ref="BR211:BR216" si="104">BQ211/$BQ$217</f>
        <v>2.3993553585817892E-2</v>
      </c>
      <c r="BS211" s="62">
        <f>MW_Al2O3</f>
        <v>0.10196127799999999</v>
      </c>
      <c r="BT211" s="62">
        <f t="shared" ref="BT211:BT216" si="105">BQ211/BS211</f>
        <v>67.509628031626505</v>
      </c>
      <c r="BU211" s="62">
        <f>h_Al2O3</f>
        <v>-16434.670424590011</v>
      </c>
      <c r="BV211" s="62">
        <f>b_ch_Al2O3</f>
        <v>31.875999999999976</v>
      </c>
      <c r="BW211" s="62">
        <f t="shared" si="87"/>
        <v>3.6546274931056905E-3</v>
      </c>
      <c r="BX211" s="62">
        <f t="shared" ref="BX211:BX216" si="106">LN(BW211)</f>
        <v>-5.611761108045239</v>
      </c>
      <c r="BY211" s="62">
        <f t="shared" si="88"/>
        <v>-12.744136072952498</v>
      </c>
      <c r="BZ211" s="62">
        <f t="shared" ref="BZ211:BZ216" si="107">BY211+BV211</f>
        <v>19.131863927047476</v>
      </c>
      <c r="CA211" s="62">
        <f t="shared" ref="CA211:CA216" si="108">BZ211*BW211</f>
        <v>6.9919835902144706E-2</v>
      </c>
      <c r="CB211" s="62">
        <f>CA211*$BT$217</f>
        <v>1291.5850172666683</v>
      </c>
      <c r="CD211" s="4"/>
      <c r="CE211" s="4"/>
      <c r="CG211" s="139" t="s">
        <v>637</v>
      </c>
      <c r="CH211" s="136">
        <f>(CW217+CW206+CW233+CW250)/(CB254+CB206+CB225+CB242)</f>
        <v>1.2140142164545837</v>
      </c>
      <c r="CI211" s="4"/>
      <c r="CJ211" s="4"/>
      <c r="CK211" s="17"/>
      <c r="CL211" s="17">
        <f>SUM(CL210)</f>
        <v>198.80764502323905</v>
      </c>
      <c r="CM211" s="17"/>
      <c r="CN211" s="17"/>
      <c r="CO211" s="17">
        <f>SUM(CO210)</f>
        <v>16552.130965218472</v>
      </c>
      <c r="CP211" s="17">
        <f>SUM(CP210)</f>
        <v>0</v>
      </c>
      <c r="CQ211" s="17"/>
      <c r="CR211" s="17"/>
      <c r="CS211" s="17"/>
      <c r="CT211" s="17"/>
      <c r="CU211" s="62"/>
      <c r="CV211" s="62"/>
      <c r="CW211" s="17">
        <f>SUM(CW210)</f>
        <v>6791339.3350291392</v>
      </c>
    </row>
    <row r="212" spans="2:101" ht="19" thickBot="1" x14ac:dyDescent="0.3">
      <c r="I212" s="361"/>
      <c r="J212" s="4" t="s">
        <v>123</v>
      </c>
      <c r="K212" s="4">
        <f t="shared" si="89"/>
        <v>1.2908626625694963</v>
      </c>
      <c r="L212" s="4">
        <f t="shared" si="75"/>
        <v>4.4995970991136185E-3</v>
      </c>
      <c r="M212" s="4">
        <f>MW_CaO</f>
        <v>5.6077400000000006E-2</v>
      </c>
      <c r="N212" s="4">
        <f t="shared" si="90"/>
        <v>23.019303009224682</v>
      </c>
      <c r="O212" s="4">
        <f>h_CaO</f>
        <v>-11321.85158370395</v>
      </c>
      <c r="P212" s="4">
        <f>b_ch_CaO</f>
        <v>122.25799999999992</v>
      </c>
      <c r="Q212" s="4">
        <f t="shared" si="76"/>
        <v>1.2461478473889942E-3</v>
      </c>
      <c r="R212" s="4">
        <f t="shared" si="91"/>
        <v>-6.6876982080405689</v>
      </c>
      <c r="S212" s="4">
        <f t="shared" si="77"/>
        <v>-15.187555980585502</v>
      </c>
      <c r="T212" s="4">
        <f t="shared" si="92"/>
        <v>107.07044401941442</v>
      </c>
      <c r="U212" s="4">
        <f t="shared" si="93"/>
        <v>0.13342560333377709</v>
      </c>
      <c r="V212" s="4">
        <f t="shared" si="78"/>
        <v>2464.6869942151293</v>
      </c>
      <c r="W212" s="4"/>
      <c r="X212" s="4"/>
      <c r="Y212" s="4"/>
      <c r="Z212" s="4"/>
      <c r="AA212" s="140" t="s">
        <v>406</v>
      </c>
      <c r="AB212" s="99">
        <f>$AP$210/($AC$195+V206+V222+V236)</f>
        <v>0.98839130078384352</v>
      </c>
      <c r="AC212" s="361"/>
      <c r="AD212" s="4" t="s">
        <v>123</v>
      </c>
      <c r="AE212" s="4">
        <f t="shared" si="94"/>
        <v>1.2908626625694963</v>
      </c>
      <c r="AF212" s="4">
        <f t="shared" si="79"/>
        <v>4.4995970991136185E-3</v>
      </c>
      <c r="AG212" s="4">
        <f>MW_CaO</f>
        <v>5.6077400000000006E-2</v>
      </c>
      <c r="AH212" s="4">
        <f t="shared" si="95"/>
        <v>23.019303009224682</v>
      </c>
      <c r="AI212" s="4">
        <f>h_CaO</f>
        <v>-11321.85158370395</v>
      </c>
      <c r="AJ212" s="4">
        <f>b_ch_CaO</f>
        <v>122.25799999999992</v>
      </c>
      <c r="AK212" s="4">
        <f t="shared" si="80"/>
        <v>1.2461478473889942E-3</v>
      </c>
      <c r="AL212" s="4">
        <f t="shared" si="96"/>
        <v>-6.6876982080405689</v>
      </c>
      <c r="AM212" s="4">
        <f t="shared" si="81"/>
        <v>-15.187555980585502</v>
      </c>
      <c r="AN212" s="4">
        <f t="shared" si="97"/>
        <v>107.07044401941442</v>
      </c>
      <c r="AO212" s="4">
        <f t="shared" si="98"/>
        <v>0.13342560333377709</v>
      </c>
      <c r="AP212" s="4">
        <f t="shared" si="82"/>
        <v>2464.6869942151293</v>
      </c>
      <c r="AQ212" s="4"/>
      <c r="AR212" s="4"/>
      <c r="AT212" s="140" t="s">
        <v>406</v>
      </c>
      <c r="AU212" s="137">
        <f>BI210/(AP206+AU190)</f>
        <v>0.9816991267994748</v>
      </c>
      <c r="AV212" s="361"/>
      <c r="AW212" s="4" t="s">
        <v>123</v>
      </c>
      <c r="AX212" s="4">
        <f t="shared" ref="AX212:AX216" si="109">CL222</f>
        <v>1.2908626625694963</v>
      </c>
      <c r="AY212" s="4">
        <f t="shared" si="83"/>
        <v>4.4995970991136185E-3</v>
      </c>
      <c r="AZ212" s="4">
        <f>MW_CaO</f>
        <v>5.6077400000000006E-2</v>
      </c>
      <c r="BA212" s="4">
        <f t="shared" si="99"/>
        <v>23.019303009224682</v>
      </c>
      <c r="BB212" s="4">
        <f>h_CaO</f>
        <v>-11321.85158370395</v>
      </c>
      <c r="BC212" s="4">
        <f>b_ch_CaO</f>
        <v>122.25799999999992</v>
      </c>
      <c r="BD212" s="4">
        <f t="shared" si="84"/>
        <v>1.2461478473889942E-3</v>
      </c>
      <c r="BE212" s="4">
        <f t="shared" si="100"/>
        <v>-6.6876982080405689</v>
      </c>
      <c r="BF212" s="4">
        <f t="shared" si="85"/>
        <v>-15.187555980585502</v>
      </c>
      <c r="BG212" s="4">
        <f t="shared" si="101"/>
        <v>107.07044401941442</v>
      </c>
      <c r="BH212" s="4">
        <f t="shared" si="102"/>
        <v>0.13342560333377709</v>
      </c>
      <c r="BI212" s="4">
        <f t="shared" si="86"/>
        <v>2464.6869942151293</v>
      </c>
      <c r="BJ212" s="4"/>
      <c r="BK212" s="4"/>
      <c r="BM212" s="140" t="s">
        <v>406</v>
      </c>
      <c r="BN212" s="137">
        <f>CB210/(BM195+BI206)</f>
        <v>0.99641504718277929</v>
      </c>
      <c r="BO212" s="361"/>
      <c r="BP212" s="4" t="s">
        <v>123</v>
      </c>
      <c r="BQ212" s="4">
        <f t="shared" si="103"/>
        <v>1.2908626625694963</v>
      </c>
      <c r="BR212" s="4">
        <f t="shared" si="104"/>
        <v>4.4995970991136185E-3</v>
      </c>
      <c r="BS212" s="4">
        <f>MW_CaO</f>
        <v>5.6077400000000006E-2</v>
      </c>
      <c r="BT212" s="4">
        <f t="shared" si="105"/>
        <v>23.019303009224682</v>
      </c>
      <c r="BU212" s="4">
        <f>h_CaO</f>
        <v>-11321.85158370395</v>
      </c>
      <c r="BV212" s="4">
        <f>b_ch_CaO</f>
        <v>122.25799999999992</v>
      </c>
      <c r="BW212" s="4">
        <f t="shared" si="87"/>
        <v>1.2461478473889942E-3</v>
      </c>
      <c r="BX212" s="4">
        <f t="shared" si="106"/>
        <v>-6.6876982080405689</v>
      </c>
      <c r="BY212" s="4">
        <f t="shared" si="88"/>
        <v>-15.187555980585502</v>
      </c>
      <c r="BZ212" s="4">
        <f t="shared" si="107"/>
        <v>107.07044401941442</v>
      </c>
      <c r="CA212" s="4">
        <f t="shared" si="108"/>
        <v>0.13342560333377709</v>
      </c>
      <c r="CB212" s="4">
        <f t="shared" ref="CB212:CB216" si="110">CA212*$BT$217</f>
        <v>2464.6869942151293</v>
      </c>
      <c r="CD212" s="4"/>
      <c r="CE212" s="4"/>
      <c r="CG212" s="140" t="s">
        <v>406</v>
      </c>
      <c r="CH212" s="137">
        <f>CW206/(CB254+CB206+CB225+CB242)</f>
        <v>0.64499412077538865</v>
      </c>
      <c r="CI212" s="4"/>
      <c r="CJ212" s="4"/>
      <c r="CL212" s="1" t="s">
        <v>89</v>
      </c>
      <c r="CM212" s="1"/>
      <c r="CN212" s="3" t="s">
        <v>91</v>
      </c>
      <c r="CO212" s="3" t="s">
        <v>87</v>
      </c>
      <c r="CP212" s="1" t="s">
        <v>666</v>
      </c>
      <c r="CQ212" s="4"/>
      <c r="CR212" s="4"/>
      <c r="CV212" s="3" t="s">
        <v>96</v>
      </c>
      <c r="CW212" s="1" t="s">
        <v>93</v>
      </c>
    </row>
    <row r="213" spans="2:101" x14ac:dyDescent="0.2">
      <c r="I213" s="361"/>
      <c r="J213" s="4" t="s">
        <v>179</v>
      </c>
      <c r="K213" s="4">
        <f t="shared" si="89"/>
        <v>0.22932230681750362</v>
      </c>
      <c r="L213" s="4">
        <f t="shared" si="75"/>
        <v>7.993553585817889E-4</v>
      </c>
      <c r="M213" s="4">
        <f>MW_MgO</f>
        <v>4.0304400000000004E-2</v>
      </c>
      <c r="N213" s="4">
        <f t="shared" si="90"/>
        <v>5.6897586074350093</v>
      </c>
      <c r="O213" s="4">
        <f>h_MgO</f>
        <v>-14926.410019749705</v>
      </c>
      <c r="P213" s="4">
        <f>b_ch_MgO</f>
        <v>62.576000000000022</v>
      </c>
      <c r="Q213" s="4">
        <f t="shared" si="76"/>
        <v>3.0801455795498246E-4</v>
      </c>
      <c r="R213" s="4">
        <f t="shared" si="91"/>
        <v>-8.0853635100201</v>
      </c>
      <c r="S213" s="4">
        <f t="shared" si="77"/>
        <v>-18.361610693523186</v>
      </c>
      <c r="T213" s="4">
        <f t="shared" si="92"/>
        <v>44.214389306476832</v>
      </c>
      <c r="U213" s="4">
        <f t="shared" si="93"/>
        <v>1.3618675577483965E-2</v>
      </c>
      <c r="V213" s="4">
        <f t="shared" si="78"/>
        <v>251.56920212900897</v>
      </c>
      <c r="W213" s="4"/>
      <c r="X213" s="4"/>
      <c r="Y213" s="4"/>
      <c r="Z213" s="4"/>
      <c r="AA213" s="4"/>
      <c r="AB213" s="4"/>
      <c r="AC213" s="361"/>
      <c r="AD213" s="4" t="s">
        <v>179</v>
      </c>
      <c r="AE213" s="4">
        <f t="shared" si="94"/>
        <v>0.22932230681750362</v>
      </c>
      <c r="AF213" s="4">
        <f t="shared" si="79"/>
        <v>7.993553585817889E-4</v>
      </c>
      <c r="AG213" s="4">
        <f>MW_MgO</f>
        <v>4.0304400000000004E-2</v>
      </c>
      <c r="AH213" s="4">
        <f t="shared" si="95"/>
        <v>5.6897586074350093</v>
      </c>
      <c r="AI213" s="4">
        <f>h_MgO</f>
        <v>-14926.410019749705</v>
      </c>
      <c r="AJ213" s="4">
        <f>b_ch_MgO</f>
        <v>62.576000000000022</v>
      </c>
      <c r="AK213" s="4">
        <f t="shared" si="80"/>
        <v>3.0801455795498246E-4</v>
      </c>
      <c r="AL213" s="4">
        <f t="shared" si="96"/>
        <v>-8.0853635100201</v>
      </c>
      <c r="AM213" s="4">
        <f t="shared" si="81"/>
        <v>-18.361610693523186</v>
      </c>
      <c r="AN213" s="4">
        <f t="shared" si="97"/>
        <v>44.214389306476832</v>
      </c>
      <c r="AO213" s="4">
        <f t="shared" si="98"/>
        <v>1.3618675577483965E-2</v>
      </c>
      <c r="AP213" s="4">
        <f t="shared" si="82"/>
        <v>251.56920212900897</v>
      </c>
      <c r="AQ213" s="4"/>
      <c r="AR213" s="4"/>
      <c r="AT213" s="4"/>
      <c r="AU213" s="4"/>
      <c r="AV213" s="361"/>
      <c r="AW213" s="4" t="s">
        <v>179</v>
      </c>
      <c r="AX213" s="4">
        <f t="shared" si="109"/>
        <v>0.22932230681750362</v>
      </c>
      <c r="AY213" s="4">
        <f t="shared" si="83"/>
        <v>7.993553585817889E-4</v>
      </c>
      <c r="AZ213" s="4">
        <f>MW_MgO</f>
        <v>4.0304400000000004E-2</v>
      </c>
      <c r="BA213" s="4">
        <f t="shared" si="99"/>
        <v>5.6897586074350093</v>
      </c>
      <c r="BB213" s="4">
        <f>h_MgO</f>
        <v>-14926.410019749705</v>
      </c>
      <c r="BC213" s="4">
        <f>b_ch_MgO</f>
        <v>62.576000000000022</v>
      </c>
      <c r="BD213" s="4">
        <f t="shared" si="84"/>
        <v>3.0801455795498246E-4</v>
      </c>
      <c r="BE213" s="4">
        <f t="shared" si="100"/>
        <v>-8.0853635100201</v>
      </c>
      <c r="BF213" s="4">
        <f t="shared" si="85"/>
        <v>-18.361610693523186</v>
      </c>
      <c r="BG213" s="4">
        <f t="shared" si="101"/>
        <v>44.214389306476832</v>
      </c>
      <c r="BH213" s="4">
        <f t="shared" si="102"/>
        <v>1.3618675577483965E-2</v>
      </c>
      <c r="BI213" s="4">
        <f t="shared" si="86"/>
        <v>251.56920212900897</v>
      </c>
      <c r="BJ213" s="4"/>
      <c r="BK213" s="4"/>
      <c r="BL213" s="4"/>
      <c r="BM213" s="4"/>
      <c r="BN213" s="4"/>
      <c r="BO213" s="361"/>
      <c r="BP213" s="4" t="s">
        <v>179</v>
      </c>
      <c r="BQ213" s="4">
        <f t="shared" si="103"/>
        <v>0.22932230681750362</v>
      </c>
      <c r="BR213" s="4">
        <f t="shared" si="104"/>
        <v>7.993553585817889E-4</v>
      </c>
      <c r="BS213" s="4">
        <f>MW_MgO</f>
        <v>4.0304400000000004E-2</v>
      </c>
      <c r="BT213" s="4">
        <f t="shared" si="105"/>
        <v>5.6897586074350093</v>
      </c>
      <c r="BU213" s="4">
        <f>h_MgO</f>
        <v>-14926.410019749705</v>
      </c>
      <c r="BV213" s="4">
        <f>b_ch_MgO</f>
        <v>62.576000000000022</v>
      </c>
      <c r="BW213" s="4">
        <f t="shared" si="87"/>
        <v>3.0801455795498246E-4</v>
      </c>
      <c r="BX213" s="4">
        <f t="shared" si="106"/>
        <v>-8.0853635100201</v>
      </c>
      <c r="BY213" s="4">
        <f t="shared" si="88"/>
        <v>-18.361610693523186</v>
      </c>
      <c r="BZ213" s="4">
        <f t="shared" si="107"/>
        <v>44.214389306476832</v>
      </c>
      <c r="CA213" s="4">
        <f t="shared" si="108"/>
        <v>1.3618675577483965E-2</v>
      </c>
      <c r="CB213" s="4">
        <f t="shared" si="110"/>
        <v>251.56920212900897</v>
      </c>
      <c r="CC213" s="4"/>
      <c r="CD213" s="4"/>
      <c r="CU213" s="4"/>
      <c r="CV213" s="4"/>
    </row>
    <row r="214" spans="2:101" ht="19" thickBot="1" x14ac:dyDescent="0.3">
      <c r="I214" s="361"/>
      <c r="J214" s="4" t="s">
        <v>308</v>
      </c>
      <c r="K214" s="4">
        <f t="shared" si="89"/>
        <v>7.0276190798912411E-2</v>
      </c>
      <c r="L214" s="4">
        <f t="shared" si="75"/>
        <v>2.4496373892022569E-4</v>
      </c>
      <c r="M214" s="4">
        <f>MW_Na2O</f>
        <v>6.1978936000000005E-2</v>
      </c>
      <c r="N214" s="4">
        <f t="shared" si="90"/>
        <v>1.1338721722959622</v>
      </c>
      <c r="O214" s="4">
        <f>h_Na2O</f>
        <v>-6682.9156279804474</v>
      </c>
      <c r="P214" s="4">
        <f>b_ch_Na2O</f>
        <v>298.64000000000004</v>
      </c>
      <c r="Q214" s="4">
        <f t="shared" si="76"/>
        <v>6.1382065571432198E-5</v>
      </c>
      <c r="R214" s="4">
        <f t="shared" si="91"/>
        <v>-9.6983928571487432</v>
      </c>
      <c r="S214" s="4">
        <f t="shared" si="77"/>
        <v>-22.02475049824551</v>
      </c>
      <c r="T214" s="4">
        <f t="shared" si="92"/>
        <v>276.61524950175453</v>
      </c>
      <c r="U214" s="4">
        <f t="shared" si="93"/>
        <v>1.6979215382974776E-2</v>
      </c>
      <c r="V214" s="4">
        <f t="shared" si="78"/>
        <v>313.64633384274396</v>
      </c>
      <c r="W214" s="4"/>
      <c r="X214" s="4" t="s">
        <v>379</v>
      </c>
      <c r="Y214" s="1" t="s">
        <v>131</v>
      </c>
      <c r="Z214" s="1" t="s">
        <v>282</v>
      </c>
      <c r="AA214" s="1" t="s">
        <v>282</v>
      </c>
      <c r="AB214" s="4"/>
      <c r="AC214" s="361"/>
      <c r="AD214" s="4" t="s">
        <v>308</v>
      </c>
      <c r="AE214" s="4">
        <f t="shared" si="94"/>
        <v>7.0276190798912411E-2</v>
      </c>
      <c r="AF214" s="4">
        <f t="shared" si="79"/>
        <v>2.4496373892022569E-4</v>
      </c>
      <c r="AG214" s="4">
        <f>MW_Na2O</f>
        <v>6.1978936000000005E-2</v>
      </c>
      <c r="AH214" s="4">
        <f t="shared" si="95"/>
        <v>1.1338721722959622</v>
      </c>
      <c r="AI214" s="4">
        <f>h_Na2O</f>
        <v>-6682.9156279804474</v>
      </c>
      <c r="AJ214" s="4">
        <f>b_ch_Na2O</f>
        <v>298.64000000000004</v>
      </c>
      <c r="AK214" s="4">
        <f t="shared" si="80"/>
        <v>6.1382065571432198E-5</v>
      </c>
      <c r="AL214" s="4">
        <f t="shared" si="96"/>
        <v>-9.6983928571487432</v>
      </c>
      <c r="AM214" s="4">
        <f t="shared" si="81"/>
        <v>-22.02475049824551</v>
      </c>
      <c r="AN214" s="4">
        <f t="shared" si="97"/>
        <v>276.61524950175453</v>
      </c>
      <c r="AO214" s="4">
        <f t="shared" si="98"/>
        <v>1.6979215382974776E-2</v>
      </c>
      <c r="AP214" s="4">
        <f t="shared" si="82"/>
        <v>313.64633384274396</v>
      </c>
      <c r="AQ214" s="4"/>
      <c r="AR214" s="4"/>
      <c r="AS214" s="4"/>
      <c r="AT214" s="4"/>
      <c r="AU214" s="4"/>
      <c r="AV214" s="361"/>
      <c r="AW214" s="4" t="s">
        <v>308</v>
      </c>
      <c r="AX214" s="4">
        <f t="shared" si="109"/>
        <v>7.0276190798912411E-2</v>
      </c>
      <c r="AY214" s="4">
        <f t="shared" si="83"/>
        <v>2.4496373892022569E-4</v>
      </c>
      <c r="AZ214" s="4">
        <f>MW_Na2O</f>
        <v>6.1978936000000005E-2</v>
      </c>
      <c r="BA214" s="4">
        <f t="shared" si="99"/>
        <v>1.1338721722959622</v>
      </c>
      <c r="BB214" s="4">
        <f>h_Na2O</f>
        <v>-6682.9156279804474</v>
      </c>
      <c r="BC214" s="4">
        <f>b_ch_Na2O</f>
        <v>298.64000000000004</v>
      </c>
      <c r="BD214" s="4">
        <f t="shared" si="84"/>
        <v>6.1382065571432198E-5</v>
      </c>
      <c r="BE214" s="4">
        <f t="shared" si="100"/>
        <v>-9.6983928571487432</v>
      </c>
      <c r="BF214" s="4">
        <f t="shared" si="85"/>
        <v>-22.02475049824551</v>
      </c>
      <c r="BG214" s="4">
        <f t="shared" si="101"/>
        <v>276.61524950175453</v>
      </c>
      <c r="BH214" s="4">
        <f t="shared" si="102"/>
        <v>1.6979215382974776E-2</v>
      </c>
      <c r="BI214" s="4">
        <f t="shared" si="86"/>
        <v>313.64633384274396</v>
      </c>
      <c r="BJ214" s="4"/>
      <c r="BK214" s="4"/>
      <c r="BL214" s="4"/>
      <c r="BM214" s="4"/>
      <c r="BN214" s="4"/>
      <c r="BO214" s="361"/>
      <c r="BP214" s="4" t="s">
        <v>308</v>
      </c>
      <c r="BQ214" s="4">
        <f t="shared" si="103"/>
        <v>7.0276190798912411E-2</v>
      </c>
      <c r="BR214" s="4">
        <f t="shared" si="104"/>
        <v>2.4496373892022569E-4</v>
      </c>
      <c r="BS214" s="4">
        <f>MW_Na2O</f>
        <v>6.1978936000000005E-2</v>
      </c>
      <c r="BT214" s="4">
        <f t="shared" si="105"/>
        <v>1.1338721722959622</v>
      </c>
      <c r="BU214" s="4">
        <f>h_Na2O</f>
        <v>-6682.9156279804474</v>
      </c>
      <c r="BV214" s="4">
        <f>b_ch_Na2O</f>
        <v>298.64000000000004</v>
      </c>
      <c r="BW214" s="4">
        <f t="shared" si="87"/>
        <v>6.1382065571432198E-5</v>
      </c>
      <c r="BX214" s="4">
        <f t="shared" si="106"/>
        <v>-9.6983928571487432</v>
      </c>
      <c r="BY214" s="4">
        <f t="shared" si="88"/>
        <v>-22.02475049824551</v>
      </c>
      <c r="BZ214" s="4">
        <f t="shared" si="107"/>
        <v>276.61524950175453</v>
      </c>
      <c r="CA214" s="4">
        <f t="shared" si="108"/>
        <v>1.6979215382974776E-2</v>
      </c>
      <c r="CB214" s="4">
        <f t="shared" si="110"/>
        <v>313.64633384274396</v>
      </c>
      <c r="CC214" s="4"/>
      <c r="CD214" s="4"/>
      <c r="CU214" s="4"/>
      <c r="CV214" s="4"/>
    </row>
    <row r="215" spans="2:101" ht="18" x14ac:dyDescent="0.25">
      <c r="I215" s="361"/>
      <c r="J215" s="1" t="s">
        <v>15</v>
      </c>
      <c r="K215" s="4">
        <f t="shared" si="89"/>
        <v>0.80262807386126278</v>
      </c>
      <c r="L215" s="4">
        <f t="shared" si="75"/>
        <v>2.7977437550362615E-3</v>
      </c>
      <c r="M215" s="4">
        <f>MW_Fe2O3</f>
        <v>0.1596882</v>
      </c>
      <c r="N215" s="4">
        <f t="shared" si="90"/>
        <v>5.0262203084590018</v>
      </c>
      <c r="O215" s="4">
        <f>h_Fe2O3</f>
        <v>-5161.3080991582347</v>
      </c>
      <c r="P215" s="4">
        <f>b_ch_Fe2O3</f>
        <v>17.358400000000074</v>
      </c>
      <c r="Q215" s="4">
        <f t="shared" si="76"/>
        <v>2.7209397327881957E-4</v>
      </c>
      <c r="R215" s="4">
        <f t="shared" si="91"/>
        <v>-8.2093630613405431</v>
      </c>
      <c r="S215" s="4">
        <f t="shared" si="77"/>
        <v>-18.643209842985776</v>
      </c>
      <c r="T215" s="4">
        <f t="shared" si="92"/>
        <v>-1.2848098429857018</v>
      </c>
      <c r="U215" s="4">
        <f t="shared" si="93"/>
        <v>-3.4958901508571591E-4</v>
      </c>
      <c r="V215" s="4">
        <f t="shared" si="78"/>
        <v>-6.4577373253227552</v>
      </c>
      <c r="W215" s="4"/>
      <c r="X215" s="4" t="s">
        <v>41</v>
      </c>
      <c r="Y215" s="1" t="s">
        <v>88</v>
      </c>
      <c r="Z215" s="4" t="s">
        <v>283</v>
      </c>
      <c r="AA215" s="4" t="s">
        <v>283</v>
      </c>
      <c r="AB215" s="16"/>
      <c r="AC215" s="361"/>
      <c r="AD215" s="1" t="s">
        <v>15</v>
      </c>
      <c r="AE215" s="4">
        <f t="shared" si="94"/>
        <v>0.80262807386126278</v>
      </c>
      <c r="AF215" s="4">
        <f t="shared" si="79"/>
        <v>2.7977437550362615E-3</v>
      </c>
      <c r="AG215" s="4">
        <f>MW_Fe2O3</f>
        <v>0.1596882</v>
      </c>
      <c r="AH215" s="4">
        <f t="shared" si="95"/>
        <v>5.0262203084590018</v>
      </c>
      <c r="AI215" s="4">
        <f>h_Fe2O3</f>
        <v>-5161.3080991582347</v>
      </c>
      <c r="AJ215" s="4">
        <f>b_ch_Fe2O3</f>
        <v>17.358400000000074</v>
      </c>
      <c r="AK215" s="4">
        <f t="shared" si="80"/>
        <v>2.7209397327881957E-4</v>
      </c>
      <c r="AL215" s="4">
        <f t="shared" si="96"/>
        <v>-8.2093630613405431</v>
      </c>
      <c r="AM215" s="4">
        <f t="shared" si="81"/>
        <v>-18.643209842985776</v>
      </c>
      <c r="AN215" s="4">
        <f t="shared" si="97"/>
        <v>-1.2848098429857018</v>
      </c>
      <c r="AO215" s="4">
        <f t="shared" si="98"/>
        <v>-3.4958901508571591E-4</v>
      </c>
      <c r="AP215" s="4">
        <f t="shared" si="82"/>
        <v>-6.4577373253227552</v>
      </c>
      <c r="AQ215" s="4"/>
      <c r="AR215" s="3" t="s">
        <v>2</v>
      </c>
      <c r="AS215" s="3" t="s">
        <v>3</v>
      </c>
      <c r="AT215" s="132" t="s">
        <v>585</v>
      </c>
      <c r="AU215" s="4"/>
      <c r="AV215" s="361"/>
      <c r="AW215" s="1" t="s">
        <v>15</v>
      </c>
      <c r="AX215" s="4">
        <f t="shared" si="109"/>
        <v>0.80262807386126278</v>
      </c>
      <c r="AY215" s="4">
        <f t="shared" si="83"/>
        <v>2.7977437550362615E-3</v>
      </c>
      <c r="AZ215" s="4">
        <f>MW_Fe2O3</f>
        <v>0.1596882</v>
      </c>
      <c r="BA215" s="4">
        <f t="shared" si="99"/>
        <v>5.0262203084590018</v>
      </c>
      <c r="BB215" s="4">
        <f>h_Fe2O3</f>
        <v>-5161.3080991582347</v>
      </c>
      <c r="BC215" s="4">
        <f>b_ch_Fe2O3</f>
        <v>17.358400000000074</v>
      </c>
      <c r="BD215" s="4">
        <f t="shared" si="84"/>
        <v>2.7209397327881957E-4</v>
      </c>
      <c r="BE215" s="4">
        <f t="shared" si="100"/>
        <v>-8.2093630613405431</v>
      </c>
      <c r="BF215" s="4">
        <f t="shared" si="85"/>
        <v>-18.643209842985776</v>
      </c>
      <c r="BG215" s="4">
        <f t="shared" si="101"/>
        <v>-1.2848098429857018</v>
      </c>
      <c r="BH215" s="4">
        <f t="shared" si="102"/>
        <v>-3.4958901508571591E-4</v>
      </c>
      <c r="BI215" s="4">
        <f t="shared" si="86"/>
        <v>-6.4577373253227552</v>
      </c>
      <c r="BJ215" s="4"/>
      <c r="BK215" s="3" t="s">
        <v>2</v>
      </c>
      <c r="BL215" s="3" t="s">
        <v>3</v>
      </c>
      <c r="BM215" s="132" t="s">
        <v>585</v>
      </c>
      <c r="BN215" s="4"/>
      <c r="BO215" s="361"/>
      <c r="BP215" s="1" t="s">
        <v>15</v>
      </c>
      <c r="BQ215" s="4">
        <f t="shared" si="103"/>
        <v>0.80262807386126278</v>
      </c>
      <c r="BR215" s="4">
        <f t="shared" si="104"/>
        <v>2.7977437550362615E-3</v>
      </c>
      <c r="BS215" s="4">
        <f>MW_Fe2O3</f>
        <v>0.1596882</v>
      </c>
      <c r="BT215" s="4">
        <f t="shared" si="105"/>
        <v>5.0262203084590018</v>
      </c>
      <c r="BU215" s="4">
        <f>h_Fe2O3</f>
        <v>-5161.3080991582347</v>
      </c>
      <c r="BV215" s="4">
        <f>b_ch_Fe2O3</f>
        <v>17.358400000000074</v>
      </c>
      <c r="BW215" s="4">
        <f t="shared" si="87"/>
        <v>2.7209397327881957E-4</v>
      </c>
      <c r="BX215" s="4">
        <f t="shared" si="106"/>
        <v>-8.2093630613405431</v>
      </c>
      <c r="BY215" s="4">
        <f t="shared" si="88"/>
        <v>-18.643209842985776</v>
      </c>
      <c r="BZ215" s="4">
        <f t="shared" si="107"/>
        <v>-1.2848098429857018</v>
      </c>
      <c r="CA215" s="4">
        <f t="shared" si="108"/>
        <v>-3.4958901508571591E-4</v>
      </c>
      <c r="CB215" s="4">
        <f t="shared" si="110"/>
        <v>-6.4577373253227552</v>
      </c>
      <c r="CC215" s="4"/>
      <c r="CD215" s="4"/>
      <c r="CE215" s="3" t="s">
        <v>2</v>
      </c>
      <c r="CF215" s="3" t="s">
        <v>3</v>
      </c>
      <c r="CG215" s="132" t="s">
        <v>585</v>
      </c>
      <c r="CH215" s="132"/>
      <c r="CI215" s="132"/>
      <c r="CU215" s="4"/>
      <c r="CV215" s="63" t="s">
        <v>1</v>
      </c>
      <c r="CW215" s="58" t="s">
        <v>0</v>
      </c>
    </row>
    <row r="216" spans="2:101" ht="18.5" customHeight="1" x14ac:dyDescent="0.25">
      <c r="I216" s="361"/>
      <c r="J216" s="1" t="s">
        <v>17</v>
      </c>
      <c r="K216" s="4">
        <f t="shared" si="89"/>
        <v>9.2172772353099859</v>
      </c>
      <c r="L216" s="4">
        <f t="shared" si="75"/>
        <v>3.2128928283642229E-2</v>
      </c>
      <c r="M216" s="3">
        <f>MW_SIO2</f>
        <v>6.00843E-2</v>
      </c>
      <c r="N216" s="4">
        <f t="shared" si="90"/>
        <v>153.40575217336286</v>
      </c>
      <c r="O216" s="4">
        <f>h_SiO2</f>
        <v>-15157.037695371337</v>
      </c>
      <c r="P216" s="3">
        <f>b_ch_SiO2</f>
        <v>1.5260000000000673</v>
      </c>
      <c r="Q216" s="4">
        <f t="shared" si="76"/>
        <v>8.3046062589870028E-3</v>
      </c>
      <c r="R216" s="4">
        <f t="shared" si="91"/>
        <v>-4.7909449471567278</v>
      </c>
      <c r="S216" s="4">
        <f t="shared" si="77"/>
        <v>-10.88008793479406</v>
      </c>
      <c r="T216" s="4">
        <f t="shared" si="92"/>
        <v>-9.3540879347939931</v>
      </c>
      <c r="U216" s="4">
        <f t="shared" si="93"/>
        <v>-7.7682017210405005E-2</v>
      </c>
      <c r="V216" s="4">
        <f t="shared" si="78"/>
        <v>-1434.9708955328508</v>
      </c>
      <c r="W216" s="361" t="s">
        <v>379</v>
      </c>
      <c r="X216" s="62" t="s">
        <v>307</v>
      </c>
      <c r="Y216" s="62">
        <f t="shared" ref="Y216:Y221" si="111">$Y$222*Z216</f>
        <v>16.732655961692366</v>
      </c>
      <c r="Z216" s="172">
        <v>0.3715</v>
      </c>
      <c r="AA216" s="172">
        <v>0.37219999999999998</v>
      </c>
      <c r="AC216" s="361"/>
      <c r="AD216" s="1" t="s">
        <v>17</v>
      </c>
      <c r="AE216" s="4">
        <f t="shared" si="94"/>
        <v>9.2172772353099859</v>
      </c>
      <c r="AF216" s="4">
        <f t="shared" si="79"/>
        <v>3.2128928283642229E-2</v>
      </c>
      <c r="AG216" s="3">
        <f>MW_SIO2</f>
        <v>6.00843E-2</v>
      </c>
      <c r="AH216" s="4">
        <f t="shared" si="95"/>
        <v>153.40575217336286</v>
      </c>
      <c r="AI216" s="4">
        <f>h_SiO2</f>
        <v>-15157.037695371337</v>
      </c>
      <c r="AJ216" s="3">
        <f>b_ch_SiO2</f>
        <v>1.5260000000000673</v>
      </c>
      <c r="AK216" s="4">
        <f t="shared" si="80"/>
        <v>8.3046062589870028E-3</v>
      </c>
      <c r="AL216" s="4">
        <f t="shared" si="96"/>
        <v>-4.7909449471567278</v>
      </c>
      <c r="AM216" s="4">
        <f t="shared" si="81"/>
        <v>-10.88008793479406</v>
      </c>
      <c r="AN216" s="4">
        <f t="shared" si="97"/>
        <v>-9.3540879347939931</v>
      </c>
      <c r="AO216" s="4">
        <f t="shared" si="98"/>
        <v>-7.7682017210405005E-2</v>
      </c>
      <c r="AP216" s="4">
        <f t="shared" si="82"/>
        <v>-1434.9708955328508</v>
      </c>
      <c r="AQ216" s="4"/>
      <c r="AR216" s="1" t="s">
        <v>587</v>
      </c>
      <c r="AS216" s="1" t="s">
        <v>587</v>
      </c>
      <c r="AT216" s="1" t="s">
        <v>587</v>
      </c>
      <c r="AU216" s="4"/>
      <c r="AV216" s="361"/>
      <c r="AW216" s="1" t="s">
        <v>17</v>
      </c>
      <c r="AX216" s="4">
        <f t="shared" si="109"/>
        <v>9.2172772353099859</v>
      </c>
      <c r="AY216" s="4">
        <f t="shared" si="83"/>
        <v>3.2128928283642229E-2</v>
      </c>
      <c r="AZ216" s="3">
        <f>MW_SIO2</f>
        <v>6.00843E-2</v>
      </c>
      <c r="BA216" s="4">
        <f t="shared" si="99"/>
        <v>153.40575217336286</v>
      </c>
      <c r="BB216" s="4">
        <f>h_SiO2</f>
        <v>-15157.037695371337</v>
      </c>
      <c r="BC216" s="3">
        <f>b_ch_SiO2</f>
        <v>1.5260000000000673</v>
      </c>
      <c r="BD216" s="4">
        <f t="shared" si="84"/>
        <v>8.3046062589870028E-3</v>
      </c>
      <c r="BE216" s="4">
        <f t="shared" si="100"/>
        <v>-4.7909449471567278</v>
      </c>
      <c r="BF216" s="4">
        <f t="shared" si="85"/>
        <v>-10.88008793479406</v>
      </c>
      <c r="BG216" s="4">
        <f t="shared" si="101"/>
        <v>-9.3540879347939931</v>
      </c>
      <c r="BH216" s="4">
        <f t="shared" si="102"/>
        <v>-7.7682017210405005E-2</v>
      </c>
      <c r="BI216" s="4">
        <f t="shared" si="86"/>
        <v>-1434.9708955328508</v>
      </c>
      <c r="BJ216" s="4"/>
      <c r="BK216" s="1" t="s">
        <v>587</v>
      </c>
      <c r="BL216" s="1" t="s">
        <v>587</v>
      </c>
      <c r="BM216" s="1" t="s">
        <v>587</v>
      </c>
      <c r="BN216" s="4"/>
      <c r="BO216" s="361"/>
      <c r="BP216" s="1" t="s">
        <v>17</v>
      </c>
      <c r="BQ216" s="4">
        <f t="shared" si="103"/>
        <v>9.2172772353099859</v>
      </c>
      <c r="BR216" s="4">
        <f t="shared" si="104"/>
        <v>3.2128928283642229E-2</v>
      </c>
      <c r="BS216" s="3">
        <f>MW_SIO2</f>
        <v>6.00843E-2</v>
      </c>
      <c r="BT216" s="4">
        <f t="shared" si="105"/>
        <v>153.40575217336286</v>
      </c>
      <c r="BU216" s="4">
        <f>h_SiO2</f>
        <v>-15157.037695371337</v>
      </c>
      <c r="BV216" s="3">
        <f>b_ch_SiO2</f>
        <v>1.5260000000000673</v>
      </c>
      <c r="BW216" s="4">
        <f t="shared" si="87"/>
        <v>8.3046062589870028E-3</v>
      </c>
      <c r="BX216" s="4">
        <f t="shared" si="106"/>
        <v>-4.7909449471567278</v>
      </c>
      <c r="BY216" s="4">
        <f t="shared" si="88"/>
        <v>-10.88008793479406</v>
      </c>
      <c r="BZ216" s="4">
        <f t="shared" si="107"/>
        <v>-9.3540879347939931</v>
      </c>
      <c r="CA216" s="4">
        <f t="shared" si="108"/>
        <v>-7.7682017210405005E-2</v>
      </c>
      <c r="CB216" s="4">
        <f t="shared" si="110"/>
        <v>-1434.9708955328508</v>
      </c>
      <c r="CC216" s="4"/>
      <c r="CD216" s="4"/>
      <c r="CE216" s="1" t="s">
        <v>587</v>
      </c>
      <c r="CF216" s="1" t="s">
        <v>587</v>
      </c>
      <c r="CG216" s="1" t="s">
        <v>587</v>
      </c>
      <c r="CH216" s="1"/>
      <c r="CI216" s="1"/>
      <c r="CU216" s="4"/>
      <c r="CV216" s="65" t="s">
        <v>89</v>
      </c>
      <c r="CW216" s="64" t="s">
        <v>93</v>
      </c>
    </row>
    <row r="217" spans="2:101" ht="16" thickBot="1" x14ac:dyDescent="0.25">
      <c r="J217" s="62" t="s">
        <v>19</v>
      </c>
      <c r="K217" s="62">
        <f>SUM(K210:K216)</f>
        <v>286.88405520213911</v>
      </c>
      <c r="L217" s="17"/>
      <c r="M217" s="62">
        <f>SUM(M210:M216)</f>
        <v>0.48009451399999997</v>
      </c>
      <c r="N217" s="62">
        <f>SUM(N210:N216)</f>
        <v>18472.369115314963</v>
      </c>
      <c r="O217" s="17" cm="1">
        <f t="array" ref="O217">SUM(K210:K216*O210:O216) / K217</f>
        <v>27180.660725538582</v>
      </c>
      <c r="P217" s="17"/>
      <c r="Q217" s="62">
        <f>SUM(Q210:Q216)</f>
        <v>1</v>
      </c>
      <c r="R217" s="17"/>
      <c r="S217" s="17"/>
      <c r="T217" s="17"/>
      <c r="U217" s="62">
        <f>SUM(U210:U216)</f>
        <v>473.88180975889873</v>
      </c>
      <c r="V217" s="62">
        <f>SUM(V210:V216)</f>
        <v>8753719.7068998404</v>
      </c>
      <c r="W217" s="361"/>
      <c r="X217" s="4" t="s">
        <v>123</v>
      </c>
      <c r="Y217" s="4">
        <f t="shared" si="111"/>
        <v>3.143847607338162</v>
      </c>
      <c r="Z217" s="4">
        <v>6.9800000000000001E-2</v>
      </c>
      <c r="AA217" s="4">
        <f>Z217</f>
        <v>6.9800000000000001E-2</v>
      </c>
      <c r="AD217" s="62" t="s">
        <v>19</v>
      </c>
      <c r="AE217" s="62">
        <f>SUM(AE210:AE216)</f>
        <v>286.88405520213911</v>
      </c>
      <c r="AF217" s="17"/>
      <c r="AG217" s="62">
        <f>SUM(AG210:AG216)</f>
        <v>0.48009451399999997</v>
      </c>
      <c r="AH217" s="62">
        <f>SUM(AH210:AH216)</f>
        <v>18472.369115314963</v>
      </c>
      <c r="AI217" s="17" cm="1">
        <f t="array" ref="AI217">SUM(AE210:AE216*AI210:AI216) / AE217</f>
        <v>27180.660725538582</v>
      </c>
      <c r="AJ217" s="17"/>
      <c r="AK217" s="62">
        <f>SUM(AK210:AK216)</f>
        <v>1</v>
      </c>
      <c r="AL217" s="17"/>
      <c r="AM217" s="17"/>
      <c r="AN217" s="17"/>
      <c r="AO217" s="62">
        <f>SUM(AO210:AO216)</f>
        <v>473.88180975889873</v>
      </c>
      <c r="AP217" s="62">
        <f>SUM(AP210:AP216)</f>
        <v>8753719.7068998404</v>
      </c>
      <c r="AQ217" s="4" t="s">
        <v>60</v>
      </c>
      <c r="AR217" s="3" t="s">
        <v>586</v>
      </c>
      <c r="AS217" s="3" t="s">
        <v>586</v>
      </c>
      <c r="AT217" s="3" t="s">
        <v>586</v>
      </c>
      <c r="AU217" s="4"/>
      <c r="AV217" s="4"/>
      <c r="AW217" s="62" t="s">
        <v>19</v>
      </c>
      <c r="AX217" s="62">
        <f>SUM(AX210:AX216)</f>
        <v>286.88405520213911</v>
      </c>
      <c r="AY217" s="17"/>
      <c r="AZ217" s="62">
        <f>SUM(AZ210:AZ216)</f>
        <v>0.48009451399999997</v>
      </c>
      <c r="BA217" s="62">
        <f>SUM(BA210:BA216)</f>
        <v>18472.369115314963</v>
      </c>
      <c r="BB217" s="17" cm="1">
        <f t="array" ref="BB217">SUM(AX210:AX216*BB210:BB216) / AX217</f>
        <v>27180.660725538582</v>
      </c>
      <c r="BC217" s="17"/>
      <c r="BD217" s="62">
        <f>SUM(BD210:BD216)</f>
        <v>1</v>
      </c>
      <c r="BE217" s="17"/>
      <c r="BF217" s="17"/>
      <c r="BG217" s="17"/>
      <c r="BH217" s="62">
        <f>SUM(BH210:BH216)</f>
        <v>473.88180975889873</v>
      </c>
      <c r="BI217" s="62">
        <f>SUM(BI210:BI216)</f>
        <v>8753719.7068998404</v>
      </c>
      <c r="BJ217" s="4" t="s">
        <v>60</v>
      </c>
      <c r="BK217" s="3" t="s">
        <v>586</v>
      </c>
      <c r="BL217" s="3" t="s">
        <v>586</v>
      </c>
      <c r="BM217" s="3" t="s">
        <v>586</v>
      </c>
      <c r="BN217" s="4"/>
      <c r="BO217" s="4"/>
      <c r="BP217" s="62" t="s">
        <v>19</v>
      </c>
      <c r="BQ217" s="62">
        <f>SUM(BQ210:BQ216)</f>
        <v>286.88405520213911</v>
      </c>
      <c r="BR217" s="62">
        <f>SUM(BR210:BR216)</f>
        <v>1</v>
      </c>
      <c r="BS217" s="62">
        <f>SUM(BS210:BS216)</f>
        <v>0.48009451399999997</v>
      </c>
      <c r="BT217" s="62">
        <f>SUM(BT210:BT216)</f>
        <v>18472.369115314963</v>
      </c>
      <c r="BU217" s="17" cm="1">
        <f t="array" ref="BU217">SUM(BQ210:BQ216*BU210:BU216) / BQ217</f>
        <v>27180.660725538582</v>
      </c>
      <c r="BV217" s="62" cm="1">
        <f t="array" ref="BV217">SUM(BV210:BV216*BW210:BW216)</f>
        <v>474.08097298251619</v>
      </c>
      <c r="BW217" s="62">
        <f>SUM(BW210:BW216)</f>
        <v>1</v>
      </c>
      <c r="BX217" s="17"/>
      <c r="BY217" s="17"/>
      <c r="BZ217" s="17"/>
      <c r="CA217" s="62">
        <f>SUM(CA210:CA216)</f>
        <v>473.88180975889873</v>
      </c>
      <c r="CB217" s="62">
        <f>SUM(CB210:CB216)</f>
        <v>8753719.7068998404</v>
      </c>
      <c r="CC217" s="4"/>
      <c r="CD217" s="4" t="s">
        <v>60</v>
      </c>
      <c r="CE217" s="3" t="s">
        <v>586</v>
      </c>
      <c r="CF217" s="3" t="s">
        <v>586</v>
      </c>
      <c r="CG217" s="3" t="s">
        <v>586</v>
      </c>
      <c r="CR217" s="3" t="s">
        <v>529</v>
      </c>
      <c r="CU217" s="4"/>
      <c r="CV217" s="50">
        <f>CL227</f>
        <v>18.493734420766422</v>
      </c>
      <c r="CW217" s="48">
        <f>CW227</f>
        <v>5366.0434241372932</v>
      </c>
    </row>
    <row r="218" spans="2:101" ht="18" customHeight="1" x14ac:dyDescent="0.25">
      <c r="K218" s="1" t="s">
        <v>89</v>
      </c>
      <c r="L218" s="1"/>
      <c r="M218" s="3" t="s">
        <v>91</v>
      </c>
      <c r="N218" s="3" t="s">
        <v>87</v>
      </c>
      <c r="O218" s="1" t="s">
        <v>666</v>
      </c>
      <c r="P218" s="4"/>
      <c r="Q218" s="4"/>
      <c r="U218" s="3" t="s">
        <v>96</v>
      </c>
      <c r="V218" s="1" t="s">
        <v>93</v>
      </c>
      <c r="W218" s="361"/>
      <c r="X218" s="4" t="s">
        <v>179</v>
      </c>
      <c r="Y218" s="4">
        <f t="shared" si="111"/>
        <v>0.55850587866752444</v>
      </c>
      <c r="Z218" s="4">
        <v>1.24E-2</v>
      </c>
      <c r="AA218" s="4">
        <f t="shared" ref="AA218:AA221" si="112">Z218</f>
        <v>1.24E-2</v>
      </c>
      <c r="AE218" s="1" t="s">
        <v>89</v>
      </c>
      <c r="AF218" s="1"/>
      <c r="AG218" s="3" t="s">
        <v>91</v>
      </c>
      <c r="AH218" s="3" t="s">
        <v>87</v>
      </c>
      <c r="AI218" s="1" t="s">
        <v>666</v>
      </c>
      <c r="AJ218" s="4"/>
      <c r="AK218" s="4"/>
      <c r="AO218" s="3" t="s">
        <v>96</v>
      </c>
      <c r="AP218" s="1" t="s">
        <v>93</v>
      </c>
      <c r="AQ218" s="4" t="s">
        <v>18</v>
      </c>
      <c r="AR218" s="83">
        <f>AH210</f>
        <v>18216.584581012561</v>
      </c>
      <c r="AS218" s="83">
        <f>BA210</f>
        <v>18216.584581012561</v>
      </c>
      <c r="AT218" s="3">
        <f>AR218-AS218</f>
        <v>0</v>
      </c>
      <c r="AU218" s="4"/>
      <c r="AV218" s="4"/>
      <c r="AX218" s="1" t="s">
        <v>89</v>
      </c>
      <c r="AY218" s="1"/>
      <c r="AZ218" s="3" t="s">
        <v>91</v>
      </c>
      <c r="BA218" s="3" t="s">
        <v>87</v>
      </c>
      <c r="BB218" s="1" t="s">
        <v>666</v>
      </c>
      <c r="BC218" s="4"/>
      <c r="BD218" s="4"/>
      <c r="BH218" s="3" t="s">
        <v>96</v>
      </c>
      <c r="BI218" s="1" t="s">
        <v>93</v>
      </c>
      <c r="BJ218" s="4" t="s">
        <v>18</v>
      </c>
      <c r="BK218" s="83">
        <f>BA210</f>
        <v>18216.584581012561</v>
      </c>
      <c r="BL218" s="83">
        <f>BT210</f>
        <v>18216.584581012561</v>
      </c>
      <c r="BM218" s="3">
        <f>BK218-BL218</f>
        <v>0</v>
      </c>
      <c r="BN218" s="1"/>
      <c r="BO218" s="4"/>
      <c r="BQ218" s="1" t="s">
        <v>89</v>
      </c>
      <c r="BR218" s="1"/>
      <c r="BS218" s="3" t="s">
        <v>91</v>
      </c>
      <c r="BT218" s="3" t="s">
        <v>87</v>
      </c>
      <c r="BU218" s="1" t="s">
        <v>666</v>
      </c>
      <c r="BV218" s="4"/>
      <c r="BW218" s="4"/>
      <c r="CA218" s="3" t="s">
        <v>96</v>
      </c>
      <c r="CB218" s="1" t="s">
        <v>93</v>
      </c>
      <c r="CC218" s="4"/>
      <c r="CD218" s="4" t="s">
        <v>18</v>
      </c>
      <c r="CE218" s="83">
        <f>BT210+BT230+BT258</f>
        <v>19523.647284522081</v>
      </c>
      <c r="CF218" s="83">
        <f>mol_C_to_BF+(2*CO238)+CO239+CO240+CO242+CO255</f>
        <v>19523.647284522081</v>
      </c>
      <c r="CG218" s="3">
        <f>CE218-CF218</f>
        <v>0</v>
      </c>
      <c r="CU218" s="4"/>
      <c r="CV218" s="4"/>
    </row>
    <row r="219" spans="2:101" ht="19" thickBot="1" x14ac:dyDescent="0.3">
      <c r="W219" s="361"/>
      <c r="X219" s="4" t="s">
        <v>308</v>
      </c>
      <c r="Y219" s="4">
        <f t="shared" si="111"/>
        <v>0.17115502733359619</v>
      </c>
      <c r="Z219" s="4">
        <v>3.8E-3</v>
      </c>
      <c r="AA219" s="4">
        <f t="shared" si="112"/>
        <v>3.8E-3</v>
      </c>
      <c r="AQ219" s="3" t="s">
        <v>182</v>
      </c>
      <c r="AR219" s="286">
        <f>(mol_H_Coal*AH210)</f>
        <v>45411.454369105508</v>
      </c>
      <c r="AS219" s="286">
        <f>mol_H_Coal*BA210</f>
        <v>45411.454369105508</v>
      </c>
      <c r="AT219" s="3">
        <f t="shared" ref="AT219:AT227" si="113">AR219-AS219</f>
        <v>0</v>
      </c>
      <c r="BH219" s="4"/>
      <c r="BI219" s="4"/>
      <c r="BJ219" s="3" t="s">
        <v>182</v>
      </c>
      <c r="BK219" s="286">
        <f>(mol_H_Coal*BA210)</f>
        <v>45411.454369105508</v>
      </c>
      <c r="BL219" s="286">
        <f>mol_H_Coal*BT210</f>
        <v>45411.454369105508</v>
      </c>
      <c r="BM219" s="3">
        <f t="shared" ref="BM219:BM227" si="114">BK219-BL219</f>
        <v>0</v>
      </c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D219" s="3" t="s">
        <v>182</v>
      </c>
      <c r="CE219" s="83">
        <f>(mol_H_Coal*'Ore-&gt;PI'!BT210)+(2*'Ore-&gt;PI'!BT229)+(4*'Ore-&gt;PI'!BT230)+(4*'Ore-&gt;PI'!BT258)</f>
        <v>56452.751169032948</v>
      </c>
      <c r="CF219" s="83">
        <f>(2*CO237)+(4*CO238)+(4*CO242)+(2*CO254)</f>
        <v>56452.751169032956</v>
      </c>
      <c r="CG219" s="3">
        <f>CE219-CF219</f>
        <v>0</v>
      </c>
      <c r="CK219" s="4"/>
      <c r="CL219" s="1" t="s">
        <v>558</v>
      </c>
      <c r="CM219" s="1" t="s">
        <v>559</v>
      </c>
      <c r="CN219" s="1" t="s">
        <v>561</v>
      </c>
      <c r="CO219" s="1" t="s">
        <v>85</v>
      </c>
      <c r="CP219" s="1" t="s">
        <v>665</v>
      </c>
      <c r="CQ219" s="1" t="s">
        <v>6</v>
      </c>
      <c r="CR219" s="1" t="s">
        <v>7</v>
      </c>
      <c r="CS219" s="1" t="s">
        <v>8</v>
      </c>
      <c r="CT219" s="1" t="s">
        <v>9</v>
      </c>
      <c r="CU219" s="1" t="s">
        <v>49</v>
      </c>
      <c r="CV219" s="1" t="s">
        <v>560</v>
      </c>
      <c r="CW219" s="1" t="s">
        <v>50</v>
      </c>
    </row>
    <row r="220" spans="2:101" ht="18" x14ac:dyDescent="0.25"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63" t="s">
        <v>1</v>
      </c>
      <c r="V220" s="58" t="s">
        <v>0</v>
      </c>
      <c r="W220" s="361"/>
      <c r="X220" s="1" t="s">
        <v>15</v>
      </c>
      <c r="Y220" s="4">
        <f t="shared" si="111"/>
        <v>1.9547705753363356</v>
      </c>
      <c r="Z220" s="4">
        <v>4.3400000000000001E-2</v>
      </c>
      <c r="AA220" s="4">
        <f t="shared" si="112"/>
        <v>4.3400000000000001E-2</v>
      </c>
      <c r="AQ220" s="3" t="s">
        <v>29</v>
      </c>
      <c r="AR220" s="286">
        <f>(mol_O_Coal*AH210)+(3*AH211)+AH212+AH213+AH214+(3*AH215)+(2*AH216)</f>
        <v>710.31978673794947</v>
      </c>
      <c r="AS220" s="286">
        <f>(mol_O_Coal*BA210)+(3*BA211)+BA212+BA213+BA214+(3*BA215)+(2*BA216)</f>
        <v>710.31978673794947</v>
      </c>
      <c r="AT220" s="3">
        <f t="shared" si="113"/>
        <v>0</v>
      </c>
      <c r="BH220" s="4"/>
      <c r="BI220" s="4"/>
      <c r="BJ220" s="3" t="s">
        <v>29</v>
      </c>
      <c r="BK220" s="286">
        <f>(mol_O_Coal*BA210)+(3*BA211)+BA212+BA213+BA214+(3*BA215)+(2*BA216)</f>
        <v>710.31978673794947</v>
      </c>
      <c r="BL220" s="286">
        <f>(mol_O_Coal*BT210)+(3*BT211)+BT212+BT213+BT214+(3*BT215)+(2*BT216)</f>
        <v>710.31978673794947</v>
      </c>
      <c r="BM220" s="3">
        <f t="shared" si="114"/>
        <v>0</v>
      </c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D220" s="3" t="s">
        <v>29</v>
      </c>
      <c r="CE220" s="83">
        <f>(3*BT211)+(BT212)+BT213+BT214+(3*BT215)+(2*BT216)+(mol_O_Coal*'Ore-&gt;PI'!BT210)+(2*BT231)+(2*BT246)</f>
        <v>8845.0935937207087</v>
      </c>
      <c r="CF220" s="83">
        <f>(3*CO221)+CO222+CO223+CO224+(3*CO225)+(2*CO226)+CO239+(2*CO240) +(2*CO255)  +CO254</f>
        <v>8845.0935937207087</v>
      </c>
      <c r="CG220" s="3">
        <f t="shared" ref="CG220:CG227" si="115">CE220-CF220</f>
        <v>0</v>
      </c>
      <c r="CK220" s="4" t="s">
        <v>41</v>
      </c>
      <c r="CL220" s="1" t="s">
        <v>88</v>
      </c>
      <c r="CM220" s="4" t="s">
        <v>283</v>
      </c>
      <c r="CN220" s="2" t="s">
        <v>90</v>
      </c>
      <c r="CO220" s="2" t="s">
        <v>86</v>
      </c>
      <c r="CP220" s="1" t="s">
        <v>650</v>
      </c>
      <c r="CQ220" s="2" t="s">
        <v>95</v>
      </c>
      <c r="CR220" s="2" t="s">
        <v>25</v>
      </c>
      <c r="CS220" s="2" t="s">
        <v>98</v>
      </c>
      <c r="CT220" s="2" t="s">
        <v>95</v>
      </c>
      <c r="CU220" s="2" t="s">
        <v>95</v>
      </c>
      <c r="CV220" s="2" t="s">
        <v>94</v>
      </c>
      <c r="CW220" s="2" t="s">
        <v>92</v>
      </c>
    </row>
    <row r="221" spans="2:101" ht="18" customHeight="1" x14ac:dyDescent="0.25"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65" t="s">
        <v>89</v>
      </c>
      <c r="V221" s="64" t="s">
        <v>93</v>
      </c>
      <c r="W221" s="361"/>
      <c r="X221" s="1" t="s">
        <v>17</v>
      </c>
      <c r="Y221" s="4">
        <f t="shared" si="111"/>
        <v>22.448333058701145</v>
      </c>
      <c r="Z221" s="4">
        <v>0.49840000000000001</v>
      </c>
      <c r="AA221" s="4">
        <f t="shared" si="112"/>
        <v>0.49840000000000001</v>
      </c>
      <c r="AQ221" s="3" t="s">
        <v>363</v>
      </c>
      <c r="AR221" s="83">
        <f>mol_N_Coal*AH210</f>
        <v>94.388190214463862</v>
      </c>
      <c r="AS221" s="83">
        <f>mol_N_Coal*BA210</f>
        <v>94.388190214463862</v>
      </c>
      <c r="AT221" s="3">
        <f t="shared" si="113"/>
        <v>0</v>
      </c>
      <c r="BJ221" s="3" t="s">
        <v>363</v>
      </c>
      <c r="BK221" s="83">
        <f>mol_N_Coal*BA210</f>
        <v>94.388190214463862</v>
      </c>
      <c r="BL221" s="83">
        <f>mol_N_Coal*BT210</f>
        <v>94.388190214463862</v>
      </c>
      <c r="BM221" s="3">
        <f t="shared" si="114"/>
        <v>0</v>
      </c>
      <c r="CD221" s="3" t="s">
        <v>363</v>
      </c>
      <c r="CE221" s="83">
        <f>(mol_N_Coal*'Ore-&gt;PI'!BT210)+(2*'Ore-&gt;PI'!BT232)+(2*BT247)</f>
        <v>30607.279331781556</v>
      </c>
      <c r="CF221" s="83">
        <f>(2*CO241)+(2*CO256)</f>
        <v>30607.279331781556</v>
      </c>
      <c r="CG221" s="3">
        <f t="shared" si="115"/>
        <v>0</v>
      </c>
      <c r="CJ221" s="366" t="s">
        <v>529</v>
      </c>
      <c r="CK221" s="62" t="s">
        <v>307</v>
      </c>
      <c r="CL221" s="62">
        <f>AA216*$CL$227</f>
        <v>6.8833679514092623</v>
      </c>
      <c r="CM221" s="62">
        <f>CL221/$CL$227</f>
        <v>0.37219999999999998</v>
      </c>
      <c r="CN221" s="62">
        <f>MW_Al2O3</f>
        <v>0.10196127799999999</v>
      </c>
      <c r="CO221" s="62">
        <f t="shared" ref="CO221:CO226" si="116">CL221/CN221</f>
        <v>67.509628031626505</v>
      </c>
      <c r="CP221" s="62">
        <f>h_Al2O3</f>
        <v>-16434.670424590011</v>
      </c>
      <c r="CQ221" s="62">
        <f>b_ch_Al2O3</f>
        <v>31.875999999999976</v>
      </c>
      <c r="CR221" s="62">
        <f t="shared" ref="CR221:CR226" si="117">CO221/$CO$227</f>
        <v>0.26393162595128805</v>
      </c>
      <c r="CS221" s="62">
        <f t="shared" ref="CS221:CS226" si="118">LN(CR221)</f>
        <v>-1.3320652019889558</v>
      </c>
      <c r="CT221" s="62">
        <f t="shared" ref="CT221:CT226" si="119">RT0*CS221</f>
        <v>-3.0250789129021771</v>
      </c>
      <c r="CU221" s="62">
        <f t="shared" ref="CU221:CU226" si="120">CT221+CQ221</f>
        <v>28.850921087097799</v>
      </c>
      <c r="CV221" s="62">
        <f t="shared" ref="CV221:CV226" si="121">CU221*CR221</f>
        <v>7.6146705127100249</v>
      </c>
      <c r="CW221" s="62">
        <f>CV221*$CO$227</f>
        <v>1947.7149509597818</v>
      </c>
    </row>
    <row r="222" spans="2:101" ht="16" thickBot="1" x14ac:dyDescent="0.25">
      <c r="B222" s="346" t="s">
        <v>489</v>
      </c>
      <c r="C222" s="346"/>
      <c r="D222" s="346"/>
      <c r="E222" s="346"/>
      <c r="F222" s="346"/>
      <c r="G222" s="346"/>
      <c r="H222" s="346"/>
      <c r="J222" s="4"/>
      <c r="K222" s="4"/>
      <c r="L222" s="4"/>
      <c r="M222" s="4"/>
      <c r="N222" s="4"/>
      <c r="O222" s="4"/>
      <c r="P222" s="4"/>
      <c r="Q222" s="204" t="s">
        <v>576</v>
      </c>
      <c r="R222" s="4"/>
      <c r="S222" s="4"/>
      <c r="T222" s="4"/>
      <c r="U222" s="50">
        <f>L227</f>
        <v>0.49224560722974403</v>
      </c>
      <c r="V222" s="48">
        <f>V227</f>
        <v>22393.370164784887</v>
      </c>
      <c r="X222" s="17" t="s">
        <v>19</v>
      </c>
      <c r="Y222" s="62">
        <f>($AE$210*0.157)/$AF$210</f>
        <v>45.040796666735844</v>
      </c>
      <c r="Z222" s="17">
        <f>SUM(Z216:Z221)</f>
        <v>0.99930000000000008</v>
      </c>
      <c r="AA222" s="17">
        <f>SUM(AA216:AA221)</f>
        <v>1</v>
      </c>
      <c r="AQ222" s="3" t="s">
        <v>311</v>
      </c>
      <c r="AR222" s="83">
        <f>2*AH211</f>
        <v>135.01925606325301</v>
      </c>
      <c r="AS222" s="83">
        <f>2*BA211</f>
        <v>135.01925606325301</v>
      </c>
      <c r="AT222" s="3">
        <f t="shared" si="113"/>
        <v>0</v>
      </c>
      <c r="BJ222" s="3" t="s">
        <v>311</v>
      </c>
      <c r="BK222" s="83">
        <f>2*BA211</f>
        <v>135.01925606325301</v>
      </c>
      <c r="BL222" s="83">
        <f>2*BT211</f>
        <v>135.01925606325301</v>
      </c>
      <c r="BM222" s="3">
        <f t="shared" si="114"/>
        <v>0</v>
      </c>
      <c r="CD222" s="3" t="s">
        <v>311</v>
      </c>
      <c r="CE222" s="83">
        <f>2*BT211</f>
        <v>135.01925606325301</v>
      </c>
      <c r="CF222" s="83">
        <f>2*CO221</f>
        <v>135.01925606325301</v>
      </c>
      <c r="CG222" s="3">
        <f t="shared" si="115"/>
        <v>0</v>
      </c>
      <c r="CJ222" s="366"/>
      <c r="CK222" s="4" t="s">
        <v>123</v>
      </c>
      <c r="CL222" s="4">
        <f>Z217*$CL$227</f>
        <v>1.2908626625694963</v>
      </c>
      <c r="CM222" s="4">
        <f t="shared" ref="CM222:CM226" si="122">CL222/$CL$227</f>
        <v>6.9800000000000001E-2</v>
      </c>
      <c r="CN222" s="4">
        <f>MW_CaO</f>
        <v>5.6077400000000006E-2</v>
      </c>
      <c r="CO222" s="4">
        <f t="shared" si="116"/>
        <v>23.019303009224682</v>
      </c>
      <c r="CP222" s="4">
        <f>h_CaO</f>
        <v>-11321.85158370395</v>
      </c>
      <c r="CQ222" s="4">
        <f>b_ch_CaO</f>
        <v>122.25799999999992</v>
      </c>
      <c r="CR222" s="4">
        <f t="shared" si="117"/>
        <v>8.9994897744716112E-2</v>
      </c>
      <c r="CS222" s="4">
        <f t="shared" si="118"/>
        <v>-2.4080023019842853</v>
      </c>
      <c r="CT222" s="4">
        <f t="shared" si="119"/>
        <v>-5.4684988205351805</v>
      </c>
      <c r="CU222" s="4">
        <f t="shared" si="120"/>
        <v>116.78950117946475</v>
      </c>
      <c r="CV222" s="4">
        <f t="shared" si="121"/>
        <v>10.510459216302332</v>
      </c>
      <c r="CW222" s="4">
        <f t="shared" ref="CW222:CW226" si="123">CV222*$CO$227</f>
        <v>2688.4129159463023</v>
      </c>
    </row>
    <row r="223" spans="2:101" x14ac:dyDescent="0.2">
      <c r="B223" s="347"/>
      <c r="C223" s="347"/>
      <c r="D223" s="347"/>
      <c r="E223" s="347"/>
      <c r="F223" s="347"/>
      <c r="G223" s="347"/>
      <c r="H223" s="347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AQ223" s="3" t="s">
        <v>31</v>
      </c>
      <c r="AR223" s="287">
        <f>AH212</f>
        <v>23.019303009224682</v>
      </c>
      <c r="AS223" s="287">
        <f>BA212</f>
        <v>23.019303009224682</v>
      </c>
      <c r="AT223" s="3">
        <f t="shared" si="113"/>
        <v>0</v>
      </c>
      <c r="BJ223" s="3" t="s">
        <v>31</v>
      </c>
      <c r="BK223" s="287">
        <f>BA212</f>
        <v>23.019303009224682</v>
      </c>
      <c r="BL223" s="287">
        <f>BT212</f>
        <v>23.019303009224682</v>
      </c>
      <c r="BM223" s="3">
        <f t="shared" si="114"/>
        <v>0</v>
      </c>
      <c r="BN223" s="25"/>
      <c r="CA223" s="63" t="s">
        <v>1</v>
      </c>
      <c r="CB223" s="58" t="s">
        <v>0</v>
      </c>
      <c r="CD223" s="3" t="s">
        <v>31</v>
      </c>
      <c r="CE223" s="83">
        <f>BT212</f>
        <v>23.019303009224682</v>
      </c>
      <c r="CF223" s="83">
        <f>CO222</f>
        <v>23.019303009224682</v>
      </c>
      <c r="CG223" s="3">
        <f t="shared" si="115"/>
        <v>0</v>
      </c>
      <c r="CJ223" s="366"/>
      <c r="CK223" s="4" t="s">
        <v>179</v>
      </c>
      <c r="CL223" s="4">
        <f>Z218*$CL$227</f>
        <v>0.22932230681750362</v>
      </c>
      <c r="CM223" s="4">
        <f t="shared" si="122"/>
        <v>1.24E-2</v>
      </c>
      <c r="CN223" s="4">
        <f>MW_MgO</f>
        <v>4.0304400000000004E-2</v>
      </c>
      <c r="CO223" s="4">
        <f t="shared" si="116"/>
        <v>5.6897586074350093</v>
      </c>
      <c r="CP223" s="4">
        <f>h_MgO</f>
        <v>-14926.410019749705</v>
      </c>
      <c r="CQ223" s="4">
        <f>b_ch_MgO</f>
        <v>62.576000000000022</v>
      </c>
      <c r="CR223" s="4">
        <f t="shared" si="117"/>
        <v>2.2244341797101112E-2</v>
      </c>
      <c r="CS223" s="4">
        <f t="shared" si="118"/>
        <v>-3.8056676039638173</v>
      </c>
      <c r="CT223" s="4">
        <f t="shared" si="119"/>
        <v>-8.6425535334728654</v>
      </c>
      <c r="CU223" s="4">
        <f t="shared" si="120"/>
        <v>53.933446466527158</v>
      </c>
      <c r="CV223" s="4">
        <f t="shared" si="121"/>
        <v>1.1997140174970853</v>
      </c>
      <c r="CW223" s="4">
        <f t="shared" si="123"/>
        <v>306.86829126155817</v>
      </c>
    </row>
    <row r="224" spans="2:101" ht="19" thickBot="1" x14ac:dyDescent="0.3">
      <c r="B224" s="61" t="s">
        <v>264</v>
      </c>
      <c r="C224" s="13" t="s">
        <v>263</v>
      </c>
      <c r="D224" s="13" t="s">
        <v>235</v>
      </c>
      <c r="E224" s="13" t="s">
        <v>235</v>
      </c>
      <c r="F224" s="13" t="s">
        <v>235</v>
      </c>
      <c r="G224" s="105" t="s">
        <v>322</v>
      </c>
      <c r="H224" s="13" t="s">
        <v>316</v>
      </c>
      <c r="J224" s="4"/>
      <c r="K224" s="3" t="s">
        <v>564</v>
      </c>
      <c r="L224" s="1" t="s">
        <v>558</v>
      </c>
      <c r="M224" s="3" t="s">
        <v>5</v>
      </c>
      <c r="N224" s="1" t="s">
        <v>85</v>
      </c>
      <c r="O224" s="1" t="s">
        <v>665</v>
      </c>
      <c r="P224" s="1" t="s">
        <v>6</v>
      </c>
      <c r="Q224" s="1" t="s">
        <v>7</v>
      </c>
      <c r="R224" s="1" t="s">
        <v>8</v>
      </c>
      <c r="S224" s="1" t="s">
        <v>9</v>
      </c>
      <c r="T224" s="1" t="s">
        <v>49</v>
      </c>
      <c r="U224" s="1" t="s">
        <v>560</v>
      </c>
      <c r="V224" s="1" t="s">
        <v>50</v>
      </c>
      <c r="Y224" s="3" t="s">
        <v>310</v>
      </c>
      <c r="AQ224" s="3" t="s">
        <v>312</v>
      </c>
      <c r="AR224" s="288">
        <f>AH213</f>
        <v>5.6897586074350093</v>
      </c>
      <c r="AS224" s="288">
        <f>BA213</f>
        <v>5.6897586074350093</v>
      </c>
      <c r="AT224" s="3">
        <f t="shared" si="113"/>
        <v>0</v>
      </c>
      <c r="BJ224" s="3" t="s">
        <v>312</v>
      </c>
      <c r="BK224" s="288">
        <f>BA213</f>
        <v>5.6897586074350093</v>
      </c>
      <c r="BL224" s="288">
        <f>BT213</f>
        <v>5.6897586074350093</v>
      </c>
      <c r="BM224" s="3">
        <f t="shared" si="114"/>
        <v>0</v>
      </c>
      <c r="BN224" s="1"/>
      <c r="CA224" s="65" t="s">
        <v>89</v>
      </c>
      <c r="CB224" s="64" t="s">
        <v>93</v>
      </c>
      <c r="CD224" s="3" t="s">
        <v>312</v>
      </c>
      <c r="CE224" s="83">
        <f>BT213</f>
        <v>5.6897586074350093</v>
      </c>
      <c r="CF224" s="83">
        <f>CO223</f>
        <v>5.6897586074350093</v>
      </c>
      <c r="CG224" s="3">
        <f t="shared" si="115"/>
        <v>0</v>
      </c>
      <c r="CJ224" s="366"/>
      <c r="CK224" s="4" t="s">
        <v>308</v>
      </c>
      <c r="CL224" s="4">
        <f>Z219*$CL$227</f>
        <v>7.0276190798912411E-2</v>
      </c>
      <c r="CM224" s="4">
        <f t="shared" si="122"/>
        <v>3.8000000000000004E-3</v>
      </c>
      <c r="CN224" s="4">
        <f>MW_Na2O</f>
        <v>6.1978936000000005E-2</v>
      </c>
      <c r="CO224" s="4">
        <f t="shared" si="116"/>
        <v>1.1338721722959622</v>
      </c>
      <c r="CP224" s="4">
        <f>h_Na2O</f>
        <v>-6682.9156279804474</v>
      </c>
      <c r="CQ224" s="4">
        <f>b_ch_Na2O</f>
        <v>298.64000000000004</v>
      </c>
      <c r="CR224" s="4">
        <f t="shared" si="117"/>
        <v>4.4329191965743692E-3</v>
      </c>
      <c r="CS224" s="4">
        <f t="shared" si="118"/>
        <v>-5.4186969510924596</v>
      </c>
      <c r="CT224" s="4">
        <f t="shared" si="119"/>
        <v>-12.305693338195185</v>
      </c>
      <c r="CU224" s="4">
        <f t="shared" si="120"/>
        <v>286.33430666180487</v>
      </c>
      <c r="CV224" s="4">
        <f t="shared" si="121"/>
        <v>1.269296844638927</v>
      </c>
      <c r="CW224" s="4">
        <f t="shared" si="123"/>
        <v>324.66650229747881</v>
      </c>
    </row>
    <row r="225" spans="2:169" ht="19" thickBot="1" x14ac:dyDescent="0.3">
      <c r="B225" s="61" t="s">
        <v>98</v>
      </c>
      <c r="C225" s="61" t="s">
        <v>98</v>
      </c>
      <c r="D225" s="13" t="s">
        <v>231</v>
      </c>
      <c r="E225" s="13" t="s">
        <v>234</v>
      </c>
      <c r="F225" s="13" t="s">
        <v>48</v>
      </c>
      <c r="G225" s="34" t="s">
        <v>98</v>
      </c>
      <c r="H225" s="13" t="s">
        <v>48</v>
      </c>
      <c r="J225" s="4" t="s">
        <v>41</v>
      </c>
      <c r="K225" s="3" t="s">
        <v>563</v>
      </c>
      <c r="L225" s="1" t="s">
        <v>88</v>
      </c>
      <c r="M225" s="1" t="s">
        <v>90</v>
      </c>
      <c r="N225" s="1" t="s">
        <v>86</v>
      </c>
      <c r="O225" s="1" t="s">
        <v>650</v>
      </c>
      <c r="P225" s="1" t="s">
        <v>650</v>
      </c>
      <c r="Q225" s="1" t="s">
        <v>25</v>
      </c>
      <c r="R225" s="1" t="s">
        <v>98</v>
      </c>
      <c r="S225" s="1" t="s">
        <v>95</v>
      </c>
      <c r="T225" s="1" t="s">
        <v>95</v>
      </c>
      <c r="U225" s="1" t="s">
        <v>94</v>
      </c>
      <c r="V225" s="1" t="s">
        <v>92</v>
      </c>
      <c r="Y225" s="16" t="s">
        <v>309</v>
      </c>
      <c r="AE225" s="4"/>
      <c r="AF225" s="4"/>
      <c r="AO225" s="63" t="s">
        <v>1</v>
      </c>
      <c r="AP225" s="58" t="s">
        <v>0</v>
      </c>
      <c r="AQ225" s="3" t="s">
        <v>313</v>
      </c>
      <c r="AR225" s="83">
        <f>2*AH214</f>
        <v>2.2677443445919243</v>
      </c>
      <c r="AS225" s="83">
        <f>2*BA214</f>
        <v>2.2677443445919243</v>
      </c>
      <c r="AT225" s="3">
        <f t="shared" si="113"/>
        <v>0</v>
      </c>
      <c r="BJ225" s="3" t="s">
        <v>313</v>
      </c>
      <c r="BK225" s="83">
        <f>2*BA214</f>
        <v>2.2677443445919243</v>
      </c>
      <c r="BL225" s="83">
        <f>2*BT214</f>
        <v>2.2677443445919243</v>
      </c>
      <c r="BM225" s="3">
        <f t="shared" si="114"/>
        <v>0</v>
      </c>
      <c r="BW225" s="3" t="s">
        <v>676</v>
      </c>
      <c r="CA225" s="50">
        <f>BQ233</f>
        <v>10.437401363720047</v>
      </c>
      <c r="CB225" s="48">
        <f>CB233</f>
        <v>891683.71589033271</v>
      </c>
      <c r="CD225" s="3" t="s">
        <v>313</v>
      </c>
      <c r="CE225" s="83">
        <f>2*BT214</f>
        <v>2.2677443445919243</v>
      </c>
      <c r="CF225" s="83">
        <f>2*CO224</f>
        <v>2.2677443445919243</v>
      </c>
      <c r="CG225" s="3">
        <f t="shared" si="115"/>
        <v>0</v>
      </c>
      <c r="CJ225" s="366"/>
      <c r="CK225" s="1" t="s">
        <v>15</v>
      </c>
      <c r="CL225" s="4">
        <f>Z220*$CL$227</f>
        <v>0.80262807386126278</v>
      </c>
      <c r="CM225" s="4">
        <f t="shared" si="122"/>
        <v>4.3400000000000001E-2</v>
      </c>
      <c r="CN225" s="4">
        <f>MW_Fe2O3</f>
        <v>0.1596882</v>
      </c>
      <c r="CO225" s="4">
        <f t="shared" si="116"/>
        <v>5.0262203084590018</v>
      </c>
      <c r="CP225" s="4">
        <f>h_Fe2O3</f>
        <v>-5161.3080991582347</v>
      </c>
      <c r="CQ225" s="4">
        <f>b_ch_Fe2O3</f>
        <v>17.358400000000074</v>
      </c>
      <c r="CR225" s="4">
        <f t="shared" si="117"/>
        <v>1.9650211933911133E-2</v>
      </c>
      <c r="CS225" s="4">
        <f t="shared" si="118"/>
        <v>-3.929667155284259</v>
      </c>
      <c r="CT225" s="4">
        <f t="shared" si="119"/>
        <v>-8.9241526829354534</v>
      </c>
      <c r="CU225" s="4">
        <f t="shared" si="120"/>
        <v>8.4342473170646208</v>
      </c>
      <c r="CV225" s="4">
        <f t="shared" si="121"/>
        <v>0.16573474728334117</v>
      </c>
      <c r="CW225" s="4">
        <f t="shared" si="123"/>
        <v>42.392385151596045</v>
      </c>
      <c r="DB225" s="16" t="s">
        <v>634</v>
      </c>
    </row>
    <row r="226" spans="2:169" ht="18" x14ac:dyDescent="0.25">
      <c r="B226" s="61" t="s">
        <v>278</v>
      </c>
      <c r="C226" s="61" t="s">
        <v>252</v>
      </c>
      <c r="D226" s="61">
        <v>57000</v>
      </c>
      <c r="E226" s="13">
        <f>D226*Btu_to_kJ</f>
        <v>60138.420000000006</v>
      </c>
      <c r="F226" s="13">
        <f>E226*($U$206/1000)</f>
        <v>17252.753803049429</v>
      </c>
      <c r="G226" s="13">
        <v>1.06</v>
      </c>
      <c r="H226" s="13">
        <f>F226*G226</f>
        <v>18287.919031232395</v>
      </c>
      <c r="I226" s="282" t="s">
        <v>576</v>
      </c>
      <c r="J226" s="96" t="s">
        <v>492</v>
      </c>
      <c r="K226" s="95">
        <f>F229</f>
        <v>20969.662867987096</v>
      </c>
      <c r="L226" s="95">
        <f>K226/LHV_Diesel</f>
        <v>0.49224560722974403</v>
      </c>
      <c r="M226" s="95">
        <f>MW_C12H23</f>
        <v>0.16731462</v>
      </c>
      <c r="N226" s="95">
        <f>L226/M226</f>
        <v>2.9420358318343252</v>
      </c>
      <c r="O226" s="95">
        <f>LHV_Diesel</f>
        <v>42600</v>
      </c>
      <c r="P226" s="95">
        <f>b_ch_Diesel</f>
        <v>45492.270191724252</v>
      </c>
      <c r="Q226" s="95">
        <f>N226/N227</f>
        <v>1</v>
      </c>
      <c r="R226" s="95">
        <f>LN(Q226)</f>
        <v>0</v>
      </c>
      <c r="S226" s="95">
        <f>RT0*R226</f>
        <v>0</v>
      </c>
      <c r="T226" s="95">
        <f>S226+P226</f>
        <v>45492.270191724252</v>
      </c>
      <c r="U226" s="95">
        <f>Q226*T226</f>
        <v>45492.270191724252</v>
      </c>
      <c r="V226" s="95">
        <f>U226*L226</f>
        <v>22393.370164784887</v>
      </c>
      <c r="AE226" s="4"/>
      <c r="AF226" s="4"/>
      <c r="AO226" s="65" t="s">
        <v>89</v>
      </c>
      <c r="AP226" s="64" t="s">
        <v>93</v>
      </c>
      <c r="AQ226" s="3" t="s">
        <v>16</v>
      </c>
      <c r="AR226" s="83">
        <f>2*AH215</f>
        <v>10.052440616918004</v>
      </c>
      <c r="AS226" s="83">
        <f>2*BA215</f>
        <v>10.052440616918004</v>
      </c>
      <c r="AT226" s="3">
        <f t="shared" si="113"/>
        <v>0</v>
      </c>
      <c r="BJ226" s="3" t="s">
        <v>16</v>
      </c>
      <c r="BK226" s="83">
        <f>2*BA215</f>
        <v>10.052440616918004</v>
      </c>
      <c r="BL226" s="83">
        <f>2*BT215</f>
        <v>10.052440616918004</v>
      </c>
      <c r="BM226" s="3">
        <f t="shared" si="114"/>
        <v>0</v>
      </c>
      <c r="CD226" s="3" t="s">
        <v>16</v>
      </c>
      <c r="CE226" s="83">
        <f>2*BT215</f>
        <v>10.052440616918004</v>
      </c>
      <c r="CF226" s="83">
        <f>2*CO225</f>
        <v>10.052440616918004</v>
      </c>
      <c r="CG226" s="3">
        <f t="shared" si="115"/>
        <v>0</v>
      </c>
      <c r="CJ226" s="366"/>
      <c r="CK226" s="1" t="s">
        <v>17</v>
      </c>
      <c r="CL226" s="4">
        <f>Z221*$CL$227</f>
        <v>9.2172772353099859</v>
      </c>
      <c r="CM226" s="4">
        <f t="shared" si="122"/>
        <v>0.49840000000000007</v>
      </c>
      <c r="CN226" s="3">
        <f>MW_SIO2</f>
        <v>6.00843E-2</v>
      </c>
      <c r="CO226" s="4">
        <f t="shared" si="116"/>
        <v>153.40575217336286</v>
      </c>
      <c r="CP226" s="4">
        <f>h_SiO2</f>
        <v>-15157.037695371337</v>
      </c>
      <c r="CQ226" s="3">
        <f>b_ch_SiO2</f>
        <v>1.5260000000000673</v>
      </c>
      <c r="CR226" s="4">
        <f t="shared" si="117"/>
        <v>0.59974600337640915</v>
      </c>
      <c r="CS226" s="4">
        <f t="shared" si="118"/>
        <v>-0.51124904110044445</v>
      </c>
      <c r="CT226" s="4">
        <f t="shared" si="119"/>
        <v>-1.1610307747437392</v>
      </c>
      <c r="CU226" s="4">
        <f t="shared" si="120"/>
        <v>0.36496922525632813</v>
      </c>
      <c r="CV226" s="4">
        <f t="shared" si="121"/>
        <v>0.2188888342028672</v>
      </c>
      <c r="CW226" s="4">
        <f t="shared" si="123"/>
        <v>55.988378520576518</v>
      </c>
      <c r="CY226" s="355" t="s">
        <v>439</v>
      </c>
      <c r="CZ226" s="355"/>
      <c r="DA226" s="355"/>
      <c r="DB226" s="355"/>
      <c r="DC226" s="355"/>
      <c r="DD226" s="355"/>
    </row>
    <row r="227" spans="2:169" ht="19" thickBot="1" x14ac:dyDescent="0.3">
      <c r="B227" s="61" t="s">
        <v>278</v>
      </c>
      <c r="C227" s="13" t="s">
        <v>257</v>
      </c>
      <c r="D227" s="13">
        <v>11000</v>
      </c>
      <c r="E227" s="13">
        <f>D227*Btu_to_kJ</f>
        <v>11605.660000000002</v>
      </c>
      <c r="F227" s="13">
        <f>E227*($U$206/1000)</f>
        <v>3329.4788040972585</v>
      </c>
      <c r="G227" s="13">
        <v>1.06</v>
      </c>
      <c r="H227" s="13">
        <f>F227*G227</f>
        <v>3529.247532343094</v>
      </c>
      <c r="J227" s="17" t="s">
        <v>19</v>
      </c>
      <c r="K227" s="17">
        <f>SUM(K226)</f>
        <v>20969.662867987096</v>
      </c>
      <c r="L227" s="17">
        <f>SUM(L226)</f>
        <v>0.49224560722974403</v>
      </c>
      <c r="M227" s="17">
        <f>SUM(M226)</f>
        <v>0.16731462</v>
      </c>
      <c r="N227" s="17">
        <f>SUM(N226)</f>
        <v>2.9420358318343252</v>
      </c>
      <c r="O227" s="17">
        <f>SUM(O226)</f>
        <v>42600</v>
      </c>
      <c r="P227" s="17"/>
      <c r="Q227" s="17"/>
      <c r="R227" s="17"/>
      <c r="S227" s="17"/>
      <c r="T227" s="17"/>
      <c r="U227" s="17">
        <f>SUM(U226)</f>
        <v>45492.270191724252</v>
      </c>
      <c r="V227" s="17">
        <f>SUM(V226)</f>
        <v>22393.370164784887</v>
      </c>
      <c r="AC227" s="1"/>
      <c r="AD227" s="1"/>
      <c r="AE227" s="1"/>
      <c r="AH227" s="4"/>
      <c r="AI227" s="4"/>
      <c r="AJ227" s="4"/>
      <c r="AK227" s="3" t="s">
        <v>524</v>
      </c>
      <c r="AO227" s="50">
        <f>AE234</f>
        <v>7.6637473118485584</v>
      </c>
      <c r="AP227" s="48">
        <f>AP234</f>
        <v>575.29559740969785</v>
      </c>
      <c r="AQ227" s="3" t="s">
        <v>30</v>
      </c>
      <c r="AR227" s="288">
        <f>AH216</f>
        <v>153.40575217336286</v>
      </c>
      <c r="AS227" s="288">
        <f>BA216</f>
        <v>153.40575217336286</v>
      </c>
      <c r="AT227" s="3">
        <f t="shared" si="113"/>
        <v>0</v>
      </c>
      <c r="BJ227" s="3" t="s">
        <v>30</v>
      </c>
      <c r="BK227" s="288">
        <f>BA216</f>
        <v>153.40575217336286</v>
      </c>
      <c r="BL227" s="288">
        <f>BT216</f>
        <v>153.40575217336286</v>
      </c>
      <c r="BM227" s="3">
        <f t="shared" si="114"/>
        <v>0</v>
      </c>
      <c r="BN227" s="1"/>
      <c r="BP227" s="4"/>
      <c r="BQ227" s="1" t="s">
        <v>558</v>
      </c>
      <c r="BR227" s="1" t="s">
        <v>559</v>
      </c>
      <c r="BS227" s="1" t="s">
        <v>561</v>
      </c>
      <c r="BT227" s="1" t="s">
        <v>85</v>
      </c>
      <c r="BU227" s="1" t="s">
        <v>665</v>
      </c>
      <c r="BV227" s="1" t="s">
        <v>6</v>
      </c>
      <c r="BW227" s="1" t="s">
        <v>7</v>
      </c>
      <c r="BX227" s="1" t="s">
        <v>8</v>
      </c>
      <c r="BY227" s="1" t="s">
        <v>9</v>
      </c>
      <c r="BZ227" s="1" t="s">
        <v>49</v>
      </c>
      <c r="CA227" s="1" t="s">
        <v>560</v>
      </c>
      <c r="CB227" s="1" t="s">
        <v>50</v>
      </c>
      <c r="CD227" s="3" t="s">
        <v>30</v>
      </c>
      <c r="CE227" s="83">
        <f>BT216</f>
        <v>153.40575217336286</v>
      </c>
      <c r="CF227" s="83">
        <f>CO226</f>
        <v>153.40575217336286</v>
      </c>
      <c r="CG227" s="3">
        <f t="shared" si="115"/>
        <v>0</v>
      </c>
      <c r="CK227" s="62" t="s">
        <v>19</v>
      </c>
      <c r="CL227" s="62">
        <f>Ash_in_coal</f>
        <v>18.493734420766422</v>
      </c>
      <c r="CM227" s="62">
        <f>SUM(CM221:CM226)</f>
        <v>1</v>
      </c>
      <c r="CN227" s="62">
        <f>SUM(CN221:CN226)</f>
        <v>0.48009451399999997</v>
      </c>
      <c r="CO227" s="62">
        <f>SUM(CO221:CO226)</f>
        <v>255.78453430240404</v>
      </c>
      <c r="CP227" s="17" cm="1">
        <f t="array" ref="CP227">SUM(CL221:CL226*CP221:CP226) / CL227</f>
        <v>-14896.000495082701</v>
      </c>
      <c r="CQ227" s="17"/>
      <c r="CR227" s="62">
        <f>SUM(CR221:CR226)</f>
        <v>1</v>
      </c>
      <c r="CS227" s="17"/>
      <c r="CT227" s="17"/>
      <c r="CU227" s="17"/>
      <c r="CV227" s="62">
        <f>SUM(CV221:CV226)</f>
        <v>20.97876417263458</v>
      </c>
      <c r="CW227" s="62">
        <f>SUM(CW221:CW226)</f>
        <v>5366.0434241372932</v>
      </c>
      <c r="CY227" s="61" t="s">
        <v>264</v>
      </c>
      <c r="CZ227" s="13" t="s">
        <v>235</v>
      </c>
      <c r="DA227" s="13" t="s">
        <v>235</v>
      </c>
      <c r="DB227" s="13" t="s">
        <v>235</v>
      </c>
      <c r="DC227" s="105" t="s">
        <v>322</v>
      </c>
      <c r="DD227" s="13" t="s">
        <v>316</v>
      </c>
    </row>
    <row r="228" spans="2:169" ht="18" x14ac:dyDescent="0.25">
      <c r="B228" s="61" t="s">
        <v>278</v>
      </c>
      <c r="C228" s="13" t="s">
        <v>260</v>
      </c>
      <c r="D228" s="13">
        <v>1280</v>
      </c>
      <c r="E228" s="13">
        <f>D228*Btu_to_kJ</f>
        <v>1350.4768000000001</v>
      </c>
      <c r="F228" s="13">
        <f>E228*($U$206/1000)</f>
        <v>387.43026084040821</v>
      </c>
      <c r="G228" s="13">
        <v>1.06</v>
      </c>
      <c r="H228" s="13">
        <f>F228*G228</f>
        <v>410.67607649083271</v>
      </c>
      <c r="K228" s="3" t="s">
        <v>48</v>
      </c>
      <c r="L228" s="1" t="s">
        <v>89</v>
      </c>
      <c r="M228" s="3" t="s">
        <v>91</v>
      </c>
      <c r="N228" s="3" t="s">
        <v>87</v>
      </c>
      <c r="O228" s="1" t="s">
        <v>666</v>
      </c>
      <c r="P228" s="4"/>
      <c r="Q228" s="4"/>
      <c r="U228" s="3" t="s">
        <v>96</v>
      </c>
      <c r="V228" s="1" t="s">
        <v>93</v>
      </c>
      <c r="AD228" s="1"/>
      <c r="AE228" s="1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BJ228" s="1"/>
      <c r="BK228" s="1"/>
      <c r="BL228" s="1"/>
      <c r="BM228" s="1"/>
      <c r="BN228" s="1"/>
      <c r="BP228" s="4" t="s">
        <v>41</v>
      </c>
      <c r="BQ228" s="1" t="s">
        <v>88</v>
      </c>
      <c r="BR228" s="4" t="s">
        <v>283</v>
      </c>
      <c r="BS228" s="2" t="s">
        <v>90</v>
      </c>
      <c r="BT228" s="2" t="s">
        <v>86</v>
      </c>
      <c r="BU228" s="1" t="s">
        <v>650</v>
      </c>
      <c r="BV228" s="2" t="s">
        <v>95</v>
      </c>
      <c r="BW228" s="2" t="s">
        <v>25</v>
      </c>
      <c r="BX228" s="2" t="s">
        <v>98</v>
      </c>
      <c r="BY228" s="2" t="s">
        <v>95</v>
      </c>
      <c r="BZ228" s="2" t="s">
        <v>95</v>
      </c>
      <c r="CA228" s="2" t="s">
        <v>94</v>
      </c>
      <c r="CB228" s="2" t="s">
        <v>92</v>
      </c>
      <c r="CL228" s="1" t="s">
        <v>89</v>
      </c>
      <c r="CM228" s="1"/>
      <c r="CN228" s="3" t="s">
        <v>91</v>
      </c>
      <c r="CO228" s="3" t="s">
        <v>87</v>
      </c>
      <c r="CP228" s="1" t="s">
        <v>666</v>
      </c>
      <c r="CQ228" s="4"/>
      <c r="CR228" s="4"/>
      <c r="CV228" s="3" t="s">
        <v>96</v>
      </c>
      <c r="CW228" s="1" t="s">
        <v>93</v>
      </c>
      <c r="CY228" s="61" t="s">
        <v>98</v>
      </c>
      <c r="CZ228" s="13" t="s">
        <v>570</v>
      </c>
      <c r="DA228" s="13" t="s">
        <v>457</v>
      </c>
      <c r="DB228" s="13" t="s">
        <v>48</v>
      </c>
      <c r="DC228" s="34" t="s">
        <v>98</v>
      </c>
      <c r="DD228" s="13" t="s">
        <v>48</v>
      </c>
    </row>
    <row r="229" spans="2:169" ht="18" x14ac:dyDescent="0.25">
      <c r="B229" s="3" t="s">
        <v>19</v>
      </c>
      <c r="E229" s="3">
        <f>SUM(E226:E228)</f>
        <v>73094.556800000006</v>
      </c>
      <c r="F229" s="3">
        <f>SUM(F226:F228)</f>
        <v>20969.662867987096</v>
      </c>
      <c r="G229" s="3">
        <v>1.06</v>
      </c>
      <c r="H229" s="3">
        <f>F229*G229</f>
        <v>22227.842640066323</v>
      </c>
      <c r="AD229" s="4"/>
      <c r="AE229" s="1" t="s">
        <v>558</v>
      </c>
      <c r="AF229" s="1" t="s">
        <v>559</v>
      </c>
      <c r="AG229" s="1" t="s">
        <v>561</v>
      </c>
      <c r="AH229" s="1" t="s">
        <v>85</v>
      </c>
      <c r="AI229" s="1" t="s">
        <v>665</v>
      </c>
      <c r="AJ229" s="1" t="s">
        <v>6</v>
      </c>
      <c r="AK229" s="1" t="s">
        <v>7</v>
      </c>
      <c r="AL229" s="1" t="s">
        <v>8</v>
      </c>
      <c r="AM229" s="1" t="s">
        <v>9</v>
      </c>
      <c r="AN229" s="1" t="s">
        <v>49</v>
      </c>
      <c r="AO229" s="1" t="s">
        <v>560</v>
      </c>
      <c r="AP229" s="1" t="s">
        <v>50</v>
      </c>
      <c r="BO229" s="348" t="s">
        <v>676</v>
      </c>
      <c r="BP229" s="17" t="s">
        <v>66</v>
      </c>
      <c r="BQ229" s="17">
        <f>H2_to_coke_oven</f>
        <v>5.8592015710173317</v>
      </c>
      <c r="BR229" s="17">
        <f>BQ229/$BQ$233</f>
        <v>0.56136593456908357</v>
      </c>
      <c r="BS229" s="17">
        <f>MW_H*2</f>
        <v>2.0158800000000003E-3</v>
      </c>
      <c r="BT229" s="17">
        <f>BQ229/BS229</f>
        <v>2906.5229929446846</v>
      </c>
      <c r="BU229" s="17">
        <f>h_H2</f>
        <v>0</v>
      </c>
      <c r="BV229" s="17">
        <f>b_ch_H2</f>
        <v>236.1</v>
      </c>
      <c r="BW229" s="17">
        <f>BT229/$BT$233</f>
        <v>0.91544766952145873</v>
      </c>
      <c r="BX229" s="17">
        <f>LN(BW229)</f>
        <v>-8.8342077045854117E-2</v>
      </c>
      <c r="BY229" s="17">
        <f>RT0*BX229</f>
        <v>-0.20062212720095396</v>
      </c>
      <c r="BZ229" s="17">
        <f>BV229+BY229</f>
        <v>235.89937787279905</v>
      </c>
      <c r="CA229" s="17">
        <f>BZ229*BW229</f>
        <v>215.95353571521585</v>
      </c>
      <c r="CB229" s="17">
        <f>CA229*$BT$233</f>
        <v>685646.96580863697</v>
      </c>
      <c r="CL229" s="1"/>
      <c r="CM229" s="1"/>
      <c r="CQ229" s="4"/>
      <c r="CR229" s="4"/>
      <c r="CW229" s="1"/>
      <c r="CY229" s="61" t="s">
        <v>265</v>
      </c>
      <c r="CZ229" s="13">
        <f>0.2</f>
        <v>0.2</v>
      </c>
      <c r="DA229" s="61">
        <f>CZ229*CV233</f>
        <v>13.916535151626732</v>
      </c>
      <c r="DB229" s="61">
        <f>3600*DA229</f>
        <v>50099.526545856235</v>
      </c>
      <c r="DC229" s="13">
        <v>1</v>
      </c>
      <c r="DD229" s="13">
        <f>DB229*DC229</f>
        <v>50099.526545856235</v>
      </c>
    </row>
    <row r="230" spans="2:169" ht="19" thickBot="1" x14ac:dyDescent="0.3">
      <c r="X230" s="4"/>
      <c r="Y230" s="3" t="s">
        <v>2</v>
      </c>
      <c r="Z230" s="3" t="s">
        <v>3</v>
      </c>
      <c r="AA230" s="132" t="s">
        <v>585</v>
      </c>
      <c r="AD230" s="4" t="s">
        <v>41</v>
      </c>
      <c r="AE230" s="1" t="s">
        <v>88</v>
      </c>
      <c r="AF230" s="4" t="s">
        <v>283</v>
      </c>
      <c r="AG230" s="2" t="s">
        <v>90</v>
      </c>
      <c r="AH230" s="2" t="s">
        <v>86</v>
      </c>
      <c r="AI230" s="1" t="s">
        <v>650</v>
      </c>
      <c r="AJ230" s="2" t="s">
        <v>95</v>
      </c>
      <c r="AK230" s="2" t="s">
        <v>25</v>
      </c>
      <c r="AL230" s="2" t="s">
        <v>98</v>
      </c>
      <c r="AM230" s="2" t="s">
        <v>95</v>
      </c>
      <c r="AN230" s="2" t="s">
        <v>95</v>
      </c>
      <c r="AO230" s="2" t="s">
        <v>94</v>
      </c>
      <c r="AP230" s="2" t="s">
        <v>92</v>
      </c>
      <c r="BO230" s="348"/>
      <c r="BP230" s="3" t="s">
        <v>65</v>
      </c>
      <c r="BQ230" s="3">
        <f>CH4_to_coke_oven</f>
        <v>4.0053644833975302</v>
      </c>
      <c r="BR230" s="3">
        <f>BQ230/$BQ$233</f>
        <v>0.3837511219334731</v>
      </c>
      <c r="BS230" s="3">
        <f>MW_CH4</f>
        <v>1.604276E-2</v>
      </c>
      <c r="BT230" s="3">
        <f>BQ230/BS230</f>
        <v>249.66804236911418</v>
      </c>
      <c r="BU230" s="3">
        <f>h_CH4</f>
        <v>1.604276E-2</v>
      </c>
      <c r="BV230" s="3">
        <f>b_ch_CH4</f>
        <v>831.8</v>
      </c>
      <c r="BW230" s="3">
        <f>BT230/$BT$233</f>
        <v>7.8636235837663701E-2</v>
      </c>
      <c r="BX230" s="3">
        <f>LN(BW230)</f>
        <v>-2.5429226700357286</v>
      </c>
      <c r="BY230" s="3">
        <f>RT0*BX230</f>
        <v>-5.7748988073406355</v>
      </c>
      <c r="BZ230" s="3">
        <f>BV230+BY230</f>
        <v>826.02510119265935</v>
      </c>
      <c r="CA230" s="3">
        <f>BZ230*BW230</f>
        <v>64.955504665215983</v>
      </c>
      <c r="CB230" s="3">
        <f>CA230*$BT$233</f>
        <v>206232.06996252068</v>
      </c>
    </row>
    <row r="231" spans="2:169" ht="18" customHeight="1" x14ac:dyDescent="0.25">
      <c r="X231" s="4"/>
      <c r="Y231" s="1" t="s">
        <v>587</v>
      </c>
      <c r="Z231" s="1" t="s">
        <v>587</v>
      </c>
      <c r="AA231" s="1" t="s">
        <v>587</v>
      </c>
      <c r="AC231" s="348" t="s">
        <v>524</v>
      </c>
      <c r="AD231" s="17" t="s">
        <v>23</v>
      </c>
      <c r="AE231" s="8">
        <f>CO2_out_Coal_Ext</f>
        <v>1.5537409026223474</v>
      </c>
      <c r="AF231" s="8">
        <f>AE231/AE234</f>
        <v>0.20273905693891836</v>
      </c>
      <c r="AG231" s="1">
        <f>MW_CO2</f>
        <v>4.4009800000000002E-2</v>
      </c>
      <c r="AH231" s="1">
        <f>N226*CO2_Diesel_molcoeff</f>
        <v>35.304429982011904</v>
      </c>
      <c r="AI231" s="8">
        <f>h_CO2</f>
        <v>-8941.1903712354979</v>
      </c>
      <c r="AJ231" s="1">
        <f>b_ch_CO2</f>
        <v>19.900000000000034</v>
      </c>
      <c r="AK231" s="1">
        <f>AH231/$AH$234</f>
        <v>0.13297872340425534</v>
      </c>
      <c r="AL231" s="1">
        <f>LN(AK231)</f>
        <v>-2.0175661379617482</v>
      </c>
      <c r="AM231" s="1">
        <f>RT0*AL231</f>
        <v>-4.5818303565174672</v>
      </c>
      <c r="AN231" s="1">
        <f>AJ231+AM231</f>
        <v>15.318169643482566</v>
      </c>
      <c r="AO231" s="1">
        <f>AN231*AK231</f>
        <v>2.0369906440801286</v>
      </c>
      <c r="AP231" s="8">
        <f>$AH$234*AO231</f>
        <v>540.79924763091049</v>
      </c>
      <c r="BO231" s="348"/>
      <c r="BP231" s="239" t="s">
        <v>24</v>
      </c>
      <c r="BQ231" s="3">
        <f>O2_to_coke_oven</f>
        <v>0.37452468339450529</v>
      </c>
      <c r="BR231" s="3">
        <f>BQ231/$BQ$233</f>
        <v>3.5882943497443413E-2</v>
      </c>
      <c r="BS231" s="3">
        <f>MW_O2</f>
        <v>3.1998800000000001E-2</v>
      </c>
      <c r="BT231" s="3">
        <f>BQ231/BS231</f>
        <v>11.704335268650864</v>
      </c>
      <c r="BU231" s="3">
        <f>h_O2</f>
        <v>0</v>
      </c>
      <c r="BV231" s="3">
        <f>b_ch_O2</f>
        <v>4</v>
      </c>
      <c r="BW231" s="3">
        <f>BT231/$BT$233</f>
        <v>3.6864344341996287E-3</v>
      </c>
      <c r="BX231" s="3">
        <f>LN(BW231)</f>
        <v>-5.6030955660719171</v>
      </c>
      <c r="BY231" s="3">
        <f>RT0*BX231</f>
        <v>-12.724456894896331</v>
      </c>
      <c r="BZ231" s="3">
        <f>BV231+BY231</f>
        <v>-8.7244568948963312</v>
      </c>
      <c r="CA231" s="3">
        <f>BZ231*BW231</f>
        <v>-3.2162138317036203E-2</v>
      </c>
      <c r="CB231" s="3">
        <f>CA231*$BT$233</f>
        <v>-102.11396853475932</v>
      </c>
      <c r="CV231" s="63" t="s">
        <v>1</v>
      </c>
      <c r="CW231" s="58" t="s">
        <v>0</v>
      </c>
      <c r="DP231" s="63" t="s">
        <v>1</v>
      </c>
      <c r="DQ231" s="58" t="s">
        <v>0</v>
      </c>
      <c r="EK231" s="63" t="s">
        <v>1</v>
      </c>
      <c r="EL231" s="58" t="s">
        <v>0</v>
      </c>
      <c r="FF231" s="63" t="s">
        <v>1</v>
      </c>
      <c r="FG231" s="58" t="s">
        <v>0</v>
      </c>
    </row>
    <row r="232" spans="2:169" ht="18" customHeight="1" x14ac:dyDescent="0.25">
      <c r="X232" s="4" t="s">
        <v>60</v>
      </c>
      <c r="Y232" s="3" t="s">
        <v>586</v>
      </c>
      <c r="Z232" s="3" t="s">
        <v>586</v>
      </c>
      <c r="AA232" s="3" t="s">
        <v>586</v>
      </c>
      <c r="AC232" s="348"/>
      <c r="AD232" s="3" t="s">
        <v>68</v>
      </c>
      <c r="AE232" s="1">
        <f>H2O_out_Coal_Ext</f>
        <v>0.60951839172607525</v>
      </c>
      <c r="AF232" s="1">
        <f>AE232/AE234</f>
        <v>7.9532683806488189E-2</v>
      </c>
      <c r="AG232" s="6">
        <f>MW_H2O</f>
        <v>1.8015280000000002E-2</v>
      </c>
      <c r="AH232" s="1">
        <f>N226*H2O__Diesel_molcoeff</f>
        <v>33.833412066094738</v>
      </c>
      <c r="AI232" s="1">
        <f>h_H2O</f>
        <v>-13421.939597941302</v>
      </c>
      <c r="AJ232" s="6">
        <f>b_ch_H2O</f>
        <v>9.5113440000000082</v>
      </c>
      <c r="AK232" s="1">
        <f>AH232/$AH$234</f>
        <v>0.12743794326241134</v>
      </c>
      <c r="AL232" s="1">
        <f t="shared" ref="AL232:AL233" si="124">LN(AK232)</f>
        <v>-2.0601257523805443</v>
      </c>
      <c r="AM232" s="1">
        <f>RT0*AL232</f>
        <v>-4.6784819257704671</v>
      </c>
      <c r="AN232" s="1">
        <f t="shared" ref="AN232:AN233" si="125">AJ232+AM232</f>
        <v>4.8328620742295412</v>
      </c>
      <c r="AO232" s="1">
        <f>AN232*AK232</f>
        <v>0.61589000281072381</v>
      </c>
      <c r="AP232" s="1">
        <f t="shared" ref="AP232:AP233" si="126">$AH$234*AO232</f>
        <v>163.51221401600938</v>
      </c>
      <c r="BO232" s="348"/>
      <c r="BP232" s="7" t="s">
        <v>67</v>
      </c>
      <c r="BQ232" s="3">
        <f>N2_to_coke_oven</f>
        <v>0.19831062591068094</v>
      </c>
      <c r="BR232" s="3">
        <f>BQ232/$BQ$233</f>
        <v>1.9000000000000003E-2</v>
      </c>
      <c r="BS232" s="3">
        <f>MW_N2</f>
        <v>2.801348E-2</v>
      </c>
      <c r="BT232" s="3">
        <f>BQ232/BS232</f>
        <v>7.0791142660847894</v>
      </c>
      <c r="BU232" s="3">
        <f>h_N2</f>
        <v>0</v>
      </c>
      <c r="BV232" s="3">
        <f>b_ch_N2</f>
        <v>0.7</v>
      </c>
      <c r="BW232" s="3">
        <f>BT232/$BT$233</f>
        <v>2.2296602066780094E-3</v>
      </c>
      <c r="BX232" s="3">
        <f>LN(BW232)</f>
        <v>-6.1059060788071502</v>
      </c>
      <c r="BY232" s="3">
        <f>RT0*BX232</f>
        <v>-13.866324032473202</v>
      </c>
      <c r="BZ232" s="3">
        <f>BV232+BY232</f>
        <v>-13.166324032473202</v>
      </c>
      <c r="CA232" s="3">
        <f>BZ232*BW232</f>
        <v>-2.9356428763433841E-2</v>
      </c>
      <c r="CB232" s="3">
        <f>CA232*$BT$233</f>
        <v>-93.205912290176059</v>
      </c>
      <c r="CV232" s="65" t="s">
        <v>89</v>
      </c>
      <c r="CW232" s="64" t="s">
        <v>93</v>
      </c>
      <c r="DP232" s="65" t="s">
        <v>89</v>
      </c>
      <c r="DQ232" s="64" t="s">
        <v>93</v>
      </c>
      <c r="EK232" s="65" t="s">
        <v>89</v>
      </c>
      <c r="EL232" s="64" t="s">
        <v>93</v>
      </c>
      <c r="FF232" s="65" t="s">
        <v>89</v>
      </c>
      <c r="FG232" s="64" t="s">
        <v>93</v>
      </c>
    </row>
    <row r="233" spans="2:169" ht="16" customHeight="1" thickBot="1" x14ac:dyDescent="0.3">
      <c r="X233" s="4" t="s">
        <v>18</v>
      </c>
      <c r="Y233" s="83">
        <f>(N210)+(12*N226)</f>
        <v>18251.889010994571</v>
      </c>
      <c r="Z233" s="83">
        <f>AH210+AH231</f>
        <v>18251.889010994571</v>
      </c>
      <c r="AA233" s="3">
        <f>Y233-Z233</f>
        <v>0</v>
      </c>
      <c r="AC233" s="348"/>
      <c r="AD233" s="7" t="s">
        <v>67</v>
      </c>
      <c r="AE233" s="28">
        <f>N2_in_Coal_Ext</f>
        <v>5.5004880175001354</v>
      </c>
      <c r="AF233" s="1">
        <f>AE233/AE234</f>
        <v>0.71772825925459338</v>
      </c>
      <c r="AG233" s="6">
        <f>MW_N2</f>
        <v>2.801348E-2</v>
      </c>
      <c r="AH233" s="1">
        <f>Diesel_N2_molcoeff*N226</f>
        <v>196.35147141662284</v>
      </c>
      <c r="AI233" s="1">
        <f>h_N2</f>
        <v>0</v>
      </c>
      <c r="AJ233" s="6">
        <f>MW_N2</f>
        <v>2.801348E-2</v>
      </c>
      <c r="AK233" s="1">
        <f>AH233/$AH$234</f>
        <v>0.73958333333333326</v>
      </c>
      <c r="AL233" s="1">
        <f t="shared" si="124"/>
        <v>-0.30166831442652092</v>
      </c>
      <c r="AM233" s="1">
        <f>RT0*AL233</f>
        <v>-0.68507942051171322</v>
      </c>
      <c r="AN233" s="1">
        <f t="shared" si="125"/>
        <v>-0.65706594051171319</v>
      </c>
      <c r="AO233" s="1">
        <f t="shared" ref="AO233" si="127">AN233*AK233</f>
        <v>-0.48595501850345452</v>
      </c>
      <c r="AP233" s="1">
        <f t="shared" si="126"/>
        <v>-129.01586423722205</v>
      </c>
      <c r="BP233" s="17" t="s">
        <v>19</v>
      </c>
      <c r="BQ233" s="17">
        <f>SUM(BQ229:BQ232)</f>
        <v>10.437401363720047</v>
      </c>
      <c r="BR233" s="17">
        <f>SUM(BR229:BR232)</f>
        <v>1</v>
      </c>
      <c r="BS233" s="17"/>
      <c r="BT233" s="17">
        <f>SUM(BT229:BT232)</f>
        <v>3174.9744848485343</v>
      </c>
      <c r="BU233" s="17" cm="1">
        <f t="array" ref="BU233">SUM(BQ229:BQ232*BU229:BU232) / BQ233</f>
        <v>6.1564271489094446E-3</v>
      </c>
      <c r="BV233" s="17">
        <f>SUM(BV229:BV232)</f>
        <v>1072.5999999999999</v>
      </c>
      <c r="BW233" s="17">
        <f>SUM(BW229:BW232)</f>
        <v>1</v>
      </c>
      <c r="BX233" s="17"/>
      <c r="BY233" s="17"/>
      <c r="BZ233" s="17"/>
      <c r="CA233" s="17">
        <f>SUM(CA229:CA232)</f>
        <v>280.84752181335136</v>
      </c>
      <c r="CB233" s="17">
        <f>SUM(CB229:CB232)</f>
        <v>891683.71589033271</v>
      </c>
      <c r="CR233" s="3" t="s">
        <v>530</v>
      </c>
      <c r="CV233" s="50">
        <f>CL243</f>
        <v>69.582675758133661</v>
      </c>
      <c r="CW233" s="48">
        <f>CW243</f>
        <v>5935408.0537775028</v>
      </c>
      <c r="CY233" s="360" t="s">
        <v>672</v>
      </c>
      <c r="CZ233" s="360"/>
      <c r="DA233" s="360"/>
      <c r="DB233" s="360"/>
      <c r="DC233" s="360"/>
      <c r="DL233" s="3" t="s">
        <v>673</v>
      </c>
      <c r="DP233" s="50">
        <f>DF241</f>
        <v>69.582675758133661</v>
      </c>
      <c r="DQ233" s="48">
        <f>DQ241</f>
        <v>5944558.1059355522</v>
      </c>
      <c r="DS233" s="360" t="s">
        <v>675</v>
      </c>
      <c r="DT233" s="360"/>
      <c r="DU233" s="360"/>
      <c r="DV233" s="360"/>
      <c r="DW233" s="360"/>
      <c r="EG233" s="3" t="s">
        <v>676</v>
      </c>
      <c r="EK233" s="50">
        <f>EA241</f>
        <v>69.582675758133661</v>
      </c>
      <c r="EL233" s="48">
        <f>EL241</f>
        <v>5944558.1059355522</v>
      </c>
      <c r="FA233" s="3" t="s">
        <v>676</v>
      </c>
      <c r="FF233" s="50">
        <f>EV241</f>
        <v>10.437401363720047</v>
      </c>
      <c r="FG233" s="48">
        <f>FG241</f>
        <v>891683.71589033271</v>
      </c>
      <c r="FI233" s="353" t="s">
        <v>421</v>
      </c>
      <c r="FJ233" s="354"/>
      <c r="FK233" s="354"/>
      <c r="FL233" s="354"/>
      <c r="FM233" s="354"/>
    </row>
    <row r="234" spans="2:169" ht="18" customHeight="1" thickBot="1" x14ac:dyDescent="0.3">
      <c r="U234" s="63" t="s">
        <v>1</v>
      </c>
      <c r="V234" s="58" t="s">
        <v>0</v>
      </c>
      <c r="X234" s="3" t="s">
        <v>182</v>
      </c>
      <c r="Y234" s="286">
        <f>(mol_H_Coal*N210)+(23*N226)</f>
        <v>45479.121193237697</v>
      </c>
      <c r="Z234" s="286">
        <f>(mol_H_Coal*AH210)+(2*AH232)</f>
        <v>45479.121193237697</v>
      </c>
      <c r="AA234" s="3">
        <f t="shared" ref="AA234:AA242" si="128">Y234-Z234</f>
        <v>0</v>
      </c>
      <c r="AC234" s="348"/>
      <c r="AD234" s="17" t="s">
        <v>19</v>
      </c>
      <c r="AE234" s="1">
        <f>SUM(AE231:AE233)</f>
        <v>7.6637473118485584</v>
      </c>
      <c r="AF234" s="8">
        <f>SUM(AF231:AF233)</f>
        <v>1</v>
      </c>
      <c r="AG234" s="8">
        <f>SUM(AG231:AG233)</f>
        <v>9.0038560000000004E-2</v>
      </c>
      <c r="AH234" s="8">
        <f>SUM(AH231:AH233)</f>
        <v>265.48931346472949</v>
      </c>
      <c r="AI234" s="17" cm="1">
        <f t="array" ref="AI234">SUM(AE231:AE233*AI231:AI233) / AE234</f>
        <v>-2880.2113818884714</v>
      </c>
      <c r="AJ234" s="62"/>
      <c r="AK234" s="8">
        <f>SUM(AK231:AK233)</f>
        <v>1</v>
      </c>
      <c r="AL234" s="17"/>
      <c r="AM234" s="17"/>
      <c r="AN234" s="17"/>
      <c r="AO234" s="8">
        <f>SUM(AO231:AO233)</f>
        <v>2.1669256283873981</v>
      </c>
      <c r="AP234" s="8">
        <f>SUM(AP231:AP233)</f>
        <v>575.29559740969785</v>
      </c>
      <c r="BJ234" s="1"/>
      <c r="BK234" s="1"/>
      <c r="BL234" s="1"/>
      <c r="BM234" s="1"/>
      <c r="BN234" s="1"/>
      <c r="BQ234" s="1" t="s">
        <v>89</v>
      </c>
      <c r="BR234" s="1"/>
      <c r="BS234" s="3" t="s">
        <v>91</v>
      </c>
      <c r="BT234" s="3" t="s">
        <v>87</v>
      </c>
      <c r="BU234" s="1" t="s">
        <v>666</v>
      </c>
      <c r="BV234" s="4"/>
      <c r="BW234" s="4"/>
      <c r="CA234" s="3" t="s">
        <v>96</v>
      </c>
      <c r="CB234" s="1" t="s">
        <v>93</v>
      </c>
      <c r="CY234" s="360"/>
      <c r="CZ234" s="360"/>
      <c r="DA234" s="360"/>
      <c r="DB234" s="360"/>
      <c r="DC234" s="360"/>
      <c r="DS234" s="360"/>
      <c r="DT234" s="360"/>
      <c r="DU234" s="360"/>
      <c r="DV234" s="360"/>
      <c r="DW234" s="360"/>
      <c r="FI234" s="354"/>
      <c r="FJ234" s="354"/>
      <c r="FK234" s="354"/>
      <c r="FL234" s="354"/>
      <c r="FM234" s="354"/>
    </row>
    <row r="235" spans="2:169" ht="18" x14ac:dyDescent="0.25">
      <c r="U235" s="65" t="s">
        <v>89</v>
      </c>
      <c r="V235" s="64" t="s">
        <v>93</v>
      </c>
      <c r="X235" s="3" t="s">
        <v>29</v>
      </c>
      <c r="Y235" s="286">
        <f>(mol_O_Coal*N210)+(3*N211)+N212+N213+N214+(3*N215)+(2*N216)+(2*N240)</f>
        <v>814.76205876806807</v>
      </c>
      <c r="Z235" s="286">
        <f>(mol_O_Coal*AH210)+(3*AH211)+AH212+AH213+AH214+(3*AH215)+(2*AH216)+(2*AH231)+AH232</f>
        <v>814.76205876806807</v>
      </c>
      <c r="AA235" s="3">
        <f t="shared" si="128"/>
        <v>0</v>
      </c>
      <c r="AE235" s="1" t="s">
        <v>89</v>
      </c>
      <c r="AF235" s="1"/>
      <c r="AG235" s="3" t="s">
        <v>91</v>
      </c>
      <c r="AH235" s="3" t="s">
        <v>87</v>
      </c>
      <c r="AI235" s="1" t="s">
        <v>666</v>
      </c>
      <c r="AJ235" s="4"/>
      <c r="AK235" s="4"/>
      <c r="AO235" s="3" t="s">
        <v>96</v>
      </c>
      <c r="AP235" s="1" t="s">
        <v>93</v>
      </c>
      <c r="CK235" s="4"/>
      <c r="CL235" s="1" t="s">
        <v>558</v>
      </c>
      <c r="CM235" s="1" t="s">
        <v>559</v>
      </c>
      <c r="CN235" s="1" t="s">
        <v>561</v>
      </c>
      <c r="CO235" s="1" t="s">
        <v>85</v>
      </c>
      <c r="CP235" s="1" t="s">
        <v>665</v>
      </c>
      <c r="CQ235" s="1" t="s">
        <v>6</v>
      </c>
      <c r="CR235" s="1" t="s">
        <v>7</v>
      </c>
      <c r="CS235" s="1" t="s">
        <v>8</v>
      </c>
      <c r="CT235" s="1" t="s">
        <v>9</v>
      </c>
      <c r="CU235" s="1" t="s">
        <v>49</v>
      </c>
      <c r="CV235" s="1" t="s">
        <v>560</v>
      </c>
      <c r="CW235" s="1" t="s">
        <v>50</v>
      </c>
      <c r="CY235" s="22" t="s">
        <v>431</v>
      </c>
      <c r="CZ235" s="22" t="s">
        <v>479</v>
      </c>
      <c r="DA235" s="161" t="s">
        <v>337</v>
      </c>
      <c r="DB235" s="377" t="s">
        <v>344</v>
      </c>
      <c r="DC235" s="138" t="s">
        <v>317</v>
      </c>
      <c r="DE235" s="4"/>
      <c r="DF235" s="1" t="s">
        <v>558</v>
      </c>
      <c r="DG235" s="1" t="s">
        <v>559</v>
      </c>
      <c r="DH235" s="1" t="s">
        <v>561</v>
      </c>
      <c r="DI235" s="1" t="s">
        <v>85</v>
      </c>
      <c r="DJ235" s="1" t="s">
        <v>665</v>
      </c>
      <c r="DK235" s="1" t="s">
        <v>6</v>
      </c>
      <c r="DL235" s="1" t="s">
        <v>7</v>
      </c>
      <c r="DM235" s="1" t="s">
        <v>8</v>
      </c>
      <c r="DN235" s="1" t="s">
        <v>9</v>
      </c>
      <c r="DO235" s="1" t="s">
        <v>49</v>
      </c>
      <c r="DP235" s="1" t="s">
        <v>560</v>
      </c>
      <c r="DQ235" s="1" t="s">
        <v>50</v>
      </c>
      <c r="DS235" s="22" t="s">
        <v>431</v>
      </c>
      <c r="DT235" s="22" t="s">
        <v>479</v>
      </c>
      <c r="DU235" s="161" t="s">
        <v>337</v>
      </c>
      <c r="DV235" s="377" t="s">
        <v>344</v>
      </c>
      <c r="DW235" s="138" t="s">
        <v>317</v>
      </c>
      <c r="DZ235" s="4"/>
      <c r="EA235" s="1" t="s">
        <v>558</v>
      </c>
      <c r="EB235" s="1" t="s">
        <v>559</v>
      </c>
      <c r="EC235" s="1" t="s">
        <v>561</v>
      </c>
      <c r="ED235" s="1" t="s">
        <v>85</v>
      </c>
      <c r="EE235" s="1" t="s">
        <v>665</v>
      </c>
      <c r="EF235" s="1" t="s">
        <v>6</v>
      </c>
      <c r="EG235" s="1" t="s">
        <v>7</v>
      </c>
      <c r="EH235" s="1" t="s">
        <v>8</v>
      </c>
      <c r="EI235" s="1" t="s">
        <v>9</v>
      </c>
      <c r="EJ235" s="1" t="s">
        <v>49</v>
      </c>
      <c r="EK235" s="1" t="s">
        <v>560</v>
      </c>
      <c r="EL235" s="1" t="s">
        <v>50</v>
      </c>
      <c r="EU235" s="4"/>
      <c r="EV235" s="1" t="s">
        <v>558</v>
      </c>
      <c r="EW235" s="1" t="s">
        <v>559</v>
      </c>
      <c r="EX235" s="1" t="s">
        <v>561</v>
      </c>
      <c r="EY235" s="1" t="s">
        <v>85</v>
      </c>
      <c r="EZ235" s="1" t="s">
        <v>665</v>
      </c>
      <c r="FA235" s="1" t="s">
        <v>6</v>
      </c>
      <c r="FB235" s="1" t="s">
        <v>7</v>
      </c>
      <c r="FC235" s="1" t="s">
        <v>8</v>
      </c>
      <c r="FD235" s="1" t="s">
        <v>9</v>
      </c>
      <c r="FE235" s="1" t="s">
        <v>49</v>
      </c>
      <c r="FF235" s="1" t="s">
        <v>560</v>
      </c>
      <c r="FG235" s="1" t="s">
        <v>50</v>
      </c>
      <c r="FI235" s="354"/>
      <c r="FJ235" s="354"/>
      <c r="FK235" s="354"/>
      <c r="FL235" s="354"/>
      <c r="FM235" s="354"/>
    </row>
    <row r="236" spans="2:169" ht="19" thickBot="1" x14ac:dyDescent="0.3">
      <c r="Q236" s="3" t="s">
        <v>541</v>
      </c>
      <c r="U236" s="50">
        <f>K242</f>
        <v>7.1715017046188141</v>
      </c>
      <c r="V236" s="48">
        <f>V242</f>
        <v>56.138829759567599</v>
      </c>
      <c r="X236" s="3" t="s">
        <v>363</v>
      </c>
      <c r="Y236" s="83">
        <f>(mol_N_Coal*N210)+(2*N241)</f>
        <v>487.09113304770955</v>
      </c>
      <c r="Z236" s="83">
        <f>(mol_N_Coal*AH210)+(2*AH233)</f>
        <v>487.09113304770955</v>
      </c>
      <c r="AA236" s="3">
        <f t="shared" si="128"/>
        <v>0</v>
      </c>
      <c r="CK236" s="4" t="s">
        <v>41</v>
      </c>
      <c r="CL236" s="1" t="s">
        <v>88</v>
      </c>
      <c r="CM236" s="4" t="s">
        <v>283</v>
      </c>
      <c r="CN236" s="2" t="s">
        <v>90</v>
      </c>
      <c r="CO236" s="2" t="s">
        <v>86</v>
      </c>
      <c r="CP236" s="1" t="s">
        <v>650</v>
      </c>
      <c r="CQ236" s="2" t="s">
        <v>95</v>
      </c>
      <c r="CR236" s="2" t="s">
        <v>25</v>
      </c>
      <c r="CS236" s="2" t="s">
        <v>98</v>
      </c>
      <c r="CT236" s="2" t="s">
        <v>95</v>
      </c>
      <c r="CU236" s="2" t="s">
        <v>95</v>
      </c>
      <c r="CV236" s="2" t="s">
        <v>94</v>
      </c>
      <c r="CW236" s="2" t="s">
        <v>92</v>
      </c>
      <c r="CY236" s="213" t="s">
        <v>48</v>
      </c>
      <c r="CZ236" s="9" t="s">
        <v>48</v>
      </c>
      <c r="DA236" s="1" t="s">
        <v>89</v>
      </c>
      <c r="DB236" s="378"/>
      <c r="DC236" s="136" t="s">
        <v>82</v>
      </c>
      <c r="DE236" s="4" t="s">
        <v>41</v>
      </c>
      <c r="DF236" s="1" t="s">
        <v>88</v>
      </c>
      <c r="DG236" s="4" t="s">
        <v>283</v>
      </c>
      <c r="DH236" s="2" t="s">
        <v>90</v>
      </c>
      <c r="DI236" s="2" t="s">
        <v>86</v>
      </c>
      <c r="DJ236" s="1" t="s">
        <v>650</v>
      </c>
      <c r="DK236" s="2" t="s">
        <v>95</v>
      </c>
      <c r="DL236" s="2" t="s">
        <v>25</v>
      </c>
      <c r="DM236" s="2" t="s">
        <v>98</v>
      </c>
      <c r="DN236" s="2" t="s">
        <v>95</v>
      </c>
      <c r="DO236" s="2" t="s">
        <v>95</v>
      </c>
      <c r="DP236" s="2" t="s">
        <v>94</v>
      </c>
      <c r="DQ236" s="2" t="s">
        <v>92</v>
      </c>
      <c r="DS236" s="213" t="s">
        <v>48</v>
      </c>
      <c r="DT236" s="9" t="s">
        <v>48</v>
      </c>
      <c r="DU236" s="1" t="s">
        <v>89</v>
      </c>
      <c r="DV236" s="378"/>
      <c r="DW236" s="136" t="s">
        <v>82</v>
      </c>
      <c r="DZ236" s="4" t="s">
        <v>41</v>
      </c>
      <c r="EA236" s="1" t="s">
        <v>88</v>
      </c>
      <c r="EB236" s="4" t="s">
        <v>283</v>
      </c>
      <c r="EC236" s="2" t="s">
        <v>90</v>
      </c>
      <c r="ED236" s="2" t="s">
        <v>86</v>
      </c>
      <c r="EE236" s="1" t="s">
        <v>650</v>
      </c>
      <c r="EF236" s="2" t="s">
        <v>95</v>
      </c>
      <c r="EG236" s="2" t="s">
        <v>25</v>
      </c>
      <c r="EH236" s="2" t="s">
        <v>98</v>
      </c>
      <c r="EI236" s="2" t="s">
        <v>95</v>
      </c>
      <c r="EJ236" s="2" t="s">
        <v>95</v>
      </c>
      <c r="EK236" s="2" t="s">
        <v>94</v>
      </c>
      <c r="EL236" s="2" t="s">
        <v>92</v>
      </c>
      <c r="EU236" s="4" t="s">
        <v>41</v>
      </c>
      <c r="EV236" s="1" t="s">
        <v>88</v>
      </c>
      <c r="EW236" s="4" t="s">
        <v>283</v>
      </c>
      <c r="EX236" s="2" t="s">
        <v>90</v>
      </c>
      <c r="EY236" s="2" t="s">
        <v>86</v>
      </c>
      <c r="EZ236" s="1" t="s">
        <v>650</v>
      </c>
      <c r="FA236" s="2" t="s">
        <v>95</v>
      </c>
      <c r="FB236" s="2" t="s">
        <v>25</v>
      </c>
      <c r="FC236" s="2" t="s">
        <v>98</v>
      </c>
      <c r="FD236" s="2" t="s">
        <v>95</v>
      </c>
      <c r="FE236" s="2" t="s">
        <v>95</v>
      </c>
      <c r="FF236" s="2" t="s">
        <v>94</v>
      </c>
      <c r="FG236" s="2" t="s">
        <v>92</v>
      </c>
    </row>
    <row r="237" spans="2:169" ht="18" thickBot="1" x14ac:dyDescent="0.3">
      <c r="X237" s="3" t="s">
        <v>311</v>
      </c>
      <c r="Y237" s="83">
        <f>2*N211</f>
        <v>135.01925606325301</v>
      </c>
      <c r="Z237" s="83">
        <f>2*AH211</f>
        <v>135.01925606325301</v>
      </c>
      <c r="AA237" s="3">
        <f t="shared" si="128"/>
        <v>0</v>
      </c>
      <c r="CJ237" s="348" t="s">
        <v>530</v>
      </c>
      <c r="CK237" s="17" t="s">
        <v>66</v>
      </c>
      <c r="CL237" s="17">
        <f>$CL$243*CM237</f>
        <v>39.801290533652448</v>
      </c>
      <c r="CM237" s="17">
        <v>0.57199999999999995</v>
      </c>
      <c r="CN237" s="17">
        <f>MW_H*2</f>
        <v>2.0158800000000003E-3</v>
      </c>
      <c r="CO237" s="17">
        <f t="shared" ref="CO237:CO242" si="129">CL237/CN237</f>
        <v>19743.878868609463</v>
      </c>
      <c r="CP237" s="17">
        <f>h_H2</f>
        <v>0</v>
      </c>
      <c r="CQ237" s="17">
        <f>b_ch_H2</f>
        <v>236.1</v>
      </c>
      <c r="CR237" s="17">
        <f t="shared" ref="CR237:CR242" si="130">CO237/$CO$243</f>
        <v>0.92235600940319784</v>
      </c>
      <c r="CS237" s="17">
        <f t="shared" ref="CS237:CS242" si="131">LN(CR237)</f>
        <v>-8.0824002618162957E-2</v>
      </c>
      <c r="CT237" s="17">
        <f t="shared" ref="CT237:CT242" si="132">RT0*CS237</f>
        <v>-0.18354881248416716</v>
      </c>
      <c r="CU237" s="17">
        <f t="shared" ref="CU237:CU242" si="133">CQ237+CT237</f>
        <v>235.91645118751583</v>
      </c>
      <c r="CV237" s="17">
        <f t="shared" ref="CV237:CV242" si="134">CR237*CU237</f>
        <v>217.59895646988141</v>
      </c>
      <c r="CW237" s="17">
        <f>CV237*$CO$243</f>
        <v>4657905.8353585294</v>
      </c>
      <c r="CY237" s="104">
        <f>0</f>
        <v>0</v>
      </c>
      <c r="CZ237" s="99">
        <f>CW233+DD229-DQ233</f>
        <v>40949.47438780684</v>
      </c>
      <c r="DA237" s="141">
        <f>DP233-CV233</f>
        <v>0</v>
      </c>
      <c r="DB237" s="139" t="s">
        <v>341</v>
      </c>
      <c r="DC237" s="136">
        <f>((DI238*(DP238-CV242)))/DD229</f>
        <v>0.32384219142951498</v>
      </c>
      <c r="DD237" s="351" t="s">
        <v>673</v>
      </c>
      <c r="DE237" s="17" t="s">
        <v>66</v>
      </c>
      <c r="DF237" s="17">
        <f>H2_out_COtreatment</f>
        <v>39.061343806782212</v>
      </c>
      <c r="DG237" s="17">
        <f>DF237/$DF$241</f>
        <v>0.56136593456908346</v>
      </c>
      <c r="DH237" s="17">
        <f>MW_H*2</f>
        <v>2.0158800000000003E-3</v>
      </c>
      <c r="DI237" s="17">
        <f>DF237/DH237</f>
        <v>19376.819952964564</v>
      </c>
      <c r="DJ237" s="17">
        <f>h_H2</f>
        <v>0</v>
      </c>
      <c r="DK237" s="17">
        <f>b_ch_H2</f>
        <v>236.1</v>
      </c>
      <c r="DL237" s="17">
        <f>DI237/$DI$241</f>
        <v>0.91544766952145851</v>
      </c>
      <c r="DM237" s="17">
        <f>LN(DL237)</f>
        <v>-8.8342077045854353E-2</v>
      </c>
      <c r="DN237" s="17">
        <f>RT0*DM237</f>
        <v>-0.20062212720095451</v>
      </c>
      <c r="DO237" s="17">
        <f>DK237+DN237</f>
        <v>235.89937787279905</v>
      </c>
      <c r="DP237" s="17">
        <f>DO237*DL237</f>
        <v>215.95353571521579</v>
      </c>
      <c r="DQ237" s="17">
        <f>DP237*$DI$241</f>
        <v>4570979.7720575798</v>
      </c>
      <c r="DS237" s="104">
        <f>0</f>
        <v>0</v>
      </c>
      <c r="DT237" s="99">
        <f>DQ233-EL233</f>
        <v>0</v>
      </c>
      <c r="DU237" s="141">
        <f>EK233-DP233</f>
        <v>0</v>
      </c>
      <c r="DV237" s="139" t="s">
        <v>341</v>
      </c>
      <c r="DW237" s="136" t="s">
        <v>98</v>
      </c>
      <c r="DY237" s="351" t="s">
        <v>527</v>
      </c>
      <c r="DZ237" s="17" t="s">
        <v>66</v>
      </c>
      <c r="EA237" s="17">
        <f>H2_out_COtreatment</f>
        <v>39.061343806782212</v>
      </c>
      <c r="EB237" s="17">
        <f>EA237/$DF$241</f>
        <v>0.56136593456908346</v>
      </c>
      <c r="EC237" s="17">
        <f>MW_H*2</f>
        <v>2.0158800000000003E-3</v>
      </c>
      <c r="ED237" s="17">
        <f>EA237/EC237</f>
        <v>19376.819952964564</v>
      </c>
      <c r="EE237" s="17">
        <f>h_H2</f>
        <v>0</v>
      </c>
      <c r="EF237" s="17">
        <f>b_ch_H2</f>
        <v>236.1</v>
      </c>
      <c r="EG237" s="17">
        <f>ED237/$DI$241</f>
        <v>0.91544766952145851</v>
      </c>
      <c r="EH237" s="17">
        <f>LN(EG237)</f>
        <v>-8.8342077045854353E-2</v>
      </c>
      <c r="EI237" s="17">
        <f>RT0*EH237</f>
        <v>-0.20062212720095451</v>
      </c>
      <c r="EJ237" s="17">
        <f>EF237+EI237</f>
        <v>235.89937787279905</v>
      </c>
      <c r="EK237" s="17">
        <f>EJ237*EG237</f>
        <v>215.95353571521579</v>
      </c>
      <c r="EL237" s="17">
        <f>EK237*$DI$241</f>
        <v>4570979.7720575798</v>
      </c>
      <c r="ET237" s="352" t="s">
        <v>676</v>
      </c>
      <c r="EU237" s="17" t="s">
        <v>66</v>
      </c>
      <c r="EV237" s="17">
        <f>H2_to_coke_oven</f>
        <v>5.8592015710173317</v>
      </c>
      <c r="EW237" s="17">
        <f>EV237/$BQ$233</f>
        <v>0.56136593456908357</v>
      </c>
      <c r="EX237" s="17">
        <f>MW_H*2</f>
        <v>2.0158800000000003E-3</v>
      </c>
      <c r="EY237" s="17">
        <f>EV237/EX237</f>
        <v>2906.5229929446846</v>
      </c>
      <c r="EZ237" s="17">
        <f>h_H2</f>
        <v>0</v>
      </c>
      <c r="FA237" s="17">
        <f>b_ch_H2</f>
        <v>236.1</v>
      </c>
      <c r="FB237" s="17">
        <f>EY237/$BT$233</f>
        <v>0.91544766952145873</v>
      </c>
      <c r="FC237" s="17">
        <f>LN(FB237)</f>
        <v>-8.8342077045854117E-2</v>
      </c>
      <c r="FD237" s="17">
        <f>RT0*FC237</f>
        <v>-0.20062212720095396</v>
      </c>
      <c r="FE237" s="17">
        <f>FA237+FD237</f>
        <v>235.89937787279905</v>
      </c>
      <c r="FF237" s="17">
        <f>FE237*FB237</f>
        <v>215.95353571521585</v>
      </c>
      <c r="FG237" s="17">
        <f>FF237*$BT$233</f>
        <v>685646.96580863697</v>
      </c>
    </row>
    <row r="238" spans="2:169" ht="18" x14ac:dyDescent="0.25">
      <c r="E238" s="346" t="s">
        <v>522</v>
      </c>
      <c r="F238" s="346"/>
      <c r="G238" s="346"/>
      <c r="H238" s="346"/>
      <c r="J238" s="4"/>
      <c r="K238" s="1" t="s">
        <v>558</v>
      </c>
      <c r="L238" s="1" t="s">
        <v>559</v>
      </c>
      <c r="M238" s="1" t="s">
        <v>561</v>
      </c>
      <c r="N238" s="1" t="s">
        <v>85</v>
      </c>
      <c r="O238" s="1" t="s">
        <v>665</v>
      </c>
      <c r="P238" s="1" t="s">
        <v>6</v>
      </c>
      <c r="Q238" s="1" t="s">
        <v>7</v>
      </c>
      <c r="R238" s="1" t="s">
        <v>8</v>
      </c>
      <c r="S238" s="1" t="s">
        <v>9</v>
      </c>
      <c r="T238" s="1" t="s">
        <v>49</v>
      </c>
      <c r="U238" s="1" t="s">
        <v>560</v>
      </c>
      <c r="V238" s="1" t="s">
        <v>50</v>
      </c>
      <c r="X238" s="3" t="s">
        <v>31</v>
      </c>
      <c r="Y238" s="287">
        <f>N212</f>
        <v>23.019303009224682</v>
      </c>
      <c r="Z238" s="287">
        <f>AH212</f>
        <v>23.019303009224682</v>
      </c>
      <c r="AA238" s="3">
        <f t="shared" si="128"/>
        <v>0</v>
      </c>
      <c r="CJ238" s="348"/>
      <c r="CK238" s="4" t="s">
        <v>371</v>
      </c>
      <c r="CL238" s="3">
        <f t="shared" ref="CL238:CL242" si="135">$CL$243*CM238</f>
        <v>1.3916535151626732</v>
      </c>
      <c r="CM238" s="3">
        <v>0.02</v>
      </c>
      <c r="CN238" s="3">
        <f>MW_C2H4</f>
        <v>2.8053759999999997E-2</v>
      </c>
      <c r="CO238" s="3">
        <f t="shared" si="129"/>
        <v>49.60666645621383</v>
      </c>
      <c r="CP238" s="3">
        <f>h_C2H4</f>
        <v>1867.8423141853357</v>
      </c>
      <c r="CQ238" s="3" cm="1">
        <f t="array" ref="CQ238">b_ch_C2H4</f>
        <v>1361.23</v>
      </c>
      <c r="CR238" s="3">
        <f t="shared" si="130"/>
        <v>2.3174274526721371E-3</v>
      </c>
      <c r="CS238" s="3">
        <f t="shared" si="131"/>
        <v>-6.0672975651470908</v>
      </c>
      <c r="CT238" s="3">
        <f t="shared" si="132"/>
        <v>-13.778645290954278</v>
      </c>
      <c r="CU238" s="3">
        <f t="shared" si="133"/>
        <v>1347.4513547090457</v>
      </c>
      <c r="CV238" s="3">
        <f t="shared" si="134"/>
        <v>3.1226207605430041</v>
      </c>
      <c r="CW238" s="3">
        <f t="shared" ref="CW238:CW242" si="136">CV238*$CO$243</f>
        <v>66842.569919025103</v>
      </c>
      <c r="CY238" s="4"/>
      <c r="CZ238" s="4"/>
      <c r="DB238" s="139" t="s">
        <v>637</v>
      </c>
      <c r="DC238" s="136">
        <f>DQ233/(CW233+DD229)</f>
        <v>0.99315856277211589</v>
      </c>
      <c r="DD238" s="351"/>
      <c r="DE238" s="3" t="s">
        <v>65</v>
      </c>
      <c r="DF238" s="3">
        <f>CH4_out_COtreatment</f>
        <v>26.702429889316871</v>
      </c>
      <c r="DG238" s="3">
        <f t="shared" ref="DG238:DG240" si="137">DF238/$DF$241</f>
        <v>0.38375112193347305</v>
      </c>
      <c r="DH238" s="3">
        <f>MW_CH4</f>
        <v>1.604276E-2</v>
      </c>
      <c r="DI238" s="3">
        <f t="shared" ref="DI238:DI240" si="138">DF238/DH238</f>
        <v>1664.4536157940947</v>
      </c>
      <c r="DJ238" s="3">
        <f>h_CH4</f>
        <v>1.604276E-2</v>
      </c>
      <c r="DK238" s="3">
        <f>b_ch_CH4</f>
        <v>831.8</v>
      </c>
      <c r="DL238" s="3">
        <f>DI238/$DI$241</f>
        <v>7.8636235837663701E-2</v>
      </c>
      <c r="DM238" s="3">
        <f t="shared" ref="DM238:DM240" si="139">LN(DL238)</f>
        <v>-2.5429226700357286</v>
      </c>
      <c r="DN238" s="3">
        <f>RT0*DM238</f>
        <v>-5.7748988073406355</v>
      </c>
      <c r="DO238" s="3">
        <f t="shared" ref="DO238:DO240" si="140">DK238+DN238</f>
        <v>826.02510119265935</v>
      </c>
      <c r="DP238" s="3">
        <f t="shared" ref="DP238:DP240" si="141">DO238*DL238</f>
        <v>64.955504665215983</v>
      </c>
      <c r="DQ238" s="3">
        <f t="shared" ref="DQ238:DQ240" si="142">DP238*$DI$241</f>
        <v>1374880.4664168048</v>
      </c>
      <c r="DS238" s="4"/>
      <c r="DT238" s="4"/>
      <c r="DV238" s="139" t="s">
        <v>637</v>
      </c>
      <c r="DW238" s="136">
        <f>EL233/DQ233</f>
        <v>1</v>
      </c>
      <c r="DY238" s="351"/>
      <c r="DZ238" s="3" t="s">
        <v>65</v>
      </c>
      <c r="EA238" s="3">
        <f>CH4_out_COtreatment</f>
        <v>26.702429889316871</v>
      </c>
      <c r="EB238" s="3">
        <f t="shared" ref="EB238:EB240" si="143">EA238/$DF$241</f>
        <v>0.38375112193347305</v>
      </c>
      <c r="EC238" s="3">
        <f>MW_CH4</f>
        <v>1.604276E-2</v>
      </c>
      <c r="ED238" s="3">
        <f t="shared" ref="ED238:ED240" si="144">EA238/EC238</f>
        <v>1664.4536157940947</v>
      </c>
      <c r="EE238" s="3">
        <f>h_CH4</f>
        <v>1.604276E-2</v>
      </c>
      <c r="EF238" s="3">
        <f>b_ch_CH4</f>
        <v>831.8</v>
      </c>
      <c r="EG238" s="3">
        <f>ED238/$DI$241</f>
        <v>7.8636235837663701E-2</v>
      </c>
      <c r="EH238" s="3">
        <f t="shared" ref="EH238:EH240" si="145">LN(EG238)</f>
        <v>-2.5429226700357286</v>
      </c>
      <c r="EI238" s="3">
        <f>RT0*EH238</f>
        <v>-5.7748988073406355</v>
      </c>
      <c r="EJ238" s="3">
        <f t="shared" ref="EJ238:EJ240" si="146">EF238+EI238</f>
        <v>826.02510119265935</v>
      </c>
      <c r="EK238" s="3">
        <f t="shared" ref="EK238:EK240" si="147">EJ238*EG238</f>
        <v>64.955504665215983</v>
      </c>
      <c r="EL238" s="3">
        <f t="shared" ref="EL238:EL240" si="148">EK238*$DI$241</f>
        <v>1374880.4664168048</v>
      </c>
      <c r="EM238" s="132"/>
      <c r="EN238" s="132"/>
      <c r="EO238" s="132"/>
      <c r="EP238" s="132"/>
      <c r="EQ238" s="132"/>
      <c r="ER238" s="132"/>
      <c r="ES238" s="132"/>
      <c r="ET238" s="352"/>
      <c r="EU238" s="3" t="s">
        <v>65</v>
      </c>
      <c r="EV238" s="3">
        <f>CH4_to_coke_oven</f>
        <v>4.0053644833975302</v>
      </c>
      <c r="EW238" s="3">
        <f>EV238/$BQ$233</f>
        <v>0.3837511219334731</v>
      </c>
      <c r="EX238" s="3">
        <f>MW_CH4</f>
        <v>1.604276E-2</v>
      </c>
      <c r="EY238" s="3">
        <f>EV238/EX238</f>
        <v>249.66804236911418</v>
      </c>
      <c r="EZ238" s="3">
        <f>h_CH4</f>
        <v>1.604276E-2</v>
      </c>
      <c r="FA238" s="3">
        <f>b_ch_CH4</f>
        <v>831.8</v>
      </c>
      <c r="FB238" s="3">
        <f>EY238/$BT$233</f>
        <v>7.8636235837663701E-2</v>
      </c>
      <c r="FC238" s="3">
        <f>LN(FB238)</f>
        <v>-2.5429226700357286</v>
      </c>
      <c r="FD238" s="3">
        <f>RT0*FC238</f>
        <v>-5.7748988073406355</v>
      </c>
      <c r="FE238" s="3">
        <f>FA238+FD238</f>
        <v>826.02510119265935</v>
      </c>
      <c r="FF238" s="3">
        <f>FE238*FB238</f>
        <v>64.955504665215983</v>
      </c>
      <c r="FG238" s="3">
        <f>FF238*$BT$233</f>
        <v>206232.06996252068</v>
      </c>
    </row>
    <row r="239" spans="2:169" ht="19" thickBot="1" x14ac:dyDescent="0.3">
      <c r="E239" s="346"/>
      <c r="F239" s="346"/>
      <c r="G239" s="346"/>
      <c r="H239" s="346"/>
      <c r="J239" s="4" t="s">
        <v>41</v>
      </c>
      <c r="K239" s="1" t="s">
        <v>88</v>
      </c>
      <c r="L239" s="4" t="s">
        <v>283</v>
      </c>
      <c r="M239" s="2" t="s">
        <v>90</v>
      </c>
      <c r="N239" s="2" t="s">
        <v>86</v>
      </c>
      <c r="O239" s="1" t="s">
        <v>650</v>
      </c>
      <c r="P239" s="2" t="s">
        <v>95</v>
      </c>
      <c r="Q239" s="2" t="s">
        <v>25</v>
      </c>
      <c r="R239" s="2" t="s">
        <v>98</v>
      </c>
      <c r="S239" s="2" t="s">
        <v>95</v>
      </c>
      <c r="T239" s="2" t="s">
        <v>95</v>
      </c>
      <c r="U239" s="2" t="s">
        <v>94</v>
      </c>
      <c r="V239" s="2" t="s">
        <v>92</v>
      </c>
      <c r="X239" s="3" t="s">
        <v>312</v>
      </c>
      <c r="Y239" s="288">
        <f>N213</f>
        <v>5.6897586074350093</v>
      </c>
      <c r="Z239" s="288">
        <f>AH213</f>
        <v>5.6897586074350093</v>
      </c>
      <c r="AA239" s="3">
        <f t="shared" si="128"/>
        <v>0</v>
      </c>
      <c r="CJ239" s="348"/>
      <c r="CK239" s="3" t="s">
        <v>122</v>
      </c>
      <c r="CL239" s="3">
        <f t="shared" si="135"/>
        <v>3.1312204091160147</v>
      </c>
      <c r="CM239" s="3">
        <v>4.4999999999999998E-2</v>
      </c>
      <c r="CN239" s="3">
        <f>MW_CO</f>
        <v>2.8010399999999998E-2</v>
      </c>
      <c r="CO239" s="3">
        <f t="shared" si="129"/>
        <v>111.78777915045893</v>
      </c>
      <c r="CP239" s="3">
        <f>h_CO</f>
        <v>-3944.9632993459577</v>
      </c>
      <c r="CQ239" s="3">
        <f>b_ch_CO</f>
        <v>275.02296000000001</v>
      </c>
      <c r="CR239" s="3">
        <f t="shared" si="130"/>
        <v>5.2222833498636167E-3</v>
      </c>
      <c r="CS239" s="3">
        <f t="shared" si="131"/>
        <v>-5.254820549383771</v>
      </c>
      <c r="CT239" s="3">
        <f t="shared" si="132"/>
        <v>-11.933535093695568</v>
      </c>
      <c r="CU239" s="3">
        <f t="shared" si="133"/>
        <v>263.08942490630443</v>
      </c>
      <c r="CV239" s="3">
        <f t="shared" si="134"/>
        <v>1.3739275232133878</v>
      </c>
      <c r="CW239" s="3">
        <f t="shared" si="136"/>
        <v>29410.182528247205</v>
      </c>
      <c r="CY239" s="4"/>
      <c r="CZ239" s="4"/>
      <c r="DB239" s="140" t="s">
        <v>406</v>
      </c>
      <c r="DC239" s="137">
        <f>DQ238/(CW233+DD229)</f>
        <v>0.22970156631938118</v>
      </c>
      <c r="DD239" s="351"/>
      <c r="DE239" s="239" t="s">
        <v>24</v>
      </c>
      <c r="DF239" s="3">
        <f>O2_out_COtreatment</f>
        <v>2.4968312226300351</v>
      </c>
      <c r="DG239" s="3">
        <f t="shared" si="137"/>
        <v>3.5882943497443406E-2</v>
      </c>
      <c r="DH239" s="3">
        <f>MW_O2</f>
        <v>3.1998800000000001E-2</v>
      </c>
      <c r="DI239" s="3">
        <f t="shared" si="138"/>
        <v>78.028901791005751</v>
      </c>
      <c r="DJ239" s="3">
        <f>h_O2</f>
        <v>0</v>
      </c>
      <c r="DK239" s="3">
        <f>b_ch_O2</f>
        <v>4</v>
      </c>
      <c r="DL239" s="3">
        <f>DI239/$DI$241</f>
        <v>3.6864344341996274E-3</v>
      </c>
      <c r="DM239" s="3">
        <f t="shared" si="139"/>
        <v>-5.6030955660719179</v>
      </c>
      <c r="DN239" s="3">
        <f>RT0*DM239</f>
        <v>-12.724456894896333</v>
      </c>
      <c r="DO239" s="3">
        <f t="shared" si="140"/>
        <v>-8.724456894896333</v>
      </c>
      <c r="DP239" s="3">
        <f t="shared" si="141"/>
        <v>-3.2162138317036203E-2</v>
      </c>
      <c r="DQ239" s="3">
        <f t="shared" si="142"/>
        <v>-680.75979023172897</v>
      </c>
      <c r="DS239" s="4"/>
      <c r="DT239" s="4"/>
      <c r="DV239" s="140" t="s">
        <v>406</v>
      </c>
      <c r="DW239" s="137">
        <f>EL233/DQ233</f>
        <v>1</v>
      </c>
      <c r="DY239" s="351"/>
      <c r="DZ239" s="239" t="s">
        <v>24</v>
      </c>
      <c r="EA239" s="3">
        <f>O2_out_COtreatment</f>
        <v>2.4968312226300351</v>
      </c>
      <c r="EB239" s="3">
        <f t="shared" si="143"/>
        <v>3.5882943497443406E-2</v>
      </c>
      <c r="EC239" s="3">
        <f>MW_O2</f>
        <v>3.1998800000000001E-2</v>
      </c>
      <c r="ED239" s="3">
        <f t="shared" si="144"/>
        <v>78.028901791005751</v>
      </c>
      <c r="EE239" s="3">
        <f>h_O2</f>
        <v>0</v>
      </c>
      <c r="EF239" s="3">
        <f>b_ch_O2</f>
        <v>4</v>
      </c>
      <c r="EG239" s="3">
        <f>ED239/$DI$241</f>
        <v>3.6864344341996274E-3</v>
      </c>
      <c r="EH239" s="3">
        <f t="shared" si="145"/>
        <v>-5.6030955660719179</v>
      </c>
      <c r="EI239" s="3">
        <f>RT0*EH239</f>
        <v>-12.724456894896333</v>
      </c>
      <c r="EJ239" s="3">
        <f t="shared" si="146"/>
        <v>-8.724456894896333</v>
      </c>
      <c r="EK239" s="3">
        <f t="shared" si="147"/>
        <v>-3.2162138317036203E-2</v>
      </c>
      <c r="EL239" s="3">
        <f t="shared" si="148"/>
        <v>-680.75979023172897</v>
      </c>
      <c r="EM239" s="1"/>
      <c r="EN239" s="1"/>
      <c r="EO239" s="1"/>
      <c r="EP239" s="1"/>
      <c r="EQ239" s="1"/>
      <c r="ER239" s="1"/>
      <c r="ES239" s="1"/>
      <c r="ET239" s="352"/>
      <c r="EU239" s="239" t="s">
        <v>24</v>
      </c>
      <c r="EV239" s="3">
        <f>O2_to_coke_oven</f>
        <v>0.37452468339450529</v>
      </c>
      <c r="EW239" s="3">
        <f>EV239/$BQ$233</f>
        <v>3.5882943497443413E-2</v>
      </c>
      <c r="EX239" s="3">
        <f>MW_O2</f>
        <v>3.1998800000000001E-2</v>
      </c>
      <c r="EY239" s="3">
        <f>EV239/EX239</f>
        <v>11.704335268650864</v>
      </c>
      <c r="EZ239" s="3">
        <f>h_O2</f>
        <v>0</v>
      </c>
      <c r="FA239" s="3">
        <f>b_ch_O2</f>
        <v>4</v>
      </c>
      <c r="FB239" s="3">
        <f>EY239/$BT$233</f>
        <v>3.6864344341996287E-3</v>
      </c>
      <c r="FC239" s="3">
        <f>LN(FB239)</f>
        <v>-5.6030955660719171</v>
      </c>
      <c r="FD239" s="3">
        <f>RT0*FC239</f>
        <v>-12.724456894896331</v>
      </c>
      <c r="FE239" s="3">
        <f>FA239+FD239</f>
        <v>-8.7244568948963312</v>
      </c>
      <c r="FF239" s="3">
        <f>FE239*FB239</f>
        <v>-3.2162138317036203E-2</v>
      </c>
      <c r="FG239" s="3">
        <f>FF239*$BT$233</f>
        <v>-102.11396853475932</v>
      </c>
    </row>
    <row r="240" spans="2:169" ht="18" customHeight="1" x14ac:dyDescent="0.25">
      <c r="I240" s="348" t="s">
        <v>528</v>
      </c>
      <c r="J240" s="8" t="s">
        <v>303</v>
      </c>
      <c r="K240" s="17">
        <f>O2_in_Coal_Ext</f>
        <v>1.6710136871186787</v>
      </c>
      <c r="L240" s="17">
        <f>K240/$BQ$248</f>
        <v>3.0002141864262999E-3</v>
      </c>
      <c r="M240" s="3">
        <f>MW_O2</f>
        <v>3.1998800000000001E-2</v>
      </c>
      <c r="N240" s="3">
        <f>O2_Diesel_molcoeff*N226</f>
        <v>52.221136015059272</v>
      </c>
      <c r="O240" s="17">
        <f>h_O2</f>
        <v>0</v>
      </c>
      <c r="P240" s="3">
        <f>b_ch_O2</f>
        <v>4</v>
      </c>
      <c r="Q240" s="3">
        <f>N240/N242</f>
        <v>0.21008403361344541</v>
      </c>
      <c r="R240" s="1">
        <f>LN(Q240)</f>
        <v>-1.5602476682433284</v>
      </c>
      <c r="S240" s="1">
        <f>RT0*R240</f>
        <v>-3.5432742429276498</v>
      </c>
      <c r="T240" s="1">
        <f>P240+S240</f>
        <v>0.45672575707235019</v>
      </c>
      <c r="U240" s="1">
        <f>T240*Q240</f>
        <v>9.5950789300913913E-2</v>
      </c>
      <c r="V240" s="1">
        <f>N242*U240</f>
        <v>23.850737881656119</v>
      </c>
      <c r="X240" s="3" t="s">
        <v>313</v>
      </c>
      <c r="Y240" s="83">
        <f>2*N214</f>
        <v>2.2677443445919243</v>
      </c>
      <c r="Z240" s="83">
        <f>2*AH214</f>
        <v>2.2677443445919243</v>
      </c>
      <c r="AA240" s="3">
        <f t="shared" si="128"/>
        <v>0</v>
      </c>
      <c r="CA240" s="63" t="s">
        <v>1</v>
      </c>
      <c r="CB240" s="58" t="s">
        <v>0</v>
      </c>
      <c r="CJ240" s="348"/>
      <c r="CK240" s="7" t="s">
        <v>64</v>
      </c>
      <c r="CL240" s="3">
        <f t="shared" si="135"/>
        <v>0.97415746061387132</v>
      </c>
      <c r="CM240" s="3">
        <v>1.4E-2</v>
      </c>
      <c r="CN240" s="3">
        <f>MW_CO2</f>
        <v>4.4009800000000002E-2</v>
      </c>
      <c r="CO240" s="3">
        <f t="shared" si="129"/>
        <v>22.135012215776289</v>
      </c>
      <c r="CP240" s="3">
        <f>h_CO2</f>
        <v>-8941.1903712354979</v>
      </c>
      <c r="CQ240" s="3">
        <f>b_ch_CO2</f>
        <v>19.900000000000034</v>
      </c>
      <c r="CR240" s="3">
        <f t="shared" si="130"/>
        <v>1.0340603116186133E-3</v>
      </c>
      <c r="CS240" s="3">
        <f t="shared" si="131"/>
        <v>-6.8742621761456677</v>
      </c>
      <c r="CT240" s="3">
        <f t="shared" si="132"/>
        <v>-15.611236987325567</v>
      </c>
      <c r="CU240" s="3">
        <f t="shared" si="133"/>
        <v>4.2887630126744671</v>
      </c>
      <c r="CV240" s="3">
        <f t="shared" si="134"/>
        <v>4.4348396173445421E-3</v>
      </c>
      <c r="CW240" s="3">
        <f t="shared" si="136"/>
        <v>94.931821676118844</v>
      </c>
      <c r="DD240" s="351"/>
      <c r="DE240" s="7" t="s">
        <v>67</v>
      </c>
      <c r="DF240" s="3">
        <f>N2_out_COtreatment</f>
        <v>1.3220708394045395</v>
      </c>
      <c r="DG240" s="3">
        <f t="shared" si="137"/>
        <v>1.9E-2</v>
      </c>
      <c r="DH240" s="3">
        <f>MW_N2</f>
        <v>2.801348E-2</v>
      </c>
      <c r="DI240" s="3">
        <f t="shared" si="138"/>
        <v>47.194095107231931</v>
      </c>
      <c r="DJ240" s="3">
        <f>h_N2</f>
        <v>0</v>
      </c>
      <c r="DK240" s="3">
        <f>b_ch_N2</f>
        <v>0.7</v>
      </c>
      <c r="DL240" s="3">
        <f>DI240/$DI$241</f>
        <v>2.229660206678009E-3</v>
      </c>
      <c r="DM240" s="3">
        <f t="shared" si="139"/>
        <v>-6.1059060788071511</v>
      </c>
      <c r="DN240" s="3">
        <f>RT0*DM240</f>
        <v>-13.866324032473203</v>
      </c>
      <c r="DO240" s="3">
        <f t="shared" si="140"/>
        <v>-13.166324032473204</v>
      </c>
      <c r="DP240" s="3">
        <f t="shared" si="141"/>
        <v>-2.9356428763433841E-2</v>
      </c>
      <c r="DQ240" s="3">
        <f t="shared" si="142"/>
        <v>-621.37274860117384</v>
      </c>
      <c r="DY240" s="351"/>
      <c r="DZ240" s="7" t="s">
        <v>67</v>
      </c>
      <c r="EA240" s="3">
        <f>N2_out_COtreatment</f>
        <v>1.3220708394045395</v>
      </c>
      <c r="EB240" s="3">
        <f t="shared" si="143"/>
        <v>1.9E-2</v>
      </c>
      <c r="EC240" s="3">
        <f>MW_N2</f>
        <v>2.801348E-2</v>
      </c>
      <c r="ED240" s="3">
        <f t="shared" si="144"/>
        <v>47.194095107231931</v>
      </c>
      <c r="EE240" s="3">
        <f>h_N2</f>
        <v>0</v>
      </c>
      <c r="EF240" s="3">
        <f>b_ch_N2</f>
        <v>0.7</v>
      </c>
      <c r="EG240" s="3">
        <f>ED240/$DI$241</f>
        <v>2.229660206678009E-3</v>
      </c>
      <c r="EH240" s="3">
        <f t="shared" si="145"/>
        <v>-6.1059060788071511</v>
      </c>
      <c r="EI240" s="3">
        <f>RT0*EH240</f>
        <v>-13.866324032473203</v>
      </c>
      <c r="EJ240" s="3">
        <f t="shared" si="146"/>
        <v>-13.166324032473204</v>
      </c>
      <c r="EK240" s="3">
        <f t="shared" si="147"/>
        <v>-2.9356428763433841E-2</v>
      </c>
      <c r="EL240" s="3">
        <f t="shared" si="148"/>
        <v>-621.37274860117384</v>
      </c>
      <c r="ET240" s="352"/>
      <c r="EU240" s="7" t="s">
        <v>67</v>
      </c>
      <c r="EV240" s="3">
        <f>N2_to_coke_oven</f>
        <v>0.19831062591068094</v>
      </c>
      <c r="EW240" s="3">
        <f>EV240/$BQ$233</f>
        <v>1.9000000000000003E-2</v>
      </c>
      <c r="EX240" s="3">
        <f>MW_N2</f>
        <v>2.801348E-2</v>
      </c>
      <c r="EY240" s="3">
        <f>EV240/EX240</f>
        <v>7.0791142660847894</v>
      </c>
      <c r="EZ240" s="3">
        <f>h_N2</f>
        <v>0</v>
      </c>
      <c r="FA240" s="3">
        <f>b_ch_N2</f>
        <v>0.7</v>
      </c>
      <c r="FB240" s="3">
        <f>EY240/$BT$233</f>
        <v>2.2296602066780094E-3</v>
      </c>
      <c r="FC240" s="3">
        <f>LN(FB240)</f>
        <v>-6.1059060788071502</v>
      </c>
      <c r="FD240" s="3">
        <f>RT0*FC240</f>
        <v>-13.866324032473202</v>
      </c>
      <c r="FE240" s="3">
        <f>FA240+FD240</f>
        <v>-13.166324032473202</v>
      </c>
      <c r="FF240" s="3">
        <f>FE240*FB240</f>
        <v>-2.9356428763433841E-2</v>
      </c>
      <c r="FG240" s="3">
        <f>FF240*$BT$233</f>
        <v>-93.205912290176059</v>
      </c>
    </row>
    <row r="241" spans="9:163" ht="18" x14ac:dyDescent="0.25">
      <c r="I241" s="348"/>
      <c r="J241" s="60" t="s">
        <v>67</v>
      </c>
      <c r="K241" s="3">
        <f>N2_in_Coal_Ext</f>
        <v>5.5004880175001354</v>
      </c>
      <c r="L241" s="3">
        <f>K241/$BQ$248</f>
        <v>9.8758270561070099E-3</v>
      </c>
      <c r="M241" s="28">
        <f>MW_N2</f>
        <v>2.801348E-2</v>
      </c>
      <c r="N241" s="28">
        <f>AH233</f>
        <v>196.35147141662284</v>
      </c>
      <c r="O241" s="28">
        <f>h_N2</f>
        <v>0</v>
      </c>
      <c r="P241" s="28">
        <f>b_ch_N2</f>
        <v>0.7</v>
      </c>
      <c r="Q241" s="28">
        <f>N241/N242</f>
        <v>0.78991596638655459</v>
      </c>
      <c r="R241" s="2">
        <f>LN(Q241)</f>
        <v>-0.23582871084152554</v>
      </c>
      <c r="S241" s="2">
        <f>RT0*R241</f>
        <v>-0.53555971521393941</v>
      </c>
      <c r="T241" s="2">
        <f>P241+S241</f>
        <v>0.16444028478606054</v>
      </c>
      <c r="U241" s="2">
        <f>T241*Q241</f>
        <v>0.12989400646966126</v>
      </c>
      <c r="V241" s="2">
        <f>N242*U241</f>
        <v>32.288091877911484</v>
      </c>
      <c r="X241" s="3" t="s">
        <v>16</v>
      </c>
      <c r="Y241" s="83">
        <f>2*N215</f>
        <v>10.052440616918004</v>
      </c>
      <c r="Z241" s="83">
        <f>2*AH215</f>
        <v>10.052440616918004</v>
      </c>
      <c r="AA241" s="3">
        <f t="shared" si="128"/>
        <v>0</v>
      </c>
      <c r="CA241" s="65" t="s">
        <v>89</v>
      </c>
      <c r="CB241" s="64" t="s">
        <v>93</v>
      </c>
      <c r="CJ241" s="348"/>
      <c r="CK241" s="7" t="s">
        <v>67</v>
      </c>
      <c r="CL241" s="3">
        <f t="shared" si="135"/>
        <v>1.3220708394045395</v>
      </c>
      <c r="CM241" s="3">
        <v>1.9E-2</v>
      </c>
      <c r="CN241" s="3">
        <f>MW_N2</f>
        <v>2.801348E-2</v>
      </c>
      <c r="CO241" s="3">
        <f t="shared" si="129"/>
        <v>47.194095107231931</v>
      </c>
      <c r="CP241" s="3">
        <f>h_N2</f>
        <v>0</v>
      </c>
      <c r="CQ241" s="3">
        <f>b_ch_N2</f>
        <v>0.7</v>
      </c>
      <c r="CR241" s="3">
        <f t="shared" si="130"/>
        <v>2.2047216517170204E-3</v>
      </c>
      <c r="CS241" s="3">
        <f t="shared" si="131"/>
        <v>-6.1171540131006124</v>
      </c>
      <c r="CT241" s="3">
        <f t="shared" si="132"/>
        <v>-13.891867743692485</v>
      </c>
      <c r="CU241" s="3">
        <f t="shared" si="133"/>
        <v>-13.191867743692486</v>
      </c>
      <c r="CV241" s="3">
        <f t="shared" si="134"/>
        <v>-2.9084396441106181E-2</v>
      </c>
      <c r="CW241" s="3">
        <f t="shared" si="136"/>
        <v>-622.57826093784831</v>
      </c>
      <c r="DE241" s="17" t="s">
        <v>19</v>
      </c>
      <c r="DF241" s="17">
        <f>SUM(DF237:DF240)</f>
        <v>69.582675758133661</v>
      </c>
      <c r="DG241" s="17">
        <f>SUM(DG237:DG240)</f>
        <v>0.99999999999999989</v>
      </c>
      <c r="DH241" s="17"/>
      <c r="DI241" s="17">
        <f>SUM(DI237:DI240)</f>
        <v>21166.4965656569</v>
      </c>
      <c r="DJ241" s="17" cm="1">
        <f t="array" ref="DJ241">SUM(DF237:DF240*DJ237:DJ240) / DF241</f>
        <v>6.1564271489094446E-3</v>
      </c>
      <c r="DK241" s="17">
        <f>SUM(DK237:DK240)</f>
        <v>1072.5999999999999</v>
      </c>
      <c r="DL241" s="17">
        <f>SUM(DL237:DL240)</f>
        <v>0.99999999999999978</v>
      </c>
      <c r="DM241" s="17"/>
      <c r="DN241" s="17"/>
      <c r="DO241" s="17"/>
      <c r="DP241" s="17">
        <f>SUM(DP237:DP240)</f>
        <v>280.84752181335125</v>
      </c>
      <c r="DQ241" s="17">
        <f>SUM(DQ237:DQ240)</f>
        <v>5944558.1059355522</v>
      </c>
      <c r="DZ241" s="17" t="s">
        <v>19</v>
      </c>
      <c r="EA241" s="17">
        <f>SUM(EA237:EA240)</f>
        <v>69.582675758133661</v>
      </c>
      <c r="EB241" s="17">
        <f>SUM(EB237:EB240)</f>
        <v>0.99999999999999989</v>
      </c>
      <c r="EC241" s="17"/>
      <c r="ED241" s="17">
        <f>SUM(ED237:ED240)</f>
        <v>21166.4965656569</v>
      </c>
      <c r="EE241" s="17" cm="1">
        <f t="array" ref="EE241">SUM(EA237:EA240*EE237:EE240) / EA241</f>
        <v>6.1564271489094446E-3</v>
      </c>
      <c r="EF241" s="17">
        <f>SUM(EF237:EF240)</f>
        <v>1072.5999999999999</v>
      </c>
      <c r="EG241" s="17">
        <f>SUM(EG237:EG240)</f>
        <v>0.99999999999999978</v>
      </c>
      <c r="EH241" s="17"/>
      <c r="EI241" s="17"/>
      <c r="EJ241" s="17"/>
      <c r="EK241" s="17">
        <f>SUM(EK237:EK240)</f>
        <v>280.84752181335125</v>
      </c>
      <c r="EL241" s="17">
        <f>SUM(EL237:EL240)</f>
        <v>5944558.1059355522</v>
      </c>
      <c r="EU241" s="17" t="s">
        <v>19</v>
      </c>
      <c r="EV241" s="17">
        <f>SUM(EV237:EV240)</f>
        <v>10.437401363720047</v>
      </c>
      <c r="EW241" s="17">
        <f>SUM(EW237:EW240)</f>
        <v>1</v>
      </c>
      <c r="EX241" s="17"/>
      <c r="EY241" s="17">
        <f>SUM(EY237:EY240)</f>
        <v>3174.9744848485343</v>
      </c>
      <c r="EZ241" s="17" cm="1">
        <f t="array" ref="EZ241">SUM(EV237:EV240*EZ237:EZ240) / EV241</f>
        <v>6.1564271489094446E-3</v>
      </c>
      <c r="FA241" s="17">
        <f>SUM(FA237:FA240)</f>
        <v>1072.5999999999999</v>
      </c>
      <c r="FB241" s="17">
        <f>SUM(FB237:FB240)</f>
        <v>1</v>
      </c>
      <c r="FC241" s="17"/>
      <c r="FD241" s="17"/>
      <c r="FE241" s="17"/>
      <c r="FF241" s="17">
        <f>SUM(FF237:FF240)</f>
        <v>280.84752181335136</v>
      </c>
      <c r="FG241" s="17">
        <f>SUM(FG237:FG240)</f>
        <v>891683.71589033271</v>
      </c>
    </row>
    <row r="242" spans="9:163" ht="19" thickBot="1" x14ac:dyDescent="0.3">
      <c r="J242" s="3" t="s">
        <v>19</v>
      </c>
      <c r="K242" s="17">
        <f>SUM(K240:K241)</f>
        <v>7.1715017046188141</v>
      </c>
      <c r="L242" s="17">
        <f>SUM(L240:L241)</f>
        <v>1.2876041242533311E-2</v>
      </c>
      <c r="M242" s="3">
        <f>SUM(M240:M241)</f>
        <v>6.0012280000000001E-2</v>
      </c>
      <c r="N242" s="3">
        <f>SUM(N240:N241)</f>
        <v>248.57260743168212</v>
      </c>
      <c r="O242" s="3">
        <f>SUM(O240:O241)</f>
        <v>0</v>
      </c>
      <c r="U242" s="3">
        <f>SUM(U240:U241)</f>
        <v>0.22584479577057517</v>
      </c>
      <c r="V242" s="3">
        <f>SUM(V240:V241)</f>
        <v>56.138829759567599</v>
      </c>
      <c r="X242" s="3" t="s">
        <v>30</v>
      </c>
      <c r="Y242" s="288">
        <f>N216</f>
        <v>153.40575217336286</v>
      </c>
      <c r="Z242" s="288">
        <f>AH216</f>
        <v>153.40575217336286</v>
      </c>
      <c r="AA242" s="3">
        <f t="shared" si="128"/>
        <v>0</v>
      </c>
      <c r="BW242" s="3" t="s">
        <v>528</v>
      </c>
      <c r="CA242" s="50">
        <f>BQ248</f>
        <v>556.96479760636817</v>
      </c>
      <c r="CB242" s="48">
        <f>CB248</f>
        <v>4359.9448543333856</v>
      </c>
      <c r="CJ242" s="348"/>
      <c r="CK242" s="3" t="s">
        <v>65</v>
      </c>
      <c r="CL242" s="3">
        <f t="shared" si="135"/>
        <v>22.962283000184108</v>
      </c>
      <c r="CM242" s="3">
        <v>0.33</v>
      </c>
      <c r="CN242" s="3">
        <f>MW_CH4</f>
        <v>1.604276E-2</v>
      </c>
      <c r="CO242" s="3">
        <f t="shared" si="129"/>
        <v>1431.3174915154318</v>
      </c>
      <c r="CP242" s="3">
        <f>h_CH4</f>
        <v>1.604276E-2</v>
      </c>
      <c r="CQ242" s="3">
        <f>b_ch_CH4</f>
        <v>831.8</v>
      </c>
      <c r="CR242" s="3">
        <f t="shared" si="130"/>
        <v>6.6865497830930945E-2</v>
      </c>
      <c r="CS242" s="3">
        <f t="shared" si="131"/>
        <v>-2.7050721723709388</v>
      </c>
      <c r="CT242" s="3">
        <f t="shared" si="132"/>
        <v>-6.1431353167242753</v>
      </c>
      <c r="CU242" s="3">
        <f t="shared" si="133"/>
        <v>825.65686468327567</v>
      </c>
      <c r="CV242" s="3">
        <f t="shared" si="134"/>
        <v>55.207957294572815</v>
      </c>
      <c r="CW242" s="3">
        <f t="shared" si="136"/>
        <v>1181777.1124109626</v>
      </c>
      <c r="DF242" s="1" t="s">
        <v>89</v>
      </c>
      <c r="DG242" s="1"/>
      <c r="DH242" s="3" t="s">
        <v>91</v>
      </c>
      <c r="DI242" s="3" t="s">
        <v>87</v>
      </c>
      <c r="DJ242" s="1" t="s">
        <v>666</v>
      </c>
      <c r="DK242" s="4"/>
      <c r="DL242" s="4"/>
      <c r="DP242" s="3" t="s">
        <v>96</v>
      </c>
      <c r="DQ242" s="1" t="s">
        <v>93</v>
      </c>
      <c r="EA242" s="1" t="s">
        <v>89</v>
      </c>
      <c r="EB242" s="1"/>
      <c r="EC242" s="3" t="s">
        <v>91</v>
      </c>
      <c r="ED242" s="3" t="s">
        <v>87</v>
      </c>
      <c r="EE242" s="1" t="s">
        <v>666</v>
      </c>
      <c r="EF242" s="4"/>
      <c r="EG242" s="4"/>
      <c r="EK242" s="3" t="s">
        <v>96</v>
      </c>
      <c r="EL242" s="1" t="s">
        <v>93</v>
      </c>
      <c r="EO242" s="4"/>
      <c r="EP242" s="3" t="s">
        <v>2</v>
      </c>
      <c r="EQ242" s="3" t="s">
        <v>3</v>
      </c>
      <c r="ER242" s="132" t="s">
        <v>585</v>
      </c>
      <c r="EV242" s="1" t="s">
        <v>89</v>
      </c>
      <c r="EW242" s="1"/>
      <c r="EX242" s="3" t="s">
        <v>91</v>
      </c>
      <c r="EY242" s="3" t="s">
        <v>87</v>
      </c>
      <c r="EZ242" s="1" t="s">
        <v>666</v>
      </c>
      <c r="FA242" s="4"/>
      <c r="FB242" s="4"/>
      <c r="FF242" s="3" t="s">
        <v>96</v>
      </c>
      <c r="FG242" s="1" t="s">
        <v>93</v>
      </c>
    </row>
    <row r="243" spans="9:163" ht="18" x14ac:dyDescent="0.25">
      <c r="K243" s="1" t="s">
        <v>89</v>
      </c>
      <c r="L243" s="1"/>
      <c r="M243" s="3" t="s">
        <v>91</v>
      </c>
      <c r="N243" s="3" t="s">
        <v>87</v>
      </c>
      <c r="O243" s="1" t="s">
        <v>666</v>
      </c>
      <c r="P243" s="4"/>
      <c r="Q243" s="4"/>
      <c r="U243" s="3" t="s">
        <v>96</v>
      </c>
      <c r="V243" s="1" t="s">
        <v>93</v>
      </c>
      <c r="CK243" s="17" t="s">
        <v>19</v>
      </c>
      <c r="CL243" s="17">
        <f>COG_needed</f>
        <v>69.582675758133661</v>
      </c>
      <c r="CM243" s="17">
        <f>SUM(CM237:CM242)</f>
        <v>1</v>
      </c>
      <c r="CN243" s="17"/>
      <c r="CO243" s="17">
        <f>SUM(CO237:CO242)</f>
        <v>21405.919913054571</v>
      </c>
      <c r="CP243" s="17" cm="1">
        <f t="array" ref="CP243">SUM(CL237:CL242*CP237:CP242) / CL243</f>
        <v>-265.33787327335835</v>
      </c>
      <c r="CQ243" s="17">
        <f>SUM(CQ237:CQ242)</f>
        <v>2724.7529599999998</v>
      </c>
      <c r="CR243" s="17">
        <f>SUM(CR237:CR242)</f>
        <v>1.0000000000000002</v>
      </c>
      <c r="CS243" s="17"/>
      <c r="CT243" s="17"/>
      <c r="CU243" s="17"/>
      <c r="CV243" s="17">
        <f>SUM(CV237:CV242)</f>
        <v>277.27881249138687</v>
      </c>
      <c r="CW243" s="17">
        <f>SUM(CW237:CW242)</f>
        <v>5935408.0537775028</v>
      </c>
      <c r="CY243" s="4"/>
      <c r="CZ243" s="3" t="s">
        <v>2</v>
      </c>
      <c r="DA243" s="3" t="s">
        <v>3</v>
      </c>
      <c r="DB243" s="132" t="s">
        <v>585</v>
      </c>
      <c r="EO243" s="4"/>
      <c r="EP243" s="1" t="s">
        <v>587</v>
      </c>
      <c r="EQ243" s="1" t="s">
        <v>587</v>
      </c>
      <c r="ER243" s="1" t="s">
        <v>587</v>
      </c>
    </row>
    <row r="244" spans="9:163" ht="18" x14ac:dyDescent="0.25">
      <c r="BK244" s="346" t="s">
        <v>522</v>
      </c>
      <c r="BL244" s="346"/>
      <c r="BM244" s="346"/>
      <c r="BN244" s="346"/>
      <c r="BP244" s="4"/>
      <c r="BQ244" s="1" t="s">
        <v>558</v>
      </c>
      <c r="BR244" s="1" t="s">
        <v>559</v>
      </c>
      <c r="BS244" s="1" t="s">
        <v>561</v>
      </c>
      <c r="BT244" s="1" t="s">
        <v>85</v>
      </c>
      <c r="BU244" s="1" t="s">
        <v>665</v>
      </c>
      <c r="BV244" s="1" t="s">
        <v>6</v>
      </c>
      <c r="BW244" s="1" t="s">
        <v>7</v>
      </c>
      <c r="BX244" s="1" t="s">
        <v>8</v>
      </c>
      <c r="BY244" s="1" t="s">
        <v>9</v>
      </c>
      <c r="BZ244" s="1" t="s">
        <v>49</v>
      </c>
      <c r="CA244" s="1" t="s">
        <v>560</v>
      </c>
      <c r="CB244" s="1" t="s">
        <v>50</v>
      </c>
      <c r="CL244" s="1" t="s">
        <v>89</v>
      </c>
      <c r="CM244" s="1"/>
      <c r="CN244" s="3" t="s">
        <v>91</v>
      </c>
      <c r="CO244" s="3" t="s">
        <v>87</v>
      </c>
      <c r="CP244" s="1" t="s">
        <v>666</v>
      </c>
      <c r="CQ244" s="4"/>
      <c r="CR244" s="4"/>
      <c r="CV244" s="3" t="s">
        <v>96</v>
      </c>
      <c r="CW244" s="1" t="s">
        <v>93</v>
      </c>
      <c r="CY244" s="4"/>
      <c r="CZ244" s="1" t="s">
        <v>587</v>
      </c>
      <c r="DA244" s="1" t="s">
        <v>587</v>
      </c>
      <c r="DB244" s="1" t="s">
        <v>587</v>
      </c>
      <c r="EO244" s="4" t="s">
        <v>60</v>
      </c>
      <c r="EP244" s="3" t="s">
        <v>586</v>
      </c>
      <c r="EQ244" s="3" t="s">
        <v>586</v>
      </c>
      <c r="ER244" s="3" t="s">
        <v>586</v>
      </c>
    </row>
    <row r="245" spans="9:163" ht="18" x14ac:dyDescent="0.25">
      <c r="BK245" s="346"/>
      <c r="BL245" s="346"/>
      <c r="BM245" s="346"/>
      <c r="BN245" s="346"/>
      <c r="BP245" s="4" t="s">
        <v>41</v>
      </c>
      <c r="BQ245" s="1" t="s">
        <v>88</v>
      </c>
      <c r="BR245" s="4" t="s">
        <v>283</v>
      </c>
      <c r="BS245" s="2" t="s">
        <v>90</v>
      </c>
      <c r="BT245" s="2" t="s">
        <v>86</v>
      </c>
      <c r="BU245" s="1" t="s">
        <v>650</v>
      </c>
      <c r="BV245" s="2" t="s">
        <v>95</v>
      </c>
      <c r="BW245" s="2" t="s">
        <v>25</v>
      </c>
      <c r="BX245" s="2" t="s">
        <v>98</v>
      </c>
      <c r="BY245" s="2" t="s">
        <v>95</v>
      </c>
      <c r="BZ245" s="2" t="s">
        <v>95</v>
      </c>
      <c r="CA245" s="2" t="s">
        <v>94</v>
      </c>
      <c r="CB245" s="2" t="s">
        <v>92</v>
      </c>
      <c r="CY245" s="4" t="s">
        <v>60</v>
      </c>
      <c r="CZ245" s="3" t="s">
        <v>586</v>
      </c>
      <c r="DA245" s="3" t="s">
        <v>586</v>
      </c>
      <c r="DB245" s="3" t="s">
        <v>586</v>
      </c>
      <c r="EO245" s="3" t="s">
        <v>18</v>
      </c>
      <c r="EP245" s="83">
        <f>DI238</f>
        <v>1664.4536157940947</v>
      </c>
      <c r="EQ245" s="83">
        <f>EY238+EE157+BT230</f>
        <v>1664.4536157940945</v>
      </c>
      <c r="ER245" s="3">
        <f>EP245-EQ245</f>
        <v>0</v>
      </c>
    </row>
    <row r="246" spans="9:163" ht="18" customHeight="1" x14ac:dyDescent="0.25">
      <c r="BO246" s="366" t="s">
        <v>523</v>
      </c>
      <c r="BP246" s="8" t="s">
        <v>303</v>
      </c>
      <c r="BQ246" s="17">
        <f>O2_in_coke_oven+O2_for_coke_oven_comb</f>
        <v>129.77697536404546</v>
      </c>
      <c r="BR246" s="17">
        <f>BQ246/$BQ$248</f>
        <v>0.23300750051310176</v>
      </c>
      <c r="BS246" s="3">
        <f>MW_O2</f>
        <v>3.1998800000000001E-2</v>
      </c>
      <c r="BT246" s="3">
        <f>BQ246/BS246</f>
        <v>4055.6825682227286</v>
      </c>
      <c r="BU246" s="27">
        <f>h_O2</f>
        <v>0</v>
      </c>
      <c r="BV246" s="3">
        <f>b_ch_O2</f>
        <v>4</v>
      </c>
      <c r="BW246" s="3">
        <f>BT246/BT248</f>
        <v>0.21008403361344535</v>
      </c>
      <c r="BX246" s="1">
        <f>LN(BW246)</f>
        <v>-1.5602476682433288</v>
      </c>
      <c r="BY246" s="1">
        <f>RT0*BX246</f>
        <v>-3.5432742429276507</v>
      </c>
      <c r="BZ246" s="1">
        <f>BV246+BY246</f>
        <v>0.4567257570723493</v>
      </c>
      <c r="CA246" s="1">
        <f>BZ246*BW246</f>
        <v>9.5950789300913705E-2</v>
      </c>
      <c r="CB246" s="1">
        <f>BT248*CA246</f>
        <v>1852.3346914166557</v>
      </c>
      <c r="CP246" s="3">
        <f>((CL237*CP237)+(CL238*CP238)+(CL239*CP239)+(CL240*CP240)+(CL241*CP241)+(CL242*CP242))/CL243</f>
        <v>-265.33787327335835</v>
      </c>
      <c r="CY246" s="3" t="s">
        <v>18</v>
      </c>
      <c r="CZ246" s="83">
        <f>(2*CO238)+CO239+CO240+CO242</f>
        <v>1664.4536157940947</v>
      </c>
      <c r="DA246" s="83">
        <f>DI238</f>
        <v>1664.4536157940947</v>
      </c>
      <c r="DB246" s="3">
        <f>CZ246-DA246</f>
        <v>0</v>
      </c>
      <c r="EO246" s="3" t="s">
        <v>182</v>
      </c>
      <c r="EP246" s="83">
        <f>(2*DI237)+(4*DI238)</f>
        <v>45411.454369105508</v>
      </c>
      <c r="EQ246" s="83">
        <f>(2*EY237)+(4*EY238)+(2*EE156)+(4*EE157)+(2*BT229)+(4*BT230)</f>
        <v>45411.454369105501</v>
      </c>
      <c r="ER246" s="3">
        <f t="shared" ref="ER246:ER248" si="149">EP246-EQ246</f>
        <v>0</v>
      </c>
    </row>
    <row r="247" spans="9:163" ht="19" thickBot="1" x14ac:dyDescent="0.3">
      <c r="BO247" s="366"/>
      <c r="BP247" s="60" t="s">
        <v>67</v>
      </c>
      <c r="BQ247" s="3">
        <f>N2_in_coke_oven+N2_for_coke_oven_comb</f>
        <v>427.18782224232274</v>
      </c>
      <c r="BR247" s="3">
        <f>BQ247/$BQ$248</f>
        <v>0.76699249948689829</v>
      </c>
      <c r="BS247" s="28">
        <f>MW_N2</f>
        <v>2.801348E-2</v>
      </c>
      <c r="BT247" s="28">
        <f>BQ247/BS247</f>
        <v>15249.36645651746</v>
      </c>
      <c r="BU247" s="6">
        <f>h_N2</f>
        <v>0</v>
      </c>
      <c r="BV247" s="28">
        <f>b_ch_N2</f>
        <v>0.7</v>
      </c>
      <c r="BW247" s="28">
        <f>BT247/BT248</f>
        <v>0.78991596638655459</v>
      </c>
      <c r="BX247" s="2">
        <f>LN(BW247)</f>
        <v>-0.23582871084152554</v>
      </c>
      <c r="BY247" s="2">
        <f>RT0*BX247</f>
        <v>-0.53555971521393941</v>
      </c>
      <c r="BZ247" s="2">
        <f>BV247+BY247</f>
        <v>0.16444028478606054</v>
      </c>
      <c r="CA247" s="2">
        <f>BZ247*BW247</f>
        <v>0.12989400646966126</v>
      </c>
      <c r="CB247" s="2">
        <f>BT248*CA247</f>
        <v>2507.6101629167301</v>
      </c>
      <c r="CY247" s="3" t="s">
        <v>182</v>
      </c>
      <c r="CZ247" s="83">
        <f>(2*CO237)+(4*CO238)+(4*CO242)</f>
        <v>45411.454369105508</v>
      </c>
      <c r="DA247" s="83">
        <f>(4*DI238)+(2*DI237)</f>
        <v>45411.454369105508</v>
      </c>
      <c r="DB247" s="3">
        <f t="shared" ref="DB247:DB249" si="150">CZ247-DA247</f>
        <v>0</v>
      </c>
      <c r="EO247" s="3" t="s">
        <v>29</v>
      </c>
      <c r="EP247" s="83">
        <f>2*DI239</f>
        <v>156.0578035820115</v>
      </c>
      <c r="EQ247" s="83">
        <f>(2*EY239)+(2*EE158)+(2*BT231)</f>
        <v>156.0578035820115</v>
      </c>
      <c r="ER247" s="3">
        <f t="shared" si="149"/>
        <v>0</v>
      </c>
    </row>
    <row r="248" spans="9:163" ht="16" x14ac:dyDescent="0.2">
      <c r="BP248" s="3" t="s">
        <v>19</v>
      </c>
      <c r="BQ248" s="17">
        <f>SUM(BQ246:BQ247)</f>
        <v>556.96479760636817</v>
      </c>
      <c r="BR248" s="17">
        <f>SUM(BR246:BR247)</f>
        <v>1</v>
      </c>
      <c r="BS248" s="3">
        <f>SUM(BS246:BS247)</f>
        <v>6.0012280000000001E-2</v>
      </c>
      <c r="BT248" s="3">
        <f>SUM(BT246:BT247)</f>
        <v>19305.04902474019</v>
      </c>
      <c r="BU248" s="27">
        <f>SUM(BU246:BU247)</f>
        <v>0</v>
      </c>
      <c r="CA248" s="3">
        <f>SUM(CA246:CA247)</f>
        <v>0.22584479577057498</v>
      </c>
      <c r="CB248" s="3">
        <f>SUM(CB246:CB247)</f>
        <v>4359.9448543333856</v>
      </c>
      <c r="CV248" s="63" t="s">
        <v>1</v>
      </c>
      <c r="CW248" s="58" t="s">
        <v>0</v>
      </c>
      <c r="CY248" s="3" t="s">
        <v>29</v>
      </c>
      <c r="CZ248" s="83">
        <f>CO239+(2*CO240)</f>
        <v>156.0578035820115</v>
      </c>
      <c r="DA248" s="83">
        <f>(2*DI239)</f>
        <v>156.0578035820115</v>
      </c>
      <c r="DB248" s="3">
        <f t="shared" si="150"/>
        <v>0</v>
      </c>
      <c r="EO248" s="3" t="s">
        <v>363</v>
      </c>
      <c r="EP248" s="83">
        <f>2*DI240</f>
        <v>94.388190214463862</v>
      </c>
      <c r="EQ248" s="83">
        <f>(2*EY240)+(2*BT232)+(2*EE159)</f>
        <v>94.388190214463862</v>
      </c>
      <c r="ER248" s="3">
        <f t="shared" si="149"/>
        <v>0</v>
      </c>
    </row>
    <row r="249" spans="9:163" ht="18" x14ac:dyDescent="0.25">
      <c r="BQ249" s="1" t="s">
        <v>89</v>
      </c>
      <c r="BR249" s="1"/>
      <c r="BS249" s="3" t="s">
        <v>91</v>
      </c>
      <c r="BT249" s="3" t="s">
        <v>87</v>
      </c>
      <c r="BU249" s="1" t="s">
        <v>666</v>
      </c>
      <c r="BV249" s="4"/>
      <c r="BW249" s="4"/>
      <c r="CA249" s="3" t="s">
        <v>96</v>
      </c>
      <c r="CB249" s="1" t="s">
        <v>93</v>
      </c>
      <c r="CV249" s="65" t="s">
        <v>89</v>
      </c>
      <c r="CW249" s="64" t="s">
        <v>93</v>
      </c>
      <c r="CY249" s="3" t="s">
        <v>363</v>
      </c>
      <c r="CZ249" s="83">
        <f>(2*CO241)</f>
        <v>94.388190214463862</v>
      </c>
      <c r="DA249" s="83">
        <f>2*DI240</f>
        <v>94.388190214463862</v>
      </c>
      <c r="DB249" s="3">
        <f t="shared" si="150"/>
        <v>0</v>
      </c>
    </row>
    <row r="250" spans="9:163" ht="16" thickBot="1" x14ac:dyDescent="0.25">
      <c r="CR250" s="3" t="s">
        <v>531</v>
      </c>
      <c r="CV250" s="50">
        <f>CL257</f>
        <v>584.3657277440451</v>
      </c>
      <c r="CW250" s="48">
        <f>CW257</f>
        <v>50611.612737094903</v>
      </c>
    </row>
    <row r="251" spans="9:163" ht="16" thickBot="1" x14ac:dyDescent="0.25">
      <c r="U251" s="16" t="s">
        <v>242</v>
      </c>
      <c r="V251" s="3" t="s">
        <v>192</v>
      </c>
      <c r="W251" s="3" t="s">
        <v>241</v>
      </c>
      <c r="X251" s="3" t="s">
        <v>243</v>
      </c>
    </row>
    <row r="252" spans="9:163" ht="18" x14ac:dyDescent="0.25">
      <c r="CA252" s="63" t="s">
        <v>1</v>
      </c>
      <c r="CB252" s="58" t="s">
        <v>0</v>
      </c>
      <c r="CK252" s="4"/>
      <c r="CL252" s="1" t="s">
        <v>558</v>
      </c>
      <c r="CM252" s="1" t="s">
        <v>559</v>
      </c>
      <c r="CN252" s="1" t="s">
        <v>561</v>
      </c>
      <c r="CO252" s="1" t="s">
        <v>85</v>
      </c>
      <c r="CP252" s="1" t="s">
        <v>665</v>
      </c>
      <c r="CQ252" s="1" t="s">
        <v>6</v>
      </c>
      <c r="CR252" s="1" t="s">
        <v>7</v>
      </c>
      <c r="CS252" s="1" t="s">
        <v>8</v>
      </c>
      <c r="CT252" s="1" t="s">
        <v>9</v>
      </c>
      <c r="CU252" s="1" t="s">
        <v>49</v>
      </c>
      <c r="CV252" s="1" t="s">
        <v>560</v>
      </c>
      <c r="CW252" s="1" t="s">
        <v>50</v>
      </c>
    </row>
    <row r="253" spans="9:163" ht="14" customHeight="1" x14ac:dyDescent="0.25">
      <c r="CA253" s="65" t="s">
        <v>89</v>
      </c>
      <c r="CB253" s="64" t="s">
        <v>93</v>
      </c>
      <c r="CK253" s="4" t="s">
        <v>41</v>
      </c>
      <c r="CL253" s="1" t="s">
        <v>88</v>
      </c>
      <c r="CM253" s="4" t="s">
        <v>283</v>
      </c>
      <c r="CN253" s="2" t="s">
        <v>90</v>
      </c>
      <c r="CO253" s="2" t="s">
        <v>86</v>
      </c>
      <c r="CP253" s="1" t="s">
        <v>650</v>
      </c>
      <c r="CQ253" s="2" t="s">
        <v>95</v>
      </c>
      <c r="CR253" s="2" t="s">
        <v>25</v>
      </c>
      <c r="CS253" s="2" t="s">
        <v>98</v>
      </c>
      <c r="CT253" s="2" t="s">
        <v>95</v>
      </c>
      <c r="CU253" s="2" t="s">
        <v>95</v>
      </c>
      <c r="CV253" s="2" t="s">
        <v>94</v>
      </c>
      <c r="CW253" s="2" t="s">
        <v>92</v>
      </c>
    </row>
    <row r="254" spans="9:163" ht="26" customHeight="1" thickBot="1" x14ac:dyDescent="0.3">
      <c r="BW254" s="3" t="s">
        <v>477</v>
      </c>
      <c r="CA254" s="50">
        <f>BR259</f>
        <v>16.963528773956838</v>
      </c>
      <c r="CB254" s="48">
        <f>CB259</f>
        <v>879540.87913658854</v>
      </c>
      <c r="CJ254" s="348" t="s">
        <v>531</v>
      </c>
      <c r="CK254" s="17" t="s">
        <v>68</v>
      </c>
      <c r="CL254" s="17">
        <f>H2O_out_coke_oven+H2O_from_coke_oven_comb</f>
        <v>99.456026706898456</v>
      </c>
      <c r="CM254" s="17">
        <f>CL254/CL257</f>
        <v>0.17019483173808006</v>
      </c>
      <c r="CN254" s="17">
        <f>MW_H2O</f>
        <v>1.8015280000000002E-2</v>
      </c>
      <c r="CO254" s="17">
        <f>CL254/CN254</f>
        <v>5520.6483999637221</v>
      </c>
      <c r="CP254" s="17">
        <f>h_H2O</f>
        <v>-13421.939597941302</v>
      </c>
      <c r="CQ254" s="17">
        <f>b_ch_H2O</f>
        <v>9.5113440000000082</v>
      </c>
      <c r="CR254" s="17">
        <f>CO254/$CO$257</f>
        <v>0.24998230547780298</v>
      </c>
      <c r="CS254" s="17">
        <f>LN(CR254)</f>
        <v>-1.3863651417135658</v>
      </c>
      <c r="CT254" s="17">
        <f>RT0*CS254</f>
        <v>-3.148392398148629</v>
      </c>
      <c r="CU254" s="17">
        <f>CT254+CQ254</f>
        <v>6.3629516018513792</v>
      </c>
      <c r="CV254" s="17">
        <f>CR254*CU254</f>
        <v>1.5906253110744872</v>
      </c>
      <c r="CW254" s="17">
        <f>CV254*$CO$257</f>
        <v>35127.618579807415</v>
      </c>
    </row>
    <row r="255" spans="9:163" ht="18" x14ac:dyDescent="0.25">
      <c r="BL255" s="3" t="s">
        <v>463</v>
      </c>
      <c r="BO255" s="4"/>
      <c r="CJ255" s="348"/>
      <c r="CK255" s="249" t="s">
        <v>64</v>
      </c>
      <c r="CL255" s="3">
        <f>CO2_out_coke_oven+CO2_from_coke_oven_comb</f>
        <v>57.523568168913222</v>
      </c>
      <c r="CM255" s="3">
        <f>CL255/CL257</f>
        <v>9.8437614387455685E-2</v>
      </c>
      <c r="CN255" s="3">
        <f>MW_CO2</f>
        <v>4.4009800000000002E-2</v>
      </c>
      <c r="CO255" s="3">
        <f>CL255/CN255</f>
        <v>1307.0627035095188</v>
      </c>
      <c r="CP255" s="3">
        <f>h_CO2</f>
        <v>-8941.1903712354979</v>
      </c>
      <c r="CQ255" s="3">
        <f>b_ch_CO2</f>
        <v>19.900000000000034</v>
      </c>
      <c r="CR255" s="3">
        <f>CO255/$CO$257</f>
        <v>5.918553842869375E-2</v>
      </c>
      <c r="CS255" s="3">
        <f>LN(CR255)</f>
        <v>-2.8270780502332942</v>
      </c>
      <c r="CT255" s="3">
        <f>RT0*CS255</f>
        <v>-6.4202068953680582</v>
      </c>
      <c r="CU255" s="3">
        <f>CT255+CQ255</f>
        <v>13.479793104631977</v>
      </c>
      <c r="CV255" s="3">
        <f>CR255*CU255</f>
        <v>0.7978088128050369</v>
      </c>
      <c r="CW255" s="3">
        <f t="shared" ref="CW255:CW256" si="151">CV255*$CO$257</f>
        <v>17618.934818089241</v>
      </c>
    </row>
    <row r="256" spans="9:163" ht="18" x14ac:dyDescent="0.25">
      <c r="BI256" s="346" t="s">
        <v>476</v>
      </c>
      <c r="BJ256" s="346"/>
      <c r="BK256" s="346"/>
      <c r="BL256" s="346"/>
      <c r="BM256" s="346"/>
      <c r="BN256" s="346"/>
      <c r="BO256" s="346"/>
      <c r="BP256" s="1"/>
      <c r="BQ256" s="3" t="s">
        <v>564</v>
      </c>
      <c r="BR256" s="1" t="s">
        <v>558</v>
      </c>
      <c r="BS256" s="3" t="s">
        <v>5</v>
      </c>
      <c r="BT256" s="1" t="s">
        <v>85</v>
      </c>
      <c r="BU256" s="1" t="s">
        <v>665</v>
      </c>
      <c r="BV256" s="1" t="s">
        <v>6</v>
      </c>
      <c r="BW256" s="1" t="s">
        <v>7</v>
      </c>
      <c r="BX256" s="1" t="s">
        <v>8</v>
      </c>
      <c r="BY256" s="1" t="s">
        <v>9</v>
      </c>
      <c r="BZ256" s="1" t="s">
        <v>49</v>
      </c>
      <c r="CA256" s="1" t="s">
        <v>560</v>
      </c>
      <c r="CB256" s="1" t="s">
        <v>50</v>
      </c>
      <c r="CJ256" s="348"/>
      <c r="CK256" s="7" t="s">
        <v>67</v>
      </c>
      <c r="CL256" s="3">
        <f>CO256*CN256</f>
        <v>427.38613286823346</v>
      </c>
      <c r="CM256" s="3">
        <f>CL256/CL257</f>
        <v>0.73136755387446428</v>
      </c>
      <c r="CN256" s="3">
        <f>MW_N2</f>
        <v>2.801348E-2</v>
      </c>
      <c r="CO256" s="3">
        <f>CE221/2 -CO241</f>
        <v>15256.445570783546</v>
      </c>
      <c r="CP256" s="3">
        <f>h_N2</f>
        <v>0</v>
      </c>
      <c r="CQ256" s="3">
        <f>b_ch_N2</f>
        <v>0.7</v>
      </c>
      <c r="CR256" s="3">
        <f>CO256/$CO$257</f>
        <v>0.69083215609350324</v>
      </c>
      <c r="CS256" s="3">
        <f>LN(CR256)</f>
        <v>-0.36985838472885435</v>
      </c>
      <c r="CT256" s="3">
        <f>RT0*CS256</f>
        <v>-0.8399369630951401</v>
      </c>
      <c r="CU256" s="3">
        <f>CT256+CQ256</f>
        <v>-0.13993696309514014</v>
      </c>
      <c r="CV256" s="3">
        <f>CR256*CU256</f>
        <v>-9.6672953932192662E-2</v>
      </c>
      <c r="CW256" s="3">
        <f t="shared" si="151"/>
        <v>-2134.9406608017516</v>
      </c>
    </row>
    <row r="257" spans="52:101" ht="18" x14ac:dyDescent="0.25">
      <c r="AZ257" s="16"/>
      <c r="BI257" s="347"/>
      <c r="BJ257" s="347"/>
      <c r="BK257" s="347"/>
      <c r="BL257" s="347"/>
      <c r="BM257" s="347"/>
      <c r="BN257" s="347"/>
      <c r="BO257" s="347"/>
      <c r="BP257" s="1"/>
      <c r="BQ257" s="3" t="s">
        <v>563</v>
      </c>
      <c r="BR257" s="1" t="s">
        <v>88</v>
      </c>
      <c r="BS257" s="1" t="s">
        <v>90</v>
      </c>
      <c r="BT257" s="2" t="s">
        <v>86</v>
      </c>
      <c r="BU257" s="1" t="s">
        <v>650</v>
      </c>
      <c r="BV257" s="2" t="s">
        <v>95</v>
      </c>
      <c r="BW257" s="2" t="s">
        <v>25</v>
      </c>
      <c r="BX257" s="1" t="s">
        <v>98</v>
      </c>
      <c r="BY257" s="2" t="s">
        <v>95</v>
      </c>
      <c r="BZ257" s="2" t="s">
        <v>95</v>
      </c>
      <c r="CA257" s="2" t="s">
        <v>94</v>
      </c>
      <c r="CB257" s="1" t="s">
        <v>92</v>
      </c>
      <c r="CK257" s="17" t="s">
        <v>19</v>
      </c>
      <c r="CL257" s="17">
        <f>SUM(CL254:CL256)</f>
        <v>584.3657277440451</v>
      </c>
      <c r="CM257" s="17">
        <f>SUM(CM254:CM256)</f>
        <v>1</v>
      </c>
      <c r="CN257" s="17">
        <f>SUM(CN254:CN256)</f>
        <v>9.0038560000000004E-2</v>
      </c>
      <c r="CO257" s="17">
        <f>SUM(CO254:CO256)</f>
        <v>22084.156674256788</v>
      </c>
      <c r="CP257" s="17" cm="1">
        <f t="array" ref="CP257">SUM(CL254:CL256*CP254:CP256) / CL257</f>
        <v>-3164.4942013988057</v>
      </c>
      <c r="CQ257" s="17">
        <f>SUM(CQ253:CQ256)</f>
        <v>30.111344000000042</v>
      </c>
      <c r="CR257" s="17"/>
      <c r="CS257" s="17"/>
      <c r="CT257" s="17"/>
      <c r="CU257" s="17"/>
      <c r="CV257" s="17">
        <f>SUM(CV254:CV256)</f>
        <v>2.2917611699473315</v>
      </c>
      <c r="CW257" s="17">
        <f>SUM(CW254:CW256)</f>
        <v>50611.612737094903</v>
      </c>
    </row>
    <row r="258" spans="52:101" ht="18" x14ac:dyDescent="0.25">
      <c r="BI258" s="61" t="s">
        <v>264</v>
      </c>
      <c r="BJ258" s="13" t="s">
        <v>235</v>
      </c>
      <c r="BK258" s="13" t="s">
        <v>235</v>
      </c>
      <c r="BL258" s="13" t="s">
        <v>235</v>
      </c>
      <c r="BM258" s="34" t="s">
        <v>235</v>
      </c>
      <c r="BN258" s="105" t="s">
        <v>322</v>
      </c>
      <c r="BO258" s="13" t="s">
        <v>316</v>
      </c>
      <c r="BP258" s="95" t="s">
        <v>65</v>
      </c>
      <c r="BQ258" s="95">
        <f>2956.513*CA206</f>
        <v>848176.43869784183</v>
      </c>
      <c r="BR258" s="42">
        <f>BQ258/LHV_CH4</f>
        <v>16.963528773956838</v>
      </c>
      <c r="BS258" s="33" cm="1">
        <f t="array" ref="BS258">MW_CH4</f>
        <v>1.604276E-2</v>
      </c>
      <c r="BT258" s="33">
        <f>BR258/BS258</f>
        <v>1057.3946611404047</v>
      </c>
      <c r="BU258" s="33">
        <f>h_CH4</f>
        <v>1.604276E-2</v>
      </c>
      <c r="BV258" s="42">
        <f>b_ch_CH4</f>
        <v>831.8</v>
      </c>
      <c r="BW258" s="33">
        <f>BT258/BT258</f>
        <v>1</v>
      </c>
      <c r="BX258" s="42">
        <f>LN(BW258)</f>
        <v>0</v>
      </c>
      <c r="BY258" s="42">
        <f>RT0*BX258</f>
        <v>0</v>
      </c>
      <c r="BZ258" s="42">
        <f>BV258+BY258</f>
        <v>831.8</v>
      </c>
      <c r="CA258" s="42">
        <f>BZ258*BW258</f>
        <v>831.8</v>
      </c>
      <c r="CB258" s="42">
        <f>BT258*CA258</f>
        <v>879540.87913658854</v>
      </c>
      <c r="CL258" s="1" t="s">
        <v>89</v>
      </c>
      <c r="CM258" s="1"/>
      <c r="CN258" s="3" t="s">
        <v>91</v>
      </c>
      <c r="CO258" s="3" t="s">
        <v>87</v>
      </c>
      <c r="CP258" s="1" t="s">
        <v>666</v>
      </c>
      <c r="CQ258" s="4"/>
      <c r="CR258" s="4"/>
      <c r="CV258" s="3" t="s">
        <v>96</v>
      </c>
      <c r="CW258" s="1" t="s">
        <v>93</v>
      </c>
    </row>
    <row r="259" spans="52:101" ht="16" x14ac:dyDescent="0.2">
      <c r="BI259" s="61" t="s">
        <v>98</v>
      </c>
      <c r="BJ259" s="13" t="s">
        <v>460</v>
      </c>
      <c r="BK259" s="13" t="s">
        <v>461</v>
      </c>
      <c r="BL259" s="13" t="s">
        <v>462</v>
      </c>
      <c r="BM259" s="34" t="s">
        <v>48</v>
      </c>
      <c r="BN259" s="34" t="s">
        <v>98</v>
      </c>
      <c r="BO259" s="13" t="s">
        <v>48</v>
      </c>
      <c r="BP259" s="1" t="s">
        <v>19</v>
      </c>
      <c r="BQ259" s="1">
        <f>BQ258</f>
        <v>848176.43869784183</v>
      </c>
      <c r="BR259" s="1">
        <f>BR258</f>
        <v>16.963528773956838</v>
      </c>
      <c r="BS259" s="6">
        <f>BS258</f>
        <v>1.604276E-2</v>
      </c>
      <c r="BT259" s="6">
        <f>BT258</f>
        <v>1057.3946611404047</v>
      </c>
      <c r="BU259" s="6">
        <f>BU258</f>
        <v>1.604276E-2</v>
      </c>
      <c r="BV259" s="1"/>
      <c r="BW259" s="6"/>
      <c r="BX259" s="1"/>
      <c r="BY259" s="1"/>
      <c r="BZ259" s="1"/>
      <c r="CA259" s="1">
        <f>CA258</f>
        <v>831.8</v>
      </c>
      <c r="CB259" s="1">
        <f>BT259*CA259</f>
        <v>879540.87913658854</v>
      </c>
    </row>
    <row r="260" spans="52:101" ht="18" x14ac:dyDescent="0.25">
      <c r="BI260" s="61" t="s">
        <v>435</v>
      </c>
      <c r="BJ260" s="13">
        <v>2.956513E-3</v>
      </c>
      <c r="BK260" s="61">
        <f>BJ260*1000000000</f>
        <v>2956513</v>
      </c>
      <c r="BL260" s="61">
        <f>BK260/1000</f>
        <v>2956.5129999999999</v>
      </c>
      <c r="BM260" s="61">
        <f>BL260*CA206</f>
        <v>848176.43869784183</v>
      </c>
      <c r="BN260" s="13">
        <v>1.04</v>
      </c>
      <c r="BO260" s="13">
        <f>BM260*BN260</f>
        <v>882103.49624575558</v>
      </c>
      <c r="BP260" s="1"/>
      <c r="BQ260" s="3" t="s">
        <v>48</v>
      </c>
      <c r="BR260" s="1" t="s">
        <v>89</v>
      </c>
      <c r="BS260" s="3" t="s">
        <v>91</v>
      </c>
      <c r="BT260" s="3" t="s">
        <v>87</v>
      </c>
      <c r="BU260" s="1" t="s">
        <v>666</v>
      </c>
      <c r="BV260" s="4"/>
      <c r="BW260" s="4"/>
      <c r="CA260" s="3" t="s">
        <v>96</v>
      </c>
      <c r="CB260" s="1" t="s">
        <v>93</v>
      </c>
    </row>
  </sheetData>
  <mergeCells count="103">
    <mergeCell ref="Z44:Z45"/>
    <mergeCell ref="AT128:AT129"/>
    <mergeCell ref="Z128:Z129"/>
    <mergeCell ref="DY237:DY240"/>
    <mergeCell ref="EP114:EU114"/>
    <mergeCell ref="DT116:DY117"/>
    <mergeCell ref="DT103:DY104"/>
    <mergeCell ref="CY233:DC234"/>
    <mergeCell ref="DB235:DB236"/>
    <mergeCell ref="EN126:ET128"/>
    <mergeCell ref="DS233:DW234"/>
    <mergeCell ref="DV235:DV236"/>
    <mergeCell ref="BL44:BL45"/>
    <mergeCell ref="AO25:AU25"/>
    <mergeCell ref="BH25:BN25"/>
    <mergeCell ref="BI42:BM43"/>
    <mergeCell ref="AP42:AT43"/>
    <mergeCell ref="BN46:BN47"/>
    <mergeCell ref="BN59:BN62"/>
    <mergeCell ref="AO110:AU110"/>
    <mergeCell ref="AU46:AU47"/>
    <mergeCell ref="AU48:AU51"/>
    <mergeCell ref="AB46:AB47"/>
    <mergeCell ref="AB48:AB51"/>
    <mergeCell ref="P25:P26"/>
    <mergeCell ref="W42:AA43"/>
    <mergeCell ref="P23:Q24"/>
    <mergeCell ref="CJ221:CJ226"/>
    <mergeCell ref="BG110:BM110"/>
    <mergeCell ref="BJ126:BN127"/>
    <mergeCell ref="W126:AA127"/>
    <mergeCell ref="BM128:BM129"/>
    <mergeCell ref="CF128:CF129"/>
    <mergeCell ref="AA208:AA209"/>
    <mergeCell ref="W206:AB207"/>
    <mergeCell ref="AT208:AT209"/>
    <mergeCell ref="AO187:AU187"/>
    <mergeCell ref="CD206:CH207"/>
    <mergeCell ref="CG208:CG209"/>
    <mergeCell ref="P113:P114"/>
    <mergeCell ref="W182:AC182"/>
    <mergeCell ref="AS44:AS45"/>
    <mergeCell ref="AB67:AB70"/>
    <mergeCell ref="CC126:CG127"/>
    <mergeCell ref="AQ126:AU127"/>
    <mergeCell ref="P111:Q112"/>
    <mergeCell ref="E42:H43"/>
    <mergeCell ref="E208:H209"/>
    <mergeCell ref="E165:H166"/>
    <mergeCell ref="B153:H154"/>
    <mergeCell ref="B137:H138"/>
    <mergeCell ref="B61:H62"/>
    <mergeCell ref="E74:H75"/>
    <mergeCell ref="W195:X195"/>
    <mergeCell ref="I167:I168"/>
    <mergeCell ref="I46:I47"/>
    <mergeCell ref="I48:I51"/>
    <mergeCell ref="I76:I77"/>
    <mergeCell ref="E238:H239"/>
    <mergeCell ref="B222:H223"/>
    <mergeCell ref="P206:R206"/>
    <mergeCell ref="BK244:BN245"/>
    <mergeCell ref="E126:H127"/>
    <mergeCell ref="P191:P192"/>
    <mergeCell ref="AC146:AC149"/>
    <mergeCell ref="BG187:BM187"/>
    <mergeCell ref="AQ206:AU207"/>
    <mergeCell ref="W216:W221"/>
    <mergeCell ref="AC211:AC216"/>
    <mergeCell ref="AV211:AV216"/>
    <mergeCell ref="P189:Q190"/>
    <mergeCell ref="I130:I131"/>
    <mergeCell ref="AC130:AC131"/>
    <mergeCell ref="AV130:AV131"/>
    <mergeCell ref="I211:I216"/>
    <mergeCell ref="I240:I241"/>
    <mergeCell ref="AC231:AC234"/>
    <mergeCell ref="BJ206:BN207"/>
    <mergeCell ref="BM208:BM209"/>
    <mergeCell ref="FN126:FT128"/>
    <mergeCell ref="BK154:BN155"/>
    <mergeCell ref="BK142:BN143"/>
    <mergeCell ref="BI256:BO257"/>
    <mergeCell ref="BO144:BO145"/>
    <mergeCell ref="ER129:ER130"/>
    <mergeCell ref="EZ145:EZ147"/>
    <mergeCell ref="CJ142:CJ145"/>
    <mergeCell ref="DD237:DD240"/>
    <mergeCell ref="DZ156:DZ159"/>
    <mergeCell ref="DV142:DY143"/>
    <mergeCell ref="ET237:ET240"/>
    <mergeCell ref="FI233:FM235"/>
    <mergeCell ref="CJ254:CJ256"/>
    <mergeCell ref="CY226:DD226"/>
    <mergeCell ref="CJ237:CJ242"/>
    <mergeCell ref="BO130:BO131"/>
    <mergeCell ref="BO246:BO247"/>
    <mergeCell ref="BO229:BO232"/>
    <mergeCell ref="BO211:BO216"/>
    <mergeCell ref="DZ144:DZ145"/>
    <mergeCell ref="DZ130:DZ133"/>
    <mergeCell ref="DS126:DY128"/>
    <mergeCell ref="DW129:DW130"/>
  </mergeCells>
  <conditionalFormatting sqref="Y46 EM241:ES241 EM242:EN242 ES242:ES244 EA243:EN244">
    <cfRule type="cellIs" dxfId="34" priority="24" operator="notEqual">
      <formula>0</formula>
    </cfRule>
  </conditionalFormatting>
  <conditionalFormatting sqref="Y130">
    <cfRule type="cellIs" dxfId="33" priority="25" operator="notEqual">
      <formula>0</formula>
    </cfRule>
  </conditionalFormatting>
  <conditionalFormatting sqref="Z210">
    <cfRule type="cellIs" dxfId="32" priority="23" operator="notEqual">
      <formula>0</formula>
    </cfRule>
  </conditionalFormatting>
  <conditionalFormatting sqref="AA55:AA64">
    <cfRule type="cellIs" dxfId="31" priority="6" operator="notEqual">
      <formula>0</formula>
    </cfRule>
  </conditionalFormatting>
  <conditionalFormatting sqref="AA138:AA143">
    <cfRule type="cellIs" dxfId="30" priority="7" operator="notEqual">
      <formula>0</formula>
    </cfRule>
  </conditionalFormatting>
  <conditionalFormatting sqref="AA233:AA242">
    <cfRule type="cellIs" dxfId="29" priority="11" operator="notEqual">
      <formula>0</formula>
    </cfRule>
  </conditionalFormatting>
  <conditionalFormatting sqref="AR46">
    <cfRule type="cellIs" dxfId="28" priority="34" operator="notEqual">
      <formula>0</formula>
    </cfRule>
  </conditionalFormatting>
  <conditionalFormatting sqref="AS130">
    <cfRule type="cellIs" dxfId="27" priority="32" operator="notEqual">
      <formula>0</formula>
    </cfRule>
  </conditionalFormatting>
  <conditionalFormatting sqref="AS210">
    <cfRule type="cellIs" dxfId="26" priority="29" operator="notEqual">
      <formula>0</formula>
    </cfRule>
  </conditionalFormatting>
  <conditionalFormatting sqref="AT55:AT64">
    <cfRule type="cellIs" dxfId="25" priority="5" operator="notEqual">
      <formula>0</formula>
    </cfRule>
  </conditionalFormatting>
  <conditionalFormatting sqref="AT137:AT140">
    <cfRule type="cellIs" dxfId="24" priority="8" operator="notEqual">
      <formula>0</formula>
    </cfRule>
  </conditionalFormatting>
  <conditionalFormatting sqref="AT218:AT227">
    <cfRule type="cellIs" dxfId="23" priority="12" operator="notEqual">
      <formula>0</formula>
    </cfRule>
  </conditionalFormatting>
  <conditionalFormatting sqref="AW210">
    <cfRule type="expression" dxfId="22" priority="21">
      <formula>ifdigit(subscript)</formula>
    </cfRule>
  </conditionalFormatting>
  <conditionalFormatting sqref="BK46">
    <cfRule type="cellIs" dxfId="21" priority="33" operator="notEqual">
      <formula>0</formula>
    </cfRule>
  </conditionalFormatting>
  <conditionalFormatting sqref="BL55:BL61">
    <cfRule type="cellIs" dxfId="20" priority="4" operator="notEqual">
      <formula>0</formula>
    </cfRule>
  </conditionalFormatting>
  <conditionalFormatting sqref="BL130">
    <cfRule type="cellIs" dxfId="19" priority="31" operator="notEqual">
      <formula>0</formula>
    </cfRule>
  </conditionalFormatting>
  <conditionalFormatting sqref="BL210">
    <cfRule type="cellIs" dxfId="18" priority="17" operator="notEqual">
      <formula>0</formula>
    </cfRule>
  </conditionalFormatting>
  <conditionalFormatting sqref="BM137:BM140">
    <cfRule type="cellIs" dxfId="17" priority="9" operator="notEqual">
      <formula>0</formula>
    </cfRule>
  </conditionalFormatting>
  <conditionalFormatting sqref="BM218:BM227">
    <cfRule type="cellIs" dxfId="16" priority="13" operator="notEqual">
      <formula>0</formula>
    </cfRule>
  </conditionalFormatting>
  <conditionalFormatting sqref="BP210">
    <cfRule type="expression" dxfId="15" priority="16">
      <formula>ifdigit(subscript)</formula>
    </cfRule>
  </conditionalFormatting>
  <conditionalFormatting sqref="CE130">
    <cfRule type="cellIs" dxfId="14" priority="28" operator="notEqual">
      <formula>0</formula>
    </cfRule>
  </conditionalFormatting>
  <conditionalFormatting sqref="CF210">
    <cfRule type="cellIs" dxfId="13" priority="30" operator="notEqual">
      <formula>0</formula>
    </cfRule>
  </conditionalFormatting>
  <conditionalFormatting sqref="CG139:CG144">
    <cfRule type="cellIs" dxfId="12" priority="10" operator="notEqual">
      <formula>0</formula>
    </cfRule>
  </conditionalFormatting>
  <conditionalFormatting sqref="CG58:CH58">
    <cfRule type="cellIs" dxfId="11" priority="42" operator="notEqual">
      <formula>0</formula>
    </cfRule>
  </conditionalFormatting>
  <conditionalFormatting sqref="CG218:CI227">
    <cfRule type="cellIs" dxfId="10" priority="14" operator="notEqual">
      <formula>0</formula>
    </cfRule>
  </conditionalFormatting>
  <conditionalFormatting sqref="DA237">
    <cfRule type="cellIs" dxfId="9" priority="15" operator="notEqual">
      <formula>0</formula>
    </cfRule>
  </conditionalFormatting>
  <conditionalFormatting sqref="DB246:DB249">
    <cfRule type="cellIs" dxfId="8" priority="18" operator="notEqual">
      <formula>0</formula>
    </cfRule>
  </conditionalFormatting>
  <conditionalFormatting sqref="DU237">
    <cfRule type="cellIs" dxfId="7" priority="1" operator="notEqual">
      <formula>0</formula>
    </cfRule>
  </conditionalFormatting>
  <conditionalFormatting sqref="DV131">
    <cfRule type="cellIs" dxfId="6" priority="27" operator="notEqual">
      <formula>0</formula>
    </cfRule>
  </conditionalFormatting>
  <conditionalFormatting sqref="EQ131">
    <cfRule type="cellIs" dxfId="5" priority="26" operator="notEqual">
      <formula>0</formula>
    </cfRule>
  </conditionalFormatting>
  <conditionalFormatting sqref="ER245:ER248">
    <cfRule type="cellIs" dxfId="4" priority="3" operator="notEqual">
      <formula>0</formula>
    </cfRule>
  </conditionalFormatting>
  <conditionalFormatting sqref="ES140:ES146">
    <cfRule type="cellIs" dxfId="3" priority="2" operator="notEqual">
      <formula>0</formula>
    </cfRule>
  </conditionalFormatting>
  <hyperlinks>
    <hyperlink ref="U251" r:id="rId1" xr:uid="{1E2DEDF9-8E7F-4D28-AC57-53303B92B7F0}"/>
    <hyperlink ref="X125" r:id="rId2" display="https://www.energy.gov/sites/prod/files/2013/11/f4/stone.pdf " xr:uid="{AF245922-834D-4662-9DA0-F382834AE844}"/>
    <hyperlink ref="D159" r:id="rId3" xr:uid="{A4251BDA-C4C5-46A2-8B17-065A47022922}"/>
    <hyperlink ref="D59" r:id="rId4" xr:uid="{A96D993E-4285-49E6-8621-01844CEAF159}"/>
    <hyperlink ref="BG23" r:id="rId5" xr:uid="{E8D50ABA-90E2-44F2-9580-617CC2437586}"/>
    <hyperlink ref="Z203" r:id="rId6" xr:uid="{377314BC-714F-45E1-97D2-18DBE180EBB9}"/>
    <hyperlink ref="BN198" r:id="rId7" xr:uid="{05A5374B-6767-4F84-A755-EAF8CD6ED31A}"/>
    <hyperlink ref="Y225" r:id="rId8" xr:uid="{B13F52D2-2BA9-4991-ADC9-1EF93F450CCB}"/>
    <hyperlink ref="BI104" r:id="rId9" xr:uid="{C0E610DB-FD23-49C0-9161-DEEFFEB47B1F}"/>
    <hyperlink ref="AJ123" r:id="rId10" xr:uid="{8F21522B-D8EB-49FD-88DB-792AD0FBF37F}"/>
    <hyperlink ref="ET110" r:id="rId11" xr:uid="{E520A503-6F94-42E6-B461-D6CD1E365E64}"/>
    <hyperlink ref="BM156" r:id="rId12" xr:uid="{56AA5492-5E7B-6740-9CD6-917BF070EA2B}"/>
    <hyperlink ref="AO22" r:id="rId13" xr:uid="{9679CAA2-2512-3646-B9B7-B3BAD1D49758}"/>
    <hyperlink ref="DB225" r:id="rId14" xr:uid="{7858FC41-8418-EC45-9A69-6746A901800B}"/>
  </hyperlinks>
  <pageMargins left="0.7" right="0.7" top="0.75" bottom="0.75" header="0.3" footer="0.3"/>
  <pageSetup scale="10" orientation="landscape" r:id="rId15"/>
  <drawing r:id="rId1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EEA69-2DA4-3A48-8D5C-15E77DEB5247}">
  <dimension ref="D4:I28"/>
  <sheetViews>
    <sheetView topLeftCell="A2" zoomScale="171" workbookViewId="0">
      <selection activeCell="E23" sqref="E23:G28"/>
    </sheetView>
  </sheetViews>
  <sheetFormatPr baseColWidth="10" defaultRowHeight="15" x14ac:dyDescent="0.2"/>
  <cols>
    <col min="3" max="4" width="11.1640625" bestFit="1" customWidth="1"/>
    <col min="5" max="5" width="12.1640625" bestFit="1" customWidth="1"/>
    <col min="6" max="7" width="12.83203125" bestFit="1" customWidth="1"/>
    <col min="8" max="9" width="14" bestFit="1" customWidth="1"/>
  </cols>
  <sheetData>
    <row r="4" spans="4:9" ht="16" thickBot="1" x14ac:dyDescent="0.25"/>
    <row r="5" spans="4:9" ht="19" x14ac:dyDescent="0.25">
      <c r="D5" s="214"/>
      <c r="E5" s="215" t="s">
        <v>264</v>
      </c>
      <c r="F5" s="218" t="s">
        <v>235</v>
      </c>
      <c r="G5" s="221" t="s">
        <v>316</v>
      </c>
      <c r="H5" s="218" t="s">
        <v>235</v>
      </c>
      <c r="I5" s="221" t="s">
        <v>316</v>
      </c>
    </row>
    <row r="6" spans="4:9" ht="20" thickBot="1" x14ac:dyDescent="0.3">
      <c r="D6" s="214"/>
      <c r="E6" s="273" t="s">
        <v>98</v>
      </c>
      <c r="F6" s="274" t="s">
        <v>48</v>
      </c>
      <c r="G6" s="275" t="s">
        <v>48</v>
      </c>
      <c r="H6" s="274" t="s">
        <v>433</v>
      </c>
      <c r="I6" s="275" t="s">
        <v>433</v>
      </c>
    </row>
    <row r="7" spans="4:9" ht="19" x14ac:dyDescent="0.25">
      <c r="D7" s="384" t="s">
        <v>432</v>
      </c>
      <c r="E7" s="217" t="s">
        <v>572</v>
      </c>
      <c r="F7" s="220">
        <f>'Ore-&gt;PI'!F72</f>
        <v>88160.656904773379</v>
      </c>
      <c r="G7" s="276">
        <f>1.06*F7</f>
        <v>93450.29631905978</v>
      </c>
      <c r="H7" s="277">
        <f>F7/1000000000</f>
        <v>8.8160656904773385E-5</v>
      </c>
      <c r="I7" s="278">
        <f>G7/1000000000</f>
        <v>9.3450296319059779E-5</v>
      </c>
    </row>
    <row r="8" spans="4:9" ht="20" thickBot="1" x14ac:dyDescent="0.3">
      <c r="D8" s="385"/>
      <c r="E8" s="217" t="s">
        <v>434</v>
      </c>
      <c r="F8" s="220">
        <f>'Ore-&gt;PI'!$AS$28+'Ore-&gt;PI'!$BL$35</f>
        <v>622271.50143934821</v>
      </c>
      <c r="G8" s="276">
        <f>F8</f>
        <v>622271.50143934821</v>
      </c>
      <c r="H8" s="277">
        <f t="shared" ref="H8:H18" si="0">F8/1000000000</f>
        <v>6.2227150143934825E-4</v>
      </c>
      <c r="I8" s="278">
        <f t="shared" ref="I8:I18" si="1">G8/1000000000</f>
        <v>6.2227150143934825E-4</v>
      </c>
    </row>
    <row r="9" spans="4:9" ht="19" x14ac:dyDescent="0.25">
      <c r="D9" s="386" t="s">
        <v>20</v>
      </c>
      <c r="E9" s="217" t="s">
        <v>572</v>
      </c>
      <c r="F9" s="220">
        <f>'Ore-&gt;PI'!K144</f>
        <v>241.59146310558401</v>
      </c>
      <c r="G9" s="276">
        <f>F9*1.06</f>
        <v>256.08695089191906</v>
      </c>
      <c r="H9" s="277">
        <f t="shared" si="0"/>
        <v>2.4159146310558403E-7</v>
      </c>
      <c r="I9" s="278">
        <f t="shared" si="1"/>
        <v>2.5608695089191904E-7</v>
      </c>
    </row>
    <row r="10" spans="4:9" ht="19" x14ac:dyDescent="0.25">
      <c r="D10" s="387"/>
      <c r="E10" s="217" t="s">
        <v>573</v>
      </c>
      <c r="F10" s="220">
        <f>'Ore-&gt;PI'!K155</f>
        <v>22.443944839719084</v>
      </c>
      <c r="G10" s="276">
        <f>F10*1.04</f>
        <v>23.341702633307847</v>
      </c>
      <c r="H10" s="277">
        <f t="shared" si="0"/>
        <v>2.2443944839719083E-8</v>
      </c>
      <c r="I10" s="278">
        <f t="shared" si="1"/>
        <v>2.3341702633307846E-8</v>
      </c>
    </row>
    <row r="11" spans="4:9" ht="19" x14ac:dyDescent="0.25">
      <c r="D11" s="387"/>
      <c r="E11" s="217" t="s">
        <v>265</v>
      </c>
      <c r="F11" s="220">
        <f>'Ore-&gt;PI'!AS113+'Ore-&gt;PI'!BK116</f>
        <v>2859.5637429090343</v>
      </c>
      <c r="G11" s="276">
        <f>F11</f>
        <v>2859.5637429090343</v>
      </c>
      <c r="H11" s="277">
        <f t="shared" si="0"/>
        <v>2.8595637429090342E-6</v>
      </c>
      <c r="I11" s="278">
        <f t="shared" si="1"/>
        <v>2.8595637429090342E-6</v>
      </c>
    </row>
    <row r="12" spans="4:9" ht="20" thickBot="1" x14ac:dyDescent="0.3">
      <c r="D12" s="388"/>
      <c r="E12" s="217" t="s">
        <v>435</v>
      </c>
      <c r="F12" s="220">
        <f>'Ore-&gt;PI'!BQ156</f>
        <v>1039915823.7694199</v>
      </c>
      <c r="G12" s="276">
        <f>F12*1.04</f>
        <v>1081512456.7201967</v>
      </c>
      <c r="H12" s="277">
        <f t="shared" si="0"/>
        <v>1.0399158237694199</v>
      </c>
      <c r="I12" s="278">
        <f t="shared" si="1"/>
        <v>1.0815124567201968</v>
      </c>
    </row>
    <row r="13" spans="4:9" ht="19" x14ac:dyDescent="0.25">
      <c r="D13" s="389" t="s">
        <v>353</v>
      </c>
      <c r="E13" s="217" t="s">
        <v>572</v>
      </c>
      <c r="F13" s="220">
        <f>'Ore-&gt;PI'!K226</f>
        <v>20969.662867987096</v>
      </c>
      <c r="G13" s="276">
        <f>F13*1.06</f>
        <v>22227.842640066323</v>
      </c>
      <c r="H13" s="277">
        <f t="shared" si="0"/>
        <v>2.0969662867987095E-5</v>
      </c>
      <c r="I13" s="278">
        <f t="shared" si="1"/>
        <v>2.2227842640066324E-5</v>
      </c>
    </row>
    <row r="14" spans="4:9" ht="19" x14ac:dyDescent="0.25">
      <c r="D14" s="390"/>
      <c r="E14" s="217" t="s">
        <v>435</v>
      </c>
      <c r="F14" s="220">
        <f>'Ore-&gt;PI'!BQ258</f>
        <v>848176.43869784183</v>
      </c>
      <c r="G14" s="276">
        <f>F14*1.04</f>
        <v>882103.49624575558</v>
      </c>
      <c r="H14" s="277">
        <f t="shared" si="0"/>
        <v>8.481764386978418E-4</v>
      </c>
      <c r="I14" s="278">
        <f t="shared" si="1"/>
        <v>8.8210349624575561E-4</v>
      </c>
    </row>
    <row r="15" spans="4:9" ht="20" thickBot="1" x14ac:dyDescent="0.3">
      <c r="D15" s="391"/>
      <c r="E15" s="217" t="s">
        <v>434</v>
      </c>
      <c r="F15" s="220">
        <f>'Ore-&gt;PI'!AA195+'Ore-&gt;PI'!AS190+'Ore-&gt;PI'!BK195+'Ore-&gt;PI'!DB229</f>
        <v>316406.54544878984</v>
      </c>
      <c r="G15" s="276">
        <f>F15</f>
        <v>316406.54544878984</v>
      </c>
      <c r="H15" s="277">
        <f t="shared" si="0"/>
        <v>3.1640654544878985E-4</v>
      </c>
      <c r="I15" s="278">
        <f t="shared" si="1"/>
        <v>3.1640654544878985E-4</v>
      </c>
    </row>
    <row r="16" spans="4:9" ht="19" x14ac:dyDescent="0.25">
      <c r="D16" s="392" t="s">
        <v>352</v>
      </c>
      <c r="E16" s="217" t="s">
        <v>434</v>
      </c>
      <c r="F16" s="220">
        <f>'Ore-&gt;PI'!ES117</f>
        <v>317844.87395625591</v>
      </c>
      <c r="G16" s="276">
        <f>F16</f>
        <v>317844.87395625591</v>
      </c>
      <c r="H16" s="277">
        <f t="shared" si="0"/>
        <v>3.178448739562559E-4</v>
      </c>
      <c r="I16" s="278">
        <f t="shared" si="1"/>
        <v>3.178448739562559E-4</v>
      </c>
    </row>
    <row r="17" spans="4:9" ht="19" x14ac:dyDescent="0.25">
      <c r="D17" s="392"/>
      <c r="E17" s="217" t="s">
        <v>435</v>
      </c>
      <c r="F17" s="220">
        <f>'Ore-&gt;PI'!EB118</f>
        <v>2238733.4600397157</v>
      </c>
      <c r="G17" s="276">
        <f>F17*1.04</f>
        <v>2328282.7984413044</v>
      </c>
      <c r="H17" s="277">
        <f t="shared" si="0"/>
        <v>2.2387334600397157E-3</v>
      </c>
      <c r="I17" s="278">
        <f t="shared" si="1"/>
        <v>2.3282827984413045E-3</v>
      </c>
    </row>
    <row r="18" spans="4:9" ht="20" thickBot="1" x14ac:dyDescent="0.3">
      <c r="D18" s="393"/>
      <c r="E18" s="216" t="s">
        <v>557</v>
      </c>
      <c r="F18" s="219">
        <f>'Ore-&gt;PI'!EB105</f>
        <v>193470.79284293839</v>
      </c>
      <c r="G18" s="279">
        <f>1.06*F18</f>
        <v>205079.04041351471</v>
      </c>
      <c r="H18" s="277">
        <f t="shared" si="0"/>
        <v>1.9347079284293839E-4</v>
      </c>
      <c r="I18" s="278">
        <f t="shared" si="1"/>
        <v>2.050790404135147E-4</v>
      </c>
    </row>
    <row r="19" spans="4:9" x14ac:dyDescent="0.2">
      <c r="F19">
        <f>SUM(F7:F18)</f>
        <v>1044564981.3007684</v>
      </c>
    </row>
    <row r="23" spans="4:9" x14ac:dyDescent="0.2">
      <c r="E23" s="204" t="s">
        <v>575</v>
      </c>
      <c r="F23" s="3" t="s">
        <v>574</v>
      </c>
      <c r="G23" s="3" t="s">
        <v>640</v>
      </c>
    </row>
    <row r="24" spans="4:9" x14ac:dyDescent="0.2">
      <c r="E24" s="204" t="s">
        <v>572</v>
      </c>
      <c r="F24">
        <f>'Ore-&gt;PI'!V222+'Ore-&gt;PI'!V140+'Ore-&gt;PI'!V59</f>
        <v>116797.57129876292</v>
      </c>
      <c r="G24">
        <f t="shared" ref="G24:G27" si="2">F24/1000000000</f>
        <v>1.1679757129876292E-4</v>
      </c>
    </row>
    <row r="25" spans="4:9" x14ac:dyDescent="0.2">
      <c r="E25" s="204" t="s">
        <v>434</v>
      </c>
      <c r="F25">
        <f>'Ore-&gt;PI'!EU117+'Ore-&gt;PI'!DD229+'Ore-&gt;PI'!BM195+'Ore-&gt;PI'!AU190+'Ore-&gt;PI'!AC195+'Ore-&gt;PI'!AU113+'Ore-&gt;PI'!BM116+'Ore-&gt;PI'!BN35+'Ore-&gt;PI'!AU28</f>
        <v>1259529.3337336415</v>
      </c>
      <c r="G25">
        <f t="shared" si="2"/>
        <v>1.2595293337336415E-3</v>
      </c>
    </row>
    <row r="26" spans="4:9" x14ac:dyDescent="0.2">
      <c r="E26" s="204" t="s">
        <v>435</v>
      </c>
      <c r="F26">
        <f>'Ore-&gt;PI'!CB152+'Ore-&gt;PI'!CB254+'Ore-&gt;PI'!EM114</f>
        <v>1081571592.2511754</v>
      </c>
      <c r="G26">
        <f t="shared" si="2"/>
        <v>1.0815715922511755</v>
      </c>
    </row>
    <row r="27" spans="4:9" x14ac:dyDescent="0.2">
      <c r="E27" s="204" t="s">
        <v>573</v>
      </c>
      <c r="F27">
        <f>'Ore-&gt;PI'!V151</f>
        <v>24.076233417548465</v>
      </c>
      <c r="G27">
        <f t="shared" si="2"/>
        <v>2.4076233417548466E-8</v>
      </c>
    </row>
    <row r="28" spans="4:9" x14ac:dyDescent="0.2">
      <c r="E28" s="204" t="s">
        <v>557</v>
      </c>
      <c r="F28">
        <f>'Ore-&gt;PI'!EM101</f>
        <v>206840.02835429934</v>
      </c>
      <c r="G28">
        <f>F28/1000000000</f>
        <v>2.0684002835429934E-4</v>
      </c>
    </row>
  </sheetData>
  <mergeCells count="4">
    <mergeCell ref="D7:D8"/>
    <mergeCell ref="D9:D12"/>
    <mergeCell ref="D13:D15"/>
    <mergeCell ref="D16:D18"/>
  </mergeCells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7F6CF-3AC4-DD48-B0E4-0EBDB17AD871}">
  <dimension ref="B1:CB234"/>
  <sheetViews>
    <sheetView topLeftCell="A156" zoomScale="75" zoomScaleNormal="20" workbookViewId="0">
      <selection activeCell="E223" sqref="E223:E226"/>
    </sheetView>
  </sheetViews>
  <sheetFormatPr baseColWidth="10" defaultRowHeight="15" x14ac:dyDescent="0.2"/>
  <cols>
    <col min="1" max="2" width="10.83203125" style="3"/>
    <col min="3" max="3" width="11" style="3" bestFit="1" customWidth="1"/>
    <col min="4" max="4" width="10.83203125" style="3"/>
    <col min="5" max="5" width="17" style="3" bestFit="1" customWidth="1"/>
    <col min="6" max="6" width="13" style="3" bestFit="1" customWidth="1"/>
    <col min="7" max="7" width="11.1640625" style="3" bestFit="1" customWidth="1"/>
    <col min="8" max="8" width="13" style="3" bestFit="1" customWidth="1"/>
    <col min="9" max="9" width="11.1640625" style="3" bestFit="1" customWidth="1"/>
    <col min="10" max="10" width="13" style="3" bestFit="1" customWidth="1"/>
    <col min="11" max="11" width="11.1640625" style="3" bestFit="1" customWidth="1"/>
    <col min="12" max="14" width="13" style="3" bestFit="1" customWidth="1"/>
    <col min="15" max="29" width="11.1640625" style="3" bestFit="1" customWidth="1"/>
    <col min="30" max="30" width="13" style="3" bestFit="1" customWidth="1"/>
    <col min="31" max="31" width="11.83203125" style="3" bestFit="1" customWidth="1"/>
    <col min="32" max="35" width="11" style="3" bestFit="1" customWidth="1"/>
    <col min="36" max="36" width="11" style="3" customWidth="1"/>
    <col min="37" max="37" width="12.33203125" style="3" bestFit="1" customWidth="1"/>
    <col min="38" max="40" width="11" style="3" bestFit="1" customWidth="1"/>
    <col min="41" max="41" width="13" style="3" bestFit="1" customWidth="1"/>
    <col min="42" max="45" width="10.83203125" style="3"/>
    <col min="46" max="46" width="11" style="3" bestFit="1" customWidth="1"/>
    <col min="47" max="47" width="16" style="3" customWidth="1"/>
    <col min="48" max="54" width="11" style="3" bestFit="1" customWidth="1"/>
    <col min="55" max="56" width="13" style="3" bestFit="1" customWidth="1"/>
    <col min="57" max="57" width="11" style="3" bestFit="1" customWidth="1"/>
    <col min="58" max="58" width="11" style="3" customWidth="1"/>
    <col min="59" max="59" width="11" style="3" bestFit="1" customWidth="1"/>
    <col min="60" max="60" width="12.33203125" style="3" bestFit="1" customWidth="1"/>
    <col min="61" max="61" width="13" style="3" bestFit="1" customWidth="1"/>
    <col min="62" max="65" width="10.83203125" style="3"/>
    <col min="66" max="66" width="11.83203125" style="3" bestFit="1" customWidth="1"/>
    <col min="67" max="68" width="13" style="3" bestFit="1" customWidth="1"/>
    <col min="69" max="77" width="11" style="3" bestFit="1" customWidth="1"/>
    <col min="78" max="78" width="11" style="3" customWidth="1"/>
    <col min="79" max="80" width="11" style="3" bestFit="1" customWidth="1"/>
    <col min="81" max="16384" width="10.83203125" style="3"/>
  </cols>
  <sheetData>
    <row r="1" spans="2:80" ht="112" x14ac:dyDescent="0.2">
      <c r="C1" s="207" t="s">
        <v>584</v>
      </c>
      <c r="AS1" s="260"/>
      <c r="AT1" s="207" t="s">
        <v>415</v>
      </c>
      <c r="AU1" s="207" t="s">
        <v>416</v>
      </c>
      <c r="AV1" s="207" t="s">
        <v>417</v>
      </c>
      <c r="AW1" s="207" t="s">
        <v>565</v>
      </c>
      <c r="AX1" s="207" t="s">
        <v>544</v>
      </c>
      <c r="AY1" s="207" t="s">
        <v>543</v>
      </c>
      <c r="AZ1" s="207" t="s">
        <v>443</v>
      </c>
      <c r="BA1" s="207" t="s">
        <v>440</v>
      </c>
      <c r="BB1" s="207" t="s">
        <v>458</v>
      </c>
      <c r="BC1" s="207" t="s">
        <v>441</v>
      </c>
      <c r="BD1" s="207" t="s">
        <v>436</v>
      </c>
      <c r="BE1" s="207" t="s">
        <v>672</v>
      </c>
      <c r="BF1" s="207" t="s">
        <v>675</v>
      </c>
      <c r="BG1" s="207" t="s">
        <v>81</v>
      </c>
      <c r="BH1" s="207" t="s">
        <v>427</v>
      </c>
      <c r="BM1" s="260"/>
      <c r="BN1" s="207" t="s">
        <v>415</v>
      </c>
      <c r="BO1" s="207" t="s">
        <v>416</v>
      </c>
      <c r="BP1" s="207" t="s">
        <v>417</v>
      </c>
      <c r="BQ1" s="207" t="s">
        <v>565</v>
      </c>
      <c r="BR1" s="207" t="s">
        <v>544</v>
      </c>
      <c r="BS1" s="207" t="s">
        <v>543</v>
      </c>
      <c r="BT1" s="207" t="s">
        <v>443</v>
      </c>
      <c r="BU1" s="207" t="s">
        <v>440</v>
      </c>
      <c r="BV1" s="207" t="s">
        <v>458</v>
      </c>
      <c r="BW1" s="207" t="s">
        <v>441</v>
      </c>
      <c r="BX1" s="207" t="s">
        <v>436</v>
      </c>
      <c r="BY1" s="207" t="s">
        <v>672</v>
      </c>
      <c r="BZ1" s="207" t="s">
        <v>675</v>
      </c>
      <c r="CA1" s="207" t="s">
        <v>81</v>
      </c>
      <c r="CB1" s="207" t="s">
        <v>427</v>
      </c>
    </row>
    <row r="2" spans="2:80" x14ac:dyDescent="0.2">
      <c r="B2" s="204" t="s">
        <v>423</v>
      </c>
      <c r="C2" s="284">
        <v>1</v>
      </c>
      <c r="AS2" s="204" t="s">
        <v>423</v>
      </c>
      <c r="AT2" s="284">
        <v>0</v>
      </c>
      <c r="AU2" s="284">
        <v>0</v>
      </c>
      <c r="AV2" s="284">
        <v>0</v>
      </c>
      <c r="AW2" s="284">
        <v>0</v>
      </c>
      <c r="AX2" s="284">
        <v>0</v>
      </c>
      <c r="AY2" s="284">
        <v>0</v>
      </c>
      <c r="AZ2" s="284">
        <v>0</v>
      </c>
      <c r="BA2" s="284">
        <v>0</v>
      </c>
      <c r="BB2" s="284">
        <v>0</v>
      </c>
      <c r="BC2" s="284">
        <v>0</v>
      </c>
      <c r="BD2" s="284">
        <v>0</v>
      </c>
      <c r="BE2" s="284">
        <v>0</v>
      </c>
      <c r="BF2" s="284">
        <v>0</v>
      </c>
      <c r="BG2" s="284">
        <v>0</v>
      </c>
      <c r="BH2" s="284">
        <v>0</v>
      </c>
      <c r="BM2" s="204" t="s">
        <v>423</v>
      </c>
      <c r="BN2" s="284">
        <v>0</v>
      </c>
      <c r="BO2" s="284">
        <v>0</v>
      </c>
      <c r="BP2" s="284">
        <v>0</v>
      </c>
      <c r="BQ2" s="284">
        <v>0</v>
      </c>
      <c r="BR2" s="284">
        <v>0</v>
      </c>
      <c r="BS2" s="284">
        <v>0</v>
      </c>
      <c r="BT2" s="284">
        <v>0</v>
      </c>
      <c r="BU2" s="284">
        <v>0</v>
      </c>
      <c r="BV2" s="284">
        <v>0</v>
      </c>
      <c r="BW2" s="284">
        <v>0</v>
      </c>
      <c r="BX2" s="284">
        <v>0</v>
      </c>
      <c r="BY2" s="284">
        <v>0</v>
      </c>
      <c r="BZ2" s="284">
        <v>0</v>
      </c>
      <c r="CA2" s="284">
        <v>0</v>
      </c>
      <c r="CB2" s="284">
        <v>0</v>
      </c>
    </row>
    <row r="3" spans="2:80" x14ac:dyDescent="0.2">
      <c r="B3" s="204" t="s">
        <v>425</v>
      </c>
      <c r="C3" s="284">
        <v>1</v>
      </c>
      <c r="AS3" s="204" t="s">
        <v>425</v>
      </c>
      <c r="AT3" s="284">
        <v>0</v>
      </c>
      <c r="AU3" s="284">
        <v>0</v>
      </c>
      <c r="AV3" s="284">
        <v>0</v>
      </c>
      <c r="AW3" s="284">
        <v>0</v>
      </c>
      <c r="AX3" s="284">
        <v>0</v>
      </c>
      <c r="AY3" s="284">
        <v>0</v>
      </c>
      <c r="AZ3" s="284">
        <v>0</v>
      </c>
      <c r="BA3" s="284">
        <v>0</v>
      </c>
      <c r="BB3" s="284">
        <v>0</v>
      </c>
      <c r="BC3" s="284">
        <v>0</v>
      </c>
      <c r="BD3" s="284">
        <v>0</v>
      </c>
      <c r="BE3" s="284">
        <v>0</v>
      </c>
      <c r="BF3" s="284">
        <v>0</v>
      </c>
      <c r="BG3" s="284">
        <v>0</v>
      </c>
      <c r="BH3" s="284">
        <v>0</v>
      </c>
      <c r="BM3" s="204" t="s">
        <v>425</v>
      </c>
      <c r="BN3" s="284">
        <v>0</v>
      </c>
      <c r="BO3" s="284">
        <v>0</v>
      </c>
      <c r="BP3" s="284">
        <v>0</v>
      </c>
      <c r="BQ3" s="284">
        <v>0</v>
      </c>
      <c r="BR3" s="284">
        <v>0</v>
      </c>
      <c r="BS3" s="284">
        <v>0</v>
      </c>
      <c r="BT3" s="284">
        <v>0</v>
      </c>
      <c r="BU3" s="284">
        <v>0</v>
      </c>
      <c r="BV3" s="284">
        <v>0</v>
      </c>
      <c r="BW3" s="284">
        <v>0</v>
      </c>
      <c r="BX3" s="284">
        <v>0</v>
      </c>
      <c r="BY3" s="284">
        <v>0</v>
      </c>
      <c r="BZ3" s="284">
        <v>0</v>
      </c>
      <c r="CA3" s="284">
        <v>0</v>
      </c>
      <c r="CB3" s="284">
        <v>0</v>
      </c>
    </row>
    <row r="4" spans="2:80" x14ac:dyDescent="0.2">
      <c r="B4" s="204" t="s">
        <v>426</v>
      </c>
      <c r="C4" s="284">
        <v>1</v>
      </c>
      <c r="AS4" s="204" t="s">
        <v>426</v>
      </c>
      <c r="AT4" s="284">
        <v>0</v>
      </c>
      <c r="AU4" s="284">
        <v>0</v>
      </c>
      <c r="AV4" s="284">
        <v>0</v>
      </c>
      <c r="AW4" s="284">
        <v>0</v>
      </c>
      <c r="AX4" s="284">
        <v>0</v>
      </c>
      <c r="AY4" s="284">
        <v>0</v>
      </c>
      <c r="AZ4" s="284">
        <v>0</v>
      </c>
      <c r="BA4" s="284">
        <v>0</v>
      </c>
      <c r="BB4" s="284">
        <v>0</v>
      </c>
      <c r="BC4" s="284">
        <v>0</v>
      </c>
      <c r="BD4" s="284">
        <v>0</v>
      </c>
      <c r="BE4" s="284">
        <v>0</v>
      </c>
      <c r="BF4" s="284">
        <v>0</v>
      </c>
      <c r="BG4" s="284">
        <v>0</v>
      </c>
      <c r="BH4" s="284">
        <v>0</v>
      </c>
      <c r="BM4" s="204" t="s">
        <v>426</v>
      </c>
      <c r="BN4" s="284">
        <v>0</v>
      </c>
      <c r="BO4" s="284">
        <v>0</v>
      </c>
      <c r="BP4" s="284">
        <v>0</v>
      </c>
      <c r="BQ4" s="284">
        <v>0</v>
      </c>
      <c r="BR4" s="284">
        <v>0</v>
      </c>
      <c r="BS4" s="284">
        <v>0</v>
      </c>
      <c r="BT4" s="284">
        <v>0</v>
      </c>
      <c r="BU4" s="284">
        <v>0</v>
      </c>
      <c r="BV4" s="284">
        <v>0</v>
      </c>
      <c r="BW4" s="284">
        <v>0</v>
      </c>
      <c r="BX4" s="284">
        <v>0</v>
      </c>
      <c r="BY4" s="284">
        <v>0</v>
      </c>
      <c r="BZ4" s="284">
        <v>0</v>
      </c>
      <c r="CA4" s="284">
        <v>0</v>
      </c>
      <c r="CB4" s="284">
        <v>0</v>
      </c>
    </row>
    <row r="5" spans="2:80" x14ac:dyDescent="0.2">
      <c r="B5" s="204" t="s">
        <v>447</v>
      </c>
      <c r="C5" s="284">
        <v>1</v>
      </c>
      <c r="AS5" s="204" t="s">
        <v>447</v>
      </c>
      <c r="AT5" s="284">
        <v>0</v>
      </c>
      <c r="AU5" s="284">
        <v>0</v>
      </c>
      <c r="AV5" s="284">
        <v>0</v>
      </c>
      <c r="AW5" s="284">
        <v>0</v>
      </c>
      <c r="AX5" s="284">
        <v>0</v>
      </c>
      <c r="AY5" s="284">
        <v>0</v>
      </c>
      <c r="AZ5" s="284">
        <v>0</v>
      </c>
      <c r="BA5" s="284">
        <v>0</v>
      </c>
      <c r="BB5" s="284">
        <v>0</v>
      </c>
      <c r="BC5" s="284">
        <v>0</v>
      </c>
      <c r="BD5" s="284">
        <v>0</v>
      </c>
      <c r="BE5" s="284">
        <v>0</v>
      </c>
      <c r="BF5" s="284">
        <v>0</v>
      </c>
      <c r="BG5" s="284">
        <v>0</v>
      </c>
      <c r="BH5" s="284">
        <v>0</v>
      </c>
      <c r="BM5" s="204" t="s">
        <v>447</v>
      </c>
      <c r="BN5" s="284">
        <v>0</v>
      </c>
      <c r="BO5" s="284">
        <v>0</v>
      </c>
      <c r="BP5" s="284">
        <v>0</v>
      </c>
      <c r="BQ5" s="284">
        <v>0</v>
      </c>
      <c r="BR5" s="284">
        <v>0</v>
      </c>
      <c r="BS5" s="284">
        <v>0</v>
      </c>
      <c r="BT5" s="284">
        <v>0</v>
      </c>
      <c r="BU5" s="284">
        <v>0</v>
      </c>
      <c r="BV5" s="284">
        <v>0</v>
      </c>
      <c r="BW5" s="284">
        <v>0</v>
      </c>
      <c r="BX5" s="284">
        <v>0</v>
      </c>
      <c r="BY5" s="284">
        <v>0</v>
      </c>
      <c r="BZ5" s="284">
        <v>0</v>
      </c>
      <c r="CA5" s="284">
        <v>0</v>
      </c>
      <c r="CB5" s="284">
        <v>0</v>
      </c>
    </row>
    <row r="6" spans="2:80" x14ac:dyDescent="0.2">
      <c r="B6" s="204" t="s">
        <v>477</v>
      </c>
      <c r="C6" s="284">
        <v>1</v>
      </c>
      <c r="AL6" s="204"/>
      <c r="AS6" s="204" t="s">
        <v>477</v>
      </c>
      <c r="AT6" s="284">
        <v>0</v>
      </c>
      <c r="AU6" s="284">
        <v>0</v>
      </c>
      <c r="AV6" s="284">
        <v>0</v>
      </c>
      <c r="AW6" s="284">
        <v>0</v>
      </c>
      <c r="AX6" s="284">
        <v>0</v>
      </c>
      <c r="AY6" s="284">
        <v>0</v>
      </c>
      <c r="AZ6" s="284">
        <v>0</v>
      </c>
      <c r="BA6" s="284">
        <v>0</v>
      </c>
      <c r="BB6" s="284">
        <v>0</v>
      </c>
      <c r="BC6" s="284">
        <v>0</v>
      </c>
      <c r="BD6" s="284">
        <v>0</v>
      </c>
      <c r="BE6" s="284">
        <v>0</v>
      </c>
      <c r="BF6" s="284">
        <v>0</v>
      </c>
      <c r="BG6" s="284">
        <v>0</v>
      </c>
      <c r="BH6" s="284">
        <v>0</v>
      </c>
      <c r="BM6" s="204" t="s">
        <v>477</v>
      </c>
      <c r="BN6" s="284">
        <v>0</v>
      </c>
      <c r="BO6" s="284">
        <v>0</v>
      </c>
      <c r="BP6" s="284">
        <v>0</v>
      </c>
      <c r="BQ6" s="284">
        <v>0</v>
      </c>
      <c r="BR6" s="284">
        <v>0</v>
      </c>
      <c r="BS6" s="284">
        <v>0</v>
      </c>
      <c r="BT6" s="284">
        <v>0</v>
      </c>
      <c r="BU6" s="284">
        <v>0</v>
      </c>
      <c r="BV6" s="284">
        <v>0</v>
      </c>
      <c r="BW6" s="284">
        <v>0</v>
      </c>
      <c r="BX6" s="284">
        <v>0</v>
      </c>
      <c r="BY6" s="284">
        <v>0</v>
      </c>
      <c r="BZ6" s="284">
        <v>0</v>
      </c>
      <c r="CA6" s="284">
        <v>0</v>
      </c>
      <c r="CB6" s="284">
        <v>0</v>
      </c>
    </row>
    <row r="7" spans="2:80" x14ac:dyDescent="0.2">
      <c r="B7" s="204" t="s">
        <v>576</v>
      </c>
      <c r="C7" s="284">
        <v>1</v>
      </c>
      <c r="AL7" s="204"/>
      <c r="AS7" s="204" t="s">
        <v>576</v>
      </c>
      <c r="AT7" s="284">
        <v>0</v>
      </c>
      <c r="AU7" s="284">
        <v>0</v>
      </c>
      <c r="AV7" s="284">
        <v>0</v>
      </c>
      <c r="AW7" s="284">
        <v>0</v>
      </c>
      <c r="AX7" s="284">
        <v>0</v>
      </c>
      <c r="AY7" s="284">
        <v>0</v>
      </c>
      <c r="AZ7" s="284">
        <v>0</v>
      </c>
      <c r="BA7" s="284">
        <v>0</v>
      </c>
      <c r="BB7" s="284">
        <v>0</v>
      </c>
      <c r="BC7" s="284">
        <v>0</v>
      </c>
      <c r="BD7" s="284">
        <v>0</v>
      </c>
      <c r="BE7" s="284">
        <v>0</v>
      </c>
      <c r="BF7" s="284">
        <v>0</v>
      </c>
      <c r="BG7" s="284">
        <v>0</v>
      </c>
      <c r="BH7" s="284">
        <v>0</v>
      </c>
      <c r="BM7" s="204" t="s">
        <v>576</v>
      </c>
      <c r="BN7" s="284">
        <v>0</v>
      </c>
      <c r="BO7" s="284">
        <v>0</v>
      </c>
      <c r="BP7" s="284">
        <v>0</v>
      </c>
      <c r="BQ7" s="284">
        <v>0</v>
      </c>
      <c r="BR7" s="284">
        <v>0</v>
      </c>
      <c r="BS7" s="284">
        <v>0</v>
      </c>
      <c r="BT7" s="284">
        <v>0</v>
      </c>
      <c r="BU7" s="284">
        <v>0</v>
      </c>
      <c r="BV7" s="284">
        <v>0</v>
      </c>
      <c r="BW7" s="284">
        <v>0</v>
      </c>
      <c r="BX7" s="284">
        <v>0</v>
      </c>
      <c r="BY7" s="284">
        <v>0</v>
      </c>
      <c r="BZ7" s="284">
        <v>0</v>
      </c>
      <c r="CA7" s="284">
        <v>0</v>
      </c>
      <c r="CB7" s="284">
        <v>0</v>
      </c>
    </row>
    <row r="8" spans="2:80" x14ac:dyDescent="0.2">
      <c r="B8" s="204" t="s">
        <v>577</v>
      </c>
      <c r="C8" s="284">
        <v>1</v>
      </c>
      <c r="AL8" s="204"/>
      <c r="AS8" s="204" t="s">
        <v>577</v>
      </c>
      <c r="AT8" s="284">
        <v>0</v>
      </c>
      <c r="AU8" s="284">
        <v>0</v>
      </c>
      <c r="AV8" s="284">
        <v>0</v>
      </c>
      <c r="AW8" s="284">
        <v>0</v>
      </c>
      <c r="AX8" s="284">
        <v>0</v>
      </c>
      <c r="AY8" s="284">
        <v>0</v>
      </c>
      <c r="AZ8" s="284">
        <v>0</v>
      </c>
      <c r="BA8" s="284">
        <v>0</v>
      </c>
      <c r="BB8" s="284">
        <v>0</v>
      </c>
      <c r="BC8" s="284">
        <v>0</v>
      </c>
      <c r="BD8" s="284">
        <v>0</v>
      </c>
      <c r="BE8" s="284">
        <v>0</v>
      </c>
      <c r="BF8" s="284">
        <v>0</v>
      </c>
      <c r="BG8" s="284">
        <v>0</v>
      </c>
      <c r="BH8" s="284">
        <v>0</v>
      </c>
      <c r="BM8" s="204" t="s">
        <v>577</v>
      </c>
      <c r="BN8" s="284">
        <v>0</v>
      </c>
      <c r="BO8" s="284">
        <v>0</v>
      </c>
      <c r="BP8" s="284">
        <v>0</v>
      </c>
      <c r="BQ8" s="284">
        <v>0</v>
      </c>
      <c r="BR8" s="284">
        <v>0</v>
      </c>
      <c r="BS8" s="284">
        <v>0</v>
      </c>
      <c r="BT8" s="284">
        <v>0</v>
      </c>
      <c r="BU8" s="284">
        <v>0</v>
      </c>
      <c r="BV8" s="284">
        <v>0</v>
      </c>
      <c r="BW8" s="284">
        <v>0</v>
      </c>
      <c r="BX8" s="284">
        <v>0</v>
      </c>
      <c r="BY8" s="284">
        <v>0</v>
      </c>
      <c r="BZ8" s="284">
        <v>0</v>
      </c>
      <c r="CA8" s="284">
        <v>0</v>
      </c>
      <c r="CB8" s="284">
        <v>0</v>
      </c>
    </row>
    <row r="9" spans="2:80" x14ac:dyDescent="0.2">
      <c r="B9" s="204" t="s">
        <v>519</v>
      </c>
      <c r="C9" s="284">
        <v>1</v>
      </c>
      <c r="AL9" s="204"/>
      <c r="AS9" s="204" t="s">
        <v>519</v>
      </c>
      <c r="AT9" s="284">
        <v>0</v>
      </c>
      <c r="AU9" s="284">
        <v>0</v>
      </c>
      <c r="AV9" s="284">
        <v>0</v>
      </c>
      <c r="AW9" s="284">
        <v>0</v>
      </c>
      <c r="AX9" s="284">
        <v>0</v>
      </c>
      <c r="AY9" s="284">
        <v>0</v>
      </c>
      <c r="AZ9" s="284">
        <v>0</v>
      </c>
      <c r="BA9" s="284">
        <v>0</v>
      </c>
      <c r="BB9" s="284">
        <v>0</v>
      </c>
      <c r="BC9" s="284">
        <v>0</v>
      </c>
      <c r="BD9" s="284">
        <v>0</v>
      </c>
      <c r="BE9" s="284">
        <v>0</v>
      </c>
      <c r="BF9" s="284">
        <v>0</v>
      </c>
      <c r="BG9" s="284">
        <v>0</v>
      </c>
      <c r="BH9" s="284">
        <v>0</v>
      </c>
      <c r="BM9" s="204" t="s">
        <v>519</v>
      </c>
      <c r="BN9" s="284">
        <v>0</v>
      </c>
      <c r="BO9" s="284">
        <v>0</v>
      </c>
      <c r="BP9" s="284">
        <v>0</v>
      </c>
      <c r="BQ9" s="284">
        <v>0</v>
      </c>
      <c r="BR9" s="284">
        <v>0</v>
      </c>
      <c r="BS9" s="284">
        <v>0</v>
      </c>
      <c r="BT9" s="284">
        <v>0</v>
      </c>
      <c r="BU9" s="284">
        <v>0</v>
      </c>
      <c r="BV9" s="284">
        <v>0</v>
      </c>
      <c r="BW9" s="284">
        <v>0</v>
      </c>
      <c r="BX9" s="284">
        <v>0</v>
      </c>
      <c r="BY9" s="284">
        <v>0</v>
      </c>
      <c r="BZ9" s="284">
        <v>0</v>
      </c>
      <c r="CA9" s="284">
        <v>0</v>
      </c>
      <c r="CB9" s="284">
        <v>0</v>
      </c>
    </row>
    <row r="10" spans="2:80" x14ac:dyDescent="0.2">
      <c r="B10" s="204" t="s">
        <v>569</v>
      </c>
      <c r="C10" s="284">
        <v>1</v>
      </c>
      <c r="AL10" s="204"/>
      <c r="AS10" s="204" t="s">
        <v>569</v>
      </c>
      <c r="AT10" s="284">
        <v>0</v>
      </c>
      <c r="AU10" s="284">
        <v>0</v>
      </c>
      <c r="AV10" s="284">
        <v>0</v>
      </c>
      <c r="AW10" s="284">
        <v>0</v>
      </c>
      <c r="AX10" s="284">
        <v>0</v>
      </c>
      <c r="AY10" s="284">
        <v>0</v>
      </c>
      <c r="AZ10" s="284">
        <v>0</v>
      </c>
      <c r="BA10" s="284">
        <v>0</v>
      </c>
      <c r="BB10" s="284">
        <v>0</v>
      </c>
      <c r="BC10" s="284">
        <v>0</v>
      </c>
      <c r="BD10" s="284">
        <v>0</v>
      </c>
      <c r="BE10" s="284">
        <v>0</v>
      </c>
      <c r="BF10" s="284">
        <v>0</v>
      </c>
      <c r="BG10" s="284">
        <v>0</v>
      </c>
      <c r="BH10" s="284">
        <v>0</v>
      </c>
      <c r="BM10" s="204" t="s">
        <v>569</v>
      </c>
      <c r="BN10" s="284">
        <v>0</v>
      </c>
      <c r="BO10" s="284">
        <v>0</v>
      </c>
      <c r="BP10" s="284">
        <v>0</v>
      </c>
      <c r="BQ10" s="284">
        <v>0</v>
      </c>
      <c r="BR10" s="284">
        <v>0</v>
      </c>
      <c r="BS10" s="284">
        <v>0</v>
      </c>
      <c r="BT10" s="284">
        <v>0</v>
      </c>
      <c r="BU10" s="284">
        <v>0</v>
      </c>
      <c r="BV10" s="284">
        <v>0</v>
      </c>
      <c r="BW10" s="284">
        <v>0</v>
      </c>
      <c r="BX10" s="284">
        <v>0</v>
      </c>
      <c r="BY10" s="284">
        <v>0</v>
      </c>
      <c r="BZ10" s="284">
        <v>0</v>
      </c>
      <c r="CA10" s="284">
        <v>0</v>
      </c>
      <c r="CB10" s="284">
        <v>0</v>
      </c>
    </row>
    <row r="11" spans="2:80" ht="16" x14ac:dyDescent="0.2">
      <c r="B11" s="205" t="s">
        <v>551</v>
      </c>
      <c r="C11" s="284">
        <v>1</v>
      </c>
      <c r="AS11" s="205" t="s">
        <v>551</v>
      </c>
      <c r="AT11" s="284">
        <v>0</v>
      </c>
      <c r="AU11" s="284">
        <v>0</v>
      </c>
      <c r="AV11" s="284">
        <v>0</v>
      </c>
      <c r="AW11" s="284">
        <v>0</v>
      </c>
      <c r="AX11" s="284">
        <v>0</v>
      </c>
      <c r="AY11" s="284">
        <v>0</v>
      </c>
      <c r="AZ11" s="284">
        <v>0</v>
      </c>
      <c r="BA11" s="284">
        <v>0</v>
      </c>
      <c r="BB11" s="284">
        <v>0</v>
      </c>
      <c r="BC11" s="284">
        <v>0</v>
      </c>
      <c r="BD11" s="284">
        <v>0</v>
      </c>
      <c r="BE11" s="284">
        <v>0</v>
      </c>
      <c r="BF11" s="284">
        <v>0</v>
      </c>
      <c r="BG11" s="284">
        <v>0</v>
      </c>
      <c r="BH11" s="284">
        <v>0</v>
      </c>
      <c r="BM11" s="205" t="s">
        <v>551</v>
      </c>
      <c r="BN11" s="284">
        <v>0</v>
      </c>
      <c r="BO11" s="284">
        <v>0</v>
      </c>
      <c r="BP11" s="284">
        <v>0</v>
      </c>
      <c r="BQ11" s="284">
        <v>0</v>
      </c>
      <c r="BR11" s="284">
        <v>0</v>
      </c>
      <c r="BS11" s="284">
        <v>0</v>
      </c>
      <c r="BT11" s="284">
        <v>0</v>
      </c>
      <c r="BU11" s="284">
        <v>0</v>
      </c>
      <c r="BV11" s="284">
        <v>0</v>
      </c>
      <c r="BW11" s="284">
        <v>0</v>
      </c>
      <c r="BX11" s="284">
        <v>0</v>
      </c>
      <c r="BY11" s="284">
        <v>0</v>
      </c>
      <c r="BZ11" s="284">
        <v>0</v>
      </c>
      <c r="CA11" s="284">
        <v>0</v>
      </c>
      <c r="CB11" s="284">
        <v>0</v>
      </c>
    </row>
    <row r="12" spans="2:80" x14ac:dyDescent="0.2">
      <c r="B12" s="204" t="s">
        <v>517</v>
      </c>
      <c r="C12" s="284">
        <v>1</v>
      </c>
      <c r="AS12" s="204" t="s">
        <v>517</v>
      </c>
      <c r="AT12" s="284">
        <v>0</v>
      </c>
      <c r="AU12" s="284">
        <v>0</v>
      </c>
      <c r="AV12" s="284">
        <v>0</v>
      </c>
      <c r="AW12" s="284">
        <v>0</v>
      </c>
      <c r="AX12" s="284">
        <v>0</v>
      </c>
      <c r="AY12" s="284">
        <v>0</v>
      </c>
      <c r="AZ12" s="284">
        <v>0</v>
      </c>
      <c r="BA12" s="284">
        <v>0</v>
      </c>
      <c r="BB12" s="284">
        <v>0</v>
      </c>
      <c r="BC12" s="284">
        <v>0</v>
      </c>
      <c r="BD12" s="284">
        <v>0</v>
      </c>
      <c r="BE12" s="284">
        <v>0</v>
      </c>
      <c r="BF12" s="284">
        <v>0</v>
      </c>
      <c r="BG12" s="284">
        <v>0</v>
      </c>
      <c r="BH12" s="284">
        <v>0</v>
      </c>
      <c r="BM12" s="204" t="s">
        <v>517</v>
      </c>
      <c r="BN12" s="284">
        <v>0</v>
      </c>
      <c r="BO12" s="284">
        <v>0</v>
      </c>
      <c r="BP12" s="284">
        <v>0</v>
      </c>
      <c r="BQ12" s="284">
        <v>0</v>
      </c>
      <c r="BR12" s="284">
        <v>0</v>
      </c>
      <c r="BS12" s="284">
        <v>0</v>
      </c>
      <c r="BT12" s="284">
        <v>0</v>
      </c>
      <c r="BU12" s="284">
        <v>0</v>
      </c>
      <c r="BV12" s="284">
        <v>0</v>
      </c>
      <c r="BW12" s="284">
        <v>0</v>
      </c>
      <c r="BX12" s="284">
        <v>0</v>
      </c>
      <c r="BY12" s="284">
        <v>0</v>
      </c>
      <c r="BZ12" s="284">
        <v>0</v>
      </c>
      <c r="CA12" s="284">
        <v>0</v>
      </c>
      <c r="CB12" s="284">
        <v>0</v>
      </c>
    </row>
    <row r="13" spans="2:80" ht="16" x14ac:dyDescent="0.2">
      <c r="B13" s="205" t="s">
        <v>520</v>
      </c>
      <c r="C13" s="284">
        <v>1</v>
      </c>
      <c r="AS13" s="205" t="s">
        <v>520</v>
      </c>
      <c r="AT13" s="284">
        <v>0</v>
      </c>
      <c r="AU13" s="284">
        <v>0</v>
      </c>
      <c r="AV13" s="284">
        <v>0</v>
      </c>
      <c r="AW13" s="284">
        <v>0</v>
      </c>
      <c r="AX13" s="284">
        <v>0</v>
      </c>
      <c r="AY13" s="284">
        <v>0</v>
      </c>
      <c r="AZ13" s="284">
        <v>0</v>
      </c>
      <c r="BA13" s="284">
        <v>0</v>
      </c>
      <c r="BB13" s="284">
        <v>0</v>
      </c>
      <c r="BC13" s="284">
        <v>0</v>
      </c>
      <c r="BD13" s="284">
        <v>0</v>
      </c>
      <c r="BE13" s="284">
        <v>0</v>
      </c>
      <c r="BF13" s="284">
        <v>0</v>
      </c>
      <c r="BG13" s="284">
        <v>0</v>
      </c>
      <c r="BH13" s="284">
        <v>0</v>
      </c>
      <c r="BM13" s="205" t="s">
        <v>520</v>
      </c>
      <c r="BN13" s="284">
        <v>0</v>
      </c>
      <c r="BO13" s="284">
        <v>0</v>
      </c>
      <c r="BP13" s="284">
        <v>0</v>
      </c>
      <c r="BQ13" s="284">
        <v>0</v>
      </c>
      <c r="BR13" s="284">
        <v>0</v>
      </c>
      <c r="BS13" s="284">
        <v>0</v>
      </c>
      <c r="BT13" s="284">
        <v>0</v>
      </c>
      <c r="BU13" s="284">
        <v>0</v>
      </c>
      <c r="BV13" s="284">
        <v>0</v>
      </c>
      <c r="BW13" s="284">
        <v>0</v>
      </c>
      <c r="BX13" s="284">
        <v>0</v>
      </c>
      <c r="BY13" s="284">
        <v>0</v>
      </c>
      <c r="BZ13" s="284">
        <v>0</v>
      </c>
      <c r="CA13" s="284">
        <v>0</v>
      </c>
      <c r="CB13" s="284">
        <v>0</v>
      </c>
    </row>
    <row r="14" spans="2:80" x14ac:dyDescent="0.2">
      <c r="B14" s="204" t="s">
        <v>546</v>
      </c>
      <c r="C14" s="284">
        <v>1</v>
      </c>
      <c r="AS14" s="204" t="s">
        <v>546</v>
      </c>
      <c r="AT14" s="284">
        <v>0</v>
      </c>
      <c r="AU14" s="284">
        <v>0</v>
      </c>
      <c r="AV14" s="284">
        <v>0</v>
      </c>
      <c r="AW14" s="284">
        <v>0</v>
      </c>
      <c r="AX14" s="284">
        <v>0</v>
      </c>
      <c r="AY14" s="284">
        <v>0</v>
      </c>
      <c r="AZ14" s="284">
        <v>0</v>
      </c>
      <c r="BA14" s="284">
        <v>0</v>
      </c>
      <c r="BB14" s="284">
        <v>0</v>
      </c>
      <c r="BC14" s="284">
        <v>0</v>
      </c>
      <c r="BD14" s="284">
        <v>0</v>
      </c>
      <c r="BE14" s="284">
        <v>0</v>
      </c>
      <c r="BF14" s="284">
        <v>0</v>
      </c>
      <c r="BG14" s="284">
        <v>0</v>
      </c>
      <c r="BH14" s="284">
        <v>0</v>
      </c>
      <c r="BM14" s="204" t="s">
        <v>546</v>
      </c>
      <c r="BN14" s="284">
        <v>0</v>
      </c>
      <c r="BO14" s="284">
        <v>0</v>
      </c>
      <c r="BP14" s="284">
        <v>0</v>
      </c>
      <c r="BQ14" s="284">
        <v>0</v>
      </c>
      <c r="BR14" s="284">
        <v>0</v>
      </c>
      <c r="BS14" s="284">
        <v>0</v>
      </c>
      <c r="BT14" s="284">
        <v>0</v>
      </c>
      <c r="BU14" s="284">
        <v>0</v>
      </c>
      <c r="BV14" s="284">
        <v>0</v>
      </c>
      <c r="BW14" s="284">
        <v>0</v>
      </c>
      <c r="BX14" s="284">
        <v>0</v>
      </c>
      <c r="BY14" s="284">
        <v>0</v>
      </c>
      <c r="BZ14" s="284">
        <v>0</v>
      </c>
      <c r="CA14" s="284">
        <v>0</v>
      </c>
      <c r="CB14" s="284">
        <v>0</v>
      </c>
    </row>
    <row r="15" spans="2:80" x14ac:dyDescent="0.2">
      <c r="B15" s="206" t="s">
        <v>538</v>
      </c>
      <c r="C15" s="284">
        <v>1</v>
      </c>
      <c r="AS15" s="206" t="s">
        <v>538</v>
      </c>
      <c r="AT15" s="284">
        <v>0</v>
      </c>
      <c r="AU15" s="284">
        <v>0</v>
      </c>
      <c r="AV15" s="284">
        <v>0</v>
      </c>
      <c r="AW15" s="284">
        <v>0</v>
      </c>
      <c r="AX15" s="284">
        <v>0</v>
      </c>
      <c r="AY15" s="284">
        <v>0</v>
      </c>
      <c r="AZ15" s="284">
        <v>0</v>
      </c>
      <c r="BA15" s="284">
        <v>0</v>
      </c>
      <c r="BB15" s="284">
        <v>0</v>
      </c>
      <c r="BC15" s="284">
        <v>0</v>
      </c>
      <c r="BD15" s="284">
        <v>0</v>
      </c>
      <c r="BE15" s="284">
        <v>0</v>
      </c>
      <c r="BF15" s="284">
        <v>0</v>
      </c>
      <c r="BG15" s="284">
        <v>0</v>
      </c>
      <c r="BH15" s="284">
        <v>0</v>
      </c>
      <c r="BM15" s="206" t="s">
        <v>538</v>
      </c>
      <c r="BN15" s="284">
        <v>0</v>
      </c>
      <c r="BO15" s="284">
        <v>0</v>
      </c>
      <c r="BP15" s="284">
        <v>0</v>
      </c>
      <c r="BQ15" s="284">
        <v>0</v>
      </c>
      <c r="BR15" s="284">
        <v>0</v>
      </c>
      <c r="BS15" s="284">
        <v>0</v>
      </c>
      <c r="BT15" s="284">
        <v>0</v>
      </c>
      <c r="BU15" s="284">
        <v>0</v>
      </c>
      <c r="BV15" s="284">
        <v>0</v>
      </c>
      <c r="BW15" s="284">
        <v>0</v>
      </c>
      <c r="BX15" s="284">
        <v>0</v>
      </c>
      <c r="BY15" s="284">
        <v>0</v>
      </c>
      <c r="BZ15" s="284">
        <v>0</v>
      </c>
      <c r="CA15" s="284">
        <v>0</v>
      </c>
      <c r="CB15" s="284">
        <v>0</v>
      </c>
    </row>
    <row r="16" spans="2:80" x14ac:dyDescent="0.2">
      <c r="B16" s="204" t="s">
        <v>524</v>
      </c>
      <c r="C16" s="284">
        <v>1</v>
      </c>
      <c r="AS16" s="204" t="s">
        <v>524</v>
      </c>
      <c r="AT16" s="284">
        <v>0</v>
      </c>
      <c r="AU16" s="284">
        <v>0</v>
      </c>
      <c r="AV16" s="284">
        <v>0</v>
      </c>
      <c r="AW16" s="284">
        <v>0</v>
      </c>
      <c r="AX16" s="284">
        <v>0</v>
      </c>
      <c r="AY16" s="284">
        <v>0</v>
      </c>
      <c r="AZ16" s="284">
        <v>0</v>
      </c>
      <c r="BA16" s="284">
        <v>0</v>
      </c>
      <c r="BB16" s="284">
        <v>0</v>
      </c>
      <c r="BC16" s="284">
        <v>0</v>
      </c>
      <c r="BD16" s="284">
        <v>0</v>
      </c>
      <c r="BE16" s="284">
        <v>0</v>
      </c>
      <c r="BF16" s="284">
        <v>0</v>
      </c>
      <c r="BG16" s="284">
        <v>0</v>
      </c>
      <c r="BH16" s="284">
        <v>0</v>
      </c>
      <c r="BM16" s="204" t="s">
        <v>524</v>
      </c>
      <c r="BN16" s="284">
        <v>0</v>
      </c>
      <c r="BO16" s="284">
        <v>0</v>
      </c>
      <c r="BP16" s="284">
        <v>0</v>
      </c>
      <c r="BQ16" s="284">
        <v>0</v>
      </c>
      <c r="BR16" s="284">
        <v>0</v>
      </c>
      <c r="BS16" s="284">
        <v>0</v>
      </c>
      <c r="BT16" s="284">
        <v>0</v>
      </c>
      <c r="BU16" s="284">
        <v>0</v>
      </c>
      <c r="BV16" s="284">
        <v>0</v>
      </c>
      <c r="BW16" s="284">
        <v>0</v>
      </c>
      <c r="BX16" s="284">
        <v>0</v>
      </c>
      <c r="BY16" s="284">
        <v>0</v>
      </c>
      <c r="BZ16" s="284">
        <v>0</v>
      </c>
      <c r="CA16" s="284">
        <v>0</v>
      </c>
      <c r="CB16" s="284">
        <v>0</v>
      </c>
    </row>
    <row r="17" spans="2:80" ht="16" x14ac:dyDescent="0.2">
      <c r="B17" s="205" t="s">
        <v>550</v>
      </c>
      <c r="C17" s="284">
        <v>1</v>
      </c>
      <c r="AS17" s="205" t="s">
        <v>550</v>
      </c>
      <c r="AT17" s="284">
        <v>0</v>
      </c>
      <c r="AU17" s="284">
        <v>0</v>
      </c>
      <c r="AV17" s="284">
        <v>0</v>
      </c>
      <c r="AW17" s="284">
        <v>0</v>
      </c>
      <c r="AX17" s="284">
        <v>0</v>
      </c>
      <c r="AY17" s="284">
        <v>0</v>
      </c>
      <c r="AZ17" s="284">
        <v>0</v>
      </c>
      <c r="BA17" s="284">
        <v>0</v>
      </c>
      <c r="BB17" s="284">
        <v>0</v>
      </c>
      <c r="BC17" s="284">
        <v>0</v>
      </c>
      <c r="BD17" s="284">
        <v>0</v>
      </c>
      <c r="BE17" s="284">
        <v>0</v>
      </c>
      <c r="BF17" s="284">
        <v>0</v>
      </c>
      <c r="BG17" s="284">
        <v>0</v>
      </c>
      <c r="BH17" s="284">
        <v>0</v>
      </c>
      <c r="BM17" s="205" t="s">
        <v>550</v>
      </c>
      <c r="BN17" s="284">
        <v>0</v>
      </c>
      <c r="BO17" s="284">
        <v>0</v>
      </c>
      <c r="BP17" s="284">
        <v>0</v>
      </c>
      <c r="BQ17" s="284">
        <v>0</v>
      </c>
      <c r="BR17" s="284">
        <v>0</v>
      </c>
      <c r="BS17" s="284">
        <v>0</v>
      </c>
      <c r="BT17" s="284">
        <v>0</v>
      </c>
      <c r="BU17" s="284">
        <v>0</v>
      </c>
      <c r="BV17" s="284">
        <v>0</v>
      </c>
      <c r="BW17" s="284">
        <v>0</v>
      </c>
      <c r="BX17" s="284">
        <v>0</v>
      </c>
      <c r="BY17" s="284">
        <v>0</v>
      </c>
      <c r="BZ17" s="284">
        <v>0</v>
      </c>
      <c r="CA17" s="284">
        <v>0</v>
      </c>
      <c r="CB17" s="284">
        <v>0</v>
      </c>
    </row>
    <row r="18" spans="2:80" ht="16" x14ac:dyDescent="0.2">
      <c r="B18" s="205" t="s">
        <v>545</v>
      </c>
      <c r="C18" s="284">
        <v>1</v>
      </c>
      <c r="AS18" s="205" t="s">
        <v>545</v>
      </c>
      <c r="AT18" s="284">
        <v>0</v>
      </c>
      <c r="AU18" s="284">
        <v>0</v>
      </c>
      <c r="AV18" s="284">
        <v>0</v>
      </c>
      <c r="AW18" s="284">
        <v>0</v>
      </c>
      <c r="AX18" s="284">
        <v>0</v>
      </c>
      <c r="AY18" s="284">
        <v>0</v>
      </c>
      <c r="AZ18" s="284">
        <v>0</v>
      </c>
      <c r="BA18" s="284">
        <v>0</v>
      </c>
      <c r="BB18" s="284">
        <v>0</v>
      </c>
      <c r="BC18" s="284">
        <v>0</v>
      </c>
      <c r="BD18" s="284">
        <v>0</v>
      </c>
      <c r="BE18" s="284">
        <v>0</v>
      </c>
      <c r="BF18" s="284">
        <v>0</v>
      </c>
      <c r="BG18" s="284">
        <v>0</v>
      </c>
      <c r="BH18" s="284">
        <v>0</v>
      </c>
      <c r="BM18" s="205" t="s">
        <v>545</v>
      </c>
      <c r="BN18" s="284">
        <v>0</v>
      </c>
      <c r="BO18" s="284">
        <v>0</v>
      </c>
      <c r="BP18" s="284">
        <v>0</v>
      </c>
      <c r="BQ18" s="284">
        <v>0</v>
      </c>
      <c r="BR18" s="284">
        <v>0</v>
      </c>
      <c r="BS18" s="284">
        <v>0</v>
      </c>
      <c r="BT18" s="284">
        <v>0</v>
      </c>
      <c r="BU18" s="284">
        <v>0</v>
      </c>
      <c r="BV18" s="284">
        <v>0</v>
      </c>
      <c r="BW18" s="284">
        <v>0</v>
      </c>
      <c r="BX18" s="284">
        <v>0</v>
      </c>
      <c r="BY18" s="284">
        <v>0</v>
      </c>
      <c r="BZ18" s="284">
        <v>0</v>
      </c>
      <c r="CA18" s="284">
        <v>0</v>
      </c>
      <c r="CB18" s="284">
        <v>0</v>
      </c>
    </row>
    <row r="19" spans="2:80" ht="16" x14ac:dyDescent="0.2">
      <c r="B19" s="205" t="s">
        <v>542</v>
      </c>
      <c r="C19" s="284">
        <v>1</v>
      </c>
      <c r="AS19" s="205" t="s">
        <v>542</v>
      </c>
      <c r="AT19" s="284">
        <v>0</v>
      </c>
      <c r="AU19" s="284">
        <v>0</v>
      </c>
      <c r="AV19" s="284">
        <v>0</v>
      </c>
      <c r="AW19" s="284">
        <v>0</v>
      </c>
      <c r="AX19" s="284">
        <v>0</v>
      </c>
      <c r="AY19" s="284">
        <v>0</v>
      </c>
      <c r="AZ19" s="284">
        <v>0</v>
      </c>
      <c r="BA19" s="284">
        <v>0</v>
      </c>
      <c r="BB19" s="284">
        <v>0</v>
      </c>
      <c r="BC19" s="284">
        <v>0</v>
      </c>
      <c r="BD19" s="284">
        <v>0</v>
      </c>
      <c r="BE19" s="284">
        <v>0</v>
      </c>
      <c r="BF19" s="284">
        <v>0</v>
      </c>
      <c r="BG19" s="284">
        <v>0</v>
      </c>
      <c r="BH19" s="284">
        <v>0</v>
      </c>
      <c r="BM19" s="205" t="s">
        <v>542</v>
      </c>
      <c r="BN19" s="284">
        <v>0</v>
      </c>
      <c r="BO19" s="284">
        <v>0</v>
      </c>
      <c r="BP19" s="284">
        <v>0</v>
      </c>
      <c r="BQ19" s="284">
        <v>0</v>
      </c>
      <c r="BR19" s="284">
        <v>0</v>
      </c>
      <c r="BS19" s="284">
        <v>0</v>
      </c>
      <c r="BT19" s="284">
        <v>0</v>
      </c>
      <c r="BU19" s="284">
        <v>0</v>
      </c>
      <c r="BV19" s="284">
        <v>0</v>
      </c>
      <c r="BW19" s="284">
        <v>0</v>
      </c>
      <c r="BX19" s="284">
        <v>0</v>
      </c>
      <c r="BY19" s="284">
        <v>0</v>
      </c>
      <c r="BZ19" s="284">
        <v>0</v>
      </c>
      <c r="CA19" s="284">
        <v>0</v>
      </c>
      <c r="CB19" s="284">
        <v>0</v>
      </c>
    </row>
    <row r="20" spans="2:80" ht="16" x14ac:dyDescent="0.2">
      <c r="B20" s="205" t="s">
        <v>548</v>
      </c>
      <c r="C20" s="284">
        <v>1</v>
      </c>
      <c r="AS20" s="205" t="s">
        <v>548</v>
      </c>
      <c r="AT20" s="284">
        <v>0</v>
      </c>
      <c r="AU20" s="284">
        <v>0</v>
      </c>
      <c r="AV20" s="284">
        <v>0</v>
      </c>
      <c r="AW20" s="284">
        <v>0</v>
      </c>
      <c r="AX20" s="284">
        <v>0</v>
      </c>
      <c r="AY20" s="284">
        <v>0</v>
      </c>
      <c r="AZ20" s="284">
        <v>0</v>
      </c>
      <c r="BA20" s="284">
        <v>0</v>
      </c>
      <c r="BB20" s="284">
        <v>0</v>
      </c>
      <c r="BC20" s="284">
        <v>0</v>
      </c>
      <c r="BD20" s="284">
        <v>0</v>
      </c>
      <c r="BE20" s="284">
        <v>0</v>
      </c>
      <c r="BF20" s="284">
        <v>0</v>
      </c>
      <c r="BG20" s="284">
        <v>0</v>
      </c>
      <c r="BH20" s="284">
        <v>0</v>
      </c>
      <c r="BM20" s="205" t="s">
        <v>548</v>
      </c>
      <c r="BN20" s="284">
        <v>0</v>
      </c>
      <c r="BO20" s="284">
        <v>0</v>
      </c>
      <c r="BP20" s="284">
        <v>0</v>
      </c>
      <c r="BQ20" s="284">
        <v>0</v>
      </c>
      <c r="BR20" s="284">
        <v>0</v>
      </c>
      <c r="BS20" s="284">
        <v>0</v>
      </c>
      <c r="BT20" s="284">
        <v>0</v>
      </c>
      <c r="BU20" s="284">
        <v>0</v>
      </c>
      <c r="BV20" s="284">
        <v>0</v>
      </c>
      <c r="BW20" s="284">
        <v>0</v>
      </c>
      <c r="BX20" s="284">
        <v>0</v>
      </c>
      <c r="BY20" s="284">
        <v>0</v>
      </c>
      <c r="BZ20" s="284">
        <v>0</v>
      </c>
      <c r="CA20" s="284">
        <v>0</v>
      </c>
      <c r="CB20" s="284">
        <v>0</v>
      </c>
    </row>
    <row r="21" spans="2:80" x14ac:dyDescent="0.2">
      <c r="B21" s="206" t="s">
        <v>547</v>
      </c>
      <c r="C21" s="284">
        <v>1</v>
      </c>
      <c r="AS21" s="206" t="s">
        <v>547</v>
      </c>
      <c r="AT21" s="284">
        <v>0</v>
      </c>
      <c r="AU21" s="284">
        <v>0</v>
      </c>
      <c r="AV21" s="284">
        <v>0</v>
      </c>
      <c r="AW21" s="284">
        <v>0</v>
      </c>
      <c r="AX21" s="284">
        <v>0</v>
      </c>
      <c r="AY21" s="284">
        <v>0</v>
      </c>
      <c r="AZ21" s="284">
        <v>0</v>
      </c>
      <c r="BA21" s="284">
        <v>0</v>
      </c>
      <c r="BB21" s="284">
        <v>0</v>
      </c>
      <c r="BC21" s="284">
        <v>0</v>
      </c>
      <c r="BD21" s="284">
        <v>0</v>
      </c>
      <c r="BE21" s="284">
        <v>0</v>
      </c>
      <c r="BF21" s="284">
        <v>0</v>
      </c>
      <c r="BG21" s="284">
        <v>0</v>
      </c>
      <c r="BH21" s="284">
        <v>0</v>
      </c>
      <c r="BM21" s="206" t="s">
        <v>547</v>
      </c>
      <c r="BN21" s="284">
        <v>0</v>
      </c>
      <c r="BO21" s="284">
        <v>0</v>
      </c>
      <c r="BP21" s="284">
        <v>0</v>
      </c>
      <c r="BQ21" s="284">
        <v>0</v>
      </c>
      <c r="BR21" s="284">
        <v>0</v>
      </c>
      <c r="BS21" s="284">
        <v>0</v>
      </c>
      <c r="BT21" s="284">
        <v>0</v>
      </c>
      <c r="BU21" s="284">
        <v>0</v>
      </c>
      <c r="BV21" s="284">
        <v>0</v>
      </c>
      <c r="BW21" s="284">
        <v>0</v>
      </c>
      <c r="BX21" s="284">
        <v>0</v>
      </c>
      <c r="BY21" s="284">
        <v>0</v>
      </c>
      <c r="BZ21" s="284">
        <v>0</v>
      </c>
      <c r="CA21" s="284">
        <v>0</v>
      </c>
      <c r="CB21" s="284">
        <v>0</v>
      </c>
    </row>
    <row r="22" spans="2:80" x14ac:dyDescent="0.2">
      <c r="B22" s="206" t="s">
        <v>532</v>
      </c>
      <c r="C22" s="284">
        <v>1</v>
      </c>
      <c r="AS22" s="206" t="s">
        <v>532</v>
      </c>
      <c r="AT22" s="284">
        <v>0</v>
      </c>
      <c r="AU22" s="284">
        <v>0</v>
      </c>
      <c r="AV22" s="284">
        <v>0</v>
      </c>
      <c r="AW22" s="284">
        <v>0</v>
      </c>
      <c r="AX22" s="284">
        <v>0</v>
      </c>
      <c r="AY22" s="284">
        <v>0</v>
      </c>
      <c r="AZ22" s="284">
        <v>0</v>
      </c>
      <c r="BA22" s="284">
        <v>0</v>
      </c>
      <c r="BB22" s="284">
        <v>0</v>
      </c>
      <c r="BC22" s="284">
        <v>0</v>
      </c>
      <c r="BD22" s="284">
        <v>0</v>
      </c>
      <c r="BE22" s="284">
        <v>0</v>
      </c>
      <c r="BF22" s="284">
        <v>0</v>
      </c>
      <c r="BG22" s="284">
        <v>0</v>
      </c>
      <c r="BH22" s="284">
        <v>0</v>
      </c>
      <c r="BM22" s="206" t="s">
        <v>532</v>
      </c>
      <c r="BN22" s="284">
        <v>0</v>
      </c>
      <c r="BO22" s="284">
        <v>0</v>
      </c>
      <c r="BP22" s="284">
        <v>0</v>
      </c>
      <c r="BQ22" s="284">
        <v>0</v>
      </c>
      <c r="BR22" s="284">
        <v>0</v>
      </c>
      <c r="BS22" s="284">
        <v>0</v>
      </c>
      <c r="BT22" s="284">
        <v>0</v>
      </c>
      <c r="BU22" s="284">
        <v>0</v>
      </c>
      <c r="BV22" s="284">
        <v>0</v>
      </c>
      <c r="BW22" s="284">
        <v>0</v>
      </c>
      <c r="BX22" s="284">
        <v>0</v>
      </c>
      <c r="BY22" s="284">
        <v>0</v>
      </c>
      <c r="BZ22" s="284">
        <v>0</v>
      </c>
      <c r="CA22" s="284">
        <v>0</v>
      </c>
      <c r="CB22" s="284">
        <v>0</v>
      </c>
    </row>
    <row r="23" spans="2:80" x14ac:dyDescent="0.2">
      <c r="B23" s="206" t="s">
        <v>566</v>
      </c>
      <c r="C23" s="284">
        <v>1</v>
      </c>
      <c r="AS23" s="206" t="s">
        <v>566</v>
      </c>
      <c r="AT23" s="284">
        <v>0</v>
      </c>
      <c r="AU23" s="284">
        <v>0</v>
      </c>
      <c r="AV23" s="284">
        <v>0</v>
      </c>
      <c r="AW23" s="284">
        <v>0</v>
      </c>
      <c r="AX23" s="284">
        <v>0</v>
      </c>
      <c r="AY23" s="284">
        <v>0</v>
      </c>
      <c r="AZ23" s="284">
        <v>0</v>
      </c>
      <c r="BA23" s="284">
        <v>0</v>
      </c>
      <c r="BB23" s="284">
        <v>0</v>
      </c>
      <c r="BC23" s="284">
        <v>0</v>
      </c>
      <c r="BD23" s="284">
        <v>0</v>
      </c>
      <c r="BE23" s="284">
        <v>0</v>
      </c>
      <c r="BF23" s="284">
        <v>0</v>
      </c>
      <c r="BG23" s="284">
        <v>0</v>
      </c>
      <c r="BH23" s="284">
        <v>0</v>
      </c>
      <c r="BM23" s="206" t="s">
        <v>566</v>
      </c>
      <c r="BN23" s="284">
        <v>0</v>
      </c>
      <c r="BO23" s="284">
        <v>0</v>
      </c>
      <c r="BP23" s="284">
        <v>0</v>
      </c>
      <c r="BQ23" s="284">
        <v>0</v>
      </c>
      <c r="BR23" s="284">
        <v>0</v>
      </c>
      <c r="BS23" s="284">
        <v>0</v>
      </c>
      <c r="BT23" s="284">
        <v>0</v>
      </c>
      <c r="BU23" s="284">
        <v>0</v>
      </c>
      <c r="BV23" s="284">
        <v>0</v>
      </c>
      <c r="BW23" s="284">
        <v>0</v>
      </c>
      <c r="BX23" s="284">
        <v>0</v>
      </c>
      <c r="BY23" s="284">
        <v>0</v>
      </c>
      <c r="BZ23" s="284">
        <v>0</v>
      </c>
      <c r="CA23" s="284">
        <v>0</v>
      </c>
      <c r="CB23" s="284">
        <v>0</v>
      </c>
    </row>
    <row r="24" spans="2:80" x14ac:dyDescent="0.2">
      <c r="B24" s="206" t="s">
        <v>533</v>
      </c>
      <c r="C24" s="284">
        <v>1</v>
      </c>
      <c r="AS24" s="206" t="s">
        <v>533</v>
      </c>
      <c r="AT24" s="284">
        <v>0</v>
      </c>
      <c r="AU24" s="284">
        <v>0</v>
      </c>
      <c r="AV24" s="284">
        <v>0</v>
      </c>
      <c r="AW24" s="284">
        <v>0</v>
      </c>
      <c r="AX24" s="284">
        <v>0</v>
      </c>
      <c r="AY24" s="284">
        <v>0</v>
      </c>
      <c r="AZ24" s="284">
        <v>0</v>
      </c>
      <c r="BA24" s="284">
        <v>0</v>
      </c>
      <c r="BB24" s="284">
        <v>0</v>
      </c>
      <c r="BC24" s="284">
        <v>0</v>
      </c>
      <c r="BD24" s="284">
        <v>0</v>
      </c>
      <c r="BE24" s="284">
        <v>0</v>
      </c>
      <c r="BF24" s="284">
        <v>0</v>
      </c>
      <c r="BG24" s="284">
        <v>0</v>
      </c>
      <c r="BH24" s="284">
        <v>0</v>
      </c>
      <c r="BM24" s="206" t="s">
        <v>533</v>
      </c>
      <c r="BN24" s="284">
        <v>0</v>
      </c>
      <c r="BO24" s="284">
        <v>0</v>
      </c>
      <c r="BP24" s="284">
        <v>0</v>
      </c>
      <c r="BQ24" s="284">
        <v>0</v>
      </c>
      <c r="BR24" s="284">
        <v>0</v>
      </c>
      <c r="BS24" s="284">
        <v>0</v>
      </c>
      <c r="BT24" s="284">
        <v>0</v>
      </c>
      <c r="BU24" s="284">
        <v>0</v>
      </c>
      <c r="BV24" s="284">
        <v>0</v>
      </c>
      <c r="BW24" s="284">
        <v>0</v>
      </c>
      <c r="BX24" s="284">
        <v>0</v>
      </c>
      <c r="BY24" s="284">
        <v>0</v>
      </c>
      <c r="BZ24" s="284">
        <v>0</v>
      </c>
      <c r="CA24" s="284">
        <v>0</v>
      </c>
      <c r="CB24" s="284">
        <v>0</v>
      </c>
    </row>
    <row r="25" spans="2:80" x14ac:dyDescent="0.2">
      <c r="B25" s="206" t="s">
        <v>535</v>
      </c>
      <c r="C25" s="284">
        <v>1</v>
      </c>
      <c r="AS25" s="206" t="s">
        <v>535</v>
      </c>
      <c r="AT25" s="284">
        <v>0</v>
      </c>
      <c r="AU25" s="284">
        <v>0</v>
      </c>
      <c r="AV25" s="284">
        <v>0</v>
      </c>
      <c r="AW25" s="284">
        <v>0</v>
      </c>
      <c r="AX25" s="284">
        <v>0</v>
      </c>
      <c r="AY25" s="284">
        <v>0</v>
      </c>
      <c r="AZ25" s="284">
        <v>0</v>
      </c>
      <c r="BA25" s="284">
        <v>0</v>
      </c>
      <c r="BB25" s="284">
        <v>0</v>
      </c>
      <c r="BC25" s="284">
        <v>0</v>
      </c>
      <c r="BD25" s="284">
        <v>0</v>
      </c>
      <c r="BE25" s="284">
        <v>0</v>
      </c>
      <c r="BF25" s="284">
        <v>0</v>
      </c>
      <c r="BG25" s="284">
        <v>0</v>
      </c>
      <c r="BH25" s="284">
        <v>0</v>
      </c>
      <c r="BM25" s="206" t="s">
        <v>535</v>
      </c>
      <c r="BN25" s="284">
        <v>0</v>
      </c>
      <c r="BO25" s="284">
        <v>0</v>
      </c>
      <c r="BP25" s="284">
        <v>0</v>
      </c>
      <c r="BQ25" s="284">
        <v>0</v>
      </c>
      <c r="BR25" s="284">
        <v>0</v>
      </c>
      <c r="BS25" s="284">
        <v>0</v>
      </c>
      <c r="BT25" s="284">
        <v>0</v>
      </c>
      <c r="BU25" s="284">
        <v>0</v>
      </c>
      <c r="BV25" s="284">
        <v>0</v>
      </c>
      <c r="BW25" s="284">
        <v>0</v>
      </c>
      <c r="BX25" s="284">
        <v>0</v>
      </c>
      <c r="BY25" s="284">
        <v>0</v>
      </c>
      <c r="BZ25" s="284">
        <v>0</v>
      </c>
      <c r="CA25" s="284">
        <v>0</v>
      </c>
      <c r="CB25" s="284">
        <v>0</v>
      </c>
    </row>
    <row r="26" spans="2:80" x14ac:dyDescent="0.2">
      <c r="B26" s="206" t="s">
        <v>534</v>
      </c>
      <c r="C26" s="284">
        <v>1</v>
      </c>
      <c r="AS26" s="206" t="s">
        <v>534</v>
      </c>
      <c r="AT26" s="284">
        <v>0</v>
      </c>
      <c r="AU26" s="284">
        <v>0</v>
      </c>
      <c r="AV26" s="284">
        <v>0</v>
      </c>
      <c r="AW26" s="284">
        <v>0</v>
      </c>
      <c r="AX26" s="284">
        <v>0</v>
      </c>
      <c r="AY26" s="284">
        <v>0</v>
      </c>
      <c r="AZ26" s="284">
        <v>0</v>
      </c>
      <c r="BA26" s="284">
        <v>0</v>
      </c>
      <c r="BB26" s="284">
        <v>0</v>
      </c>
      <c r="BC26" s="284">
        <v>0</v>
      </c>
      <c r="BD26" s="284">
        <v>0</v>
      </c>
      <c r="BE26" s="284">
        <v>0</v>
      </c>
      <c r="BF26" s="284">
        <v>0</v>
      </c>
      <c r="BG26" s="284">
        <v>0</v>
      </c>
      <c r="BH26" s="284">
        <v>0</v>
      </c>
      <c r="BM26" s="206" t="s">
        <v>534</v>
      </c>
      <c r="BN26" s="284">
        <v>0</v>
      </c>
      <c r="BO26" s="284">
        <v>0</v>
      </c>
      <c r="BP26" s="284">
        <v>0</v>
      </c>
      <c r="BQ26" s="284">
        <v>0</v>
      </c>
      <c r="BR26" s="284">
        <v>0</v>
      </c>
      <c r="BS26" s="284">
        <v>0</v>
      </c>
      <c r="BT26" s="284">
        <v>0</v>
      </c>
      <c r="BU26" s="284">
        <v>0</v>
      </c>
      <c r="BV26" s="284">
        <v>0</v>
      </c>
      <c r="BW26" s="284">
        <v>0</v>
      </c>
      <c r="BX26" s="284">
        <v>0</v>
      </c>
      <c r="BY26" s="284">
        <v>0</v>
      </c>
      <c r="BZ26" s="284">
        <v>0</v>
      </c>
      <c r="CA26" s="284">
        <v>0</v>
      </c>
      <c r="CB26" s="284">
        <v>0</v>
      </c>
    </row>
    <row r="27" spans="2:80" x14ac:dyDescent="0.2">
      <c r="B27" s="206" t="s">
        <v>632</v>
      </c>
      <c r="C27" s="284">
        <v>1</v>
      </c>
      <c r="AS27" s="206" t="s">
        <v>632</v>
      </c>
      <c r="AT27" s="284">
        <v>0</v>
      </c>
      <c r="AU27" s="284">
        <v>0</v>
      </c>
      <c r="AV27" s="284">
        <v>0</v>
      </c>
      <c r="AW27" s="284">
        <v>0</v>
      </c>
      <c r="AX27" s="284">
        <v>0</v>
      </c>
      <c r="AY27" s="284">
        <v>0</v>
      </c>
      <c r="AZ27" s="284">
        <v>0</v>
      </c>
      <c r="BA27" s="284">
        <v>0</v>
      </c>
      <c r="BB27" s="284">
        <v>0</v>
      </c>
      <c r="BC27" s="284">
        <v>0</v>
      </c>
      <c r="BD27" s="284">
        <v>0</v>
      </c>
      <c r="BE27" s="284">
        <v>0</v>
      </c>
      <c r="BF27" s="284">
        <v>0</v>
      </c>
      <c r="BG27" s="284">
        <v>0</v>
      </c>
      <c r="BH27" s="284">
        <v>0</v>
      </c>
      <c r="BM27" s="206" t="s">
        <v>632</v>
      </c>
      <c r="BN27" s="284">
        <v>0</v>
      </c>
      <c r="BO27" s="284">
        <v>0</v>
      </c>
      <c r="BP27" s="284">
        <v>0</v>
      </c>
      <c r="BQ27" s="284">
        <v>0</v>
      </c>
      <c r="BR27" s="284">
        <v>0</v>
      </c>
      <c r="BS27" s="284">
        <v>0</v>
      </c>
      <c r="BT27" s="284">
        <v>0</v>
      </c>
      <c r="BU27" s="284">
        <v>0</v>
      </c>
      <c r="BV27" s="284">
        <v>0</v>
      </c>
      <c r="BW27" s="284">
        <v>0</v>
      </c>
      <c r="BX27" s="284">
        <v>0</v>
      </c>
      <c r="BY27" s="284">
        <v>0</v>
      </c>
      <c r="BZ27" s="284">
        <v>0</v>
      </c>
      <c r="CA27" s="284">
        <v>0</v>
      </c>
      <c r="CB27" s="284">
        <v>0</v>
      </c>
    </row>
    <row r="28" spans="2:80" ht="16" x14ac:dyDescent="0.2">
      <c r="B28" s="253" t="s">
        <v>530</v>
      </c>
      <c r="C28" s="284">
        <v>1</v>
      </c>
      <c r="AS28" s="253" t="s">
        <v>530</v>
      </c>
      <c r="AT28" s="284">
        <v>0</v>
      </c>
      <c r="AU28" s="284">
        <v>0</v>
      </c>
      <c r="AV28" s="284">
        <v>0</v>
      </c>
      <c r="AW28" s="284">
        <v>0</v>
      </c>
      <c r="AX28" s="284">
        <v>0</v>
      </c>
      <c r="AY28" s="284">
        <v>0</v>
      </c>
      <c r="AZ28" s="284">
        <v>0</v>
      </c>
      <c r="BA28" s="284">
        <v>0</v>
      </c>
      <c r="BB28" s="284">
        <v>0</v>
      </c>
      <c r="BC28" s="284">
        <v>0</v>
      </c>
      <c r="BD28" s="284">
        <v>0</v>
      </c>
      <c r="BE28" s="284">
        <v>0</v>
      </c>
      <c r="BF28" s="284">
        <v>0</v>
      </c>
      <c r="BG28" s="284">
        <v>0</v>
      </c>
      <c r="BH28" s="284">
        <v>0</v>
      </c>
      <c r="BM28" s="253" t="s">
        <v>530</v>
      </c>
      <c r="BN28" s="284">
        <v>0</v>
      </c>
      <c r="BO28" s="284">
        <v>0</v>
      </c>
      <c r="BP28" s="284">
        <v>0</v>
      </c>
      <c r="BQ28" s="284">
        <v>0</v>
      </c>
      <c r="BR28" s="284">
        <v>0</v>
      </c>
      <c r="BS28" s="284">
        <v>0</v>
      </c>
      <c r="BT28" s="284">
        <v>0</v>
      </c>
      <c r="BU28" s="284">
        <v>0</v>
      </c>
      <c r="BV28" s="284">
        <v>0</v>
      </c>
      <c r="BW28" s="284">
        <v>0</v>
      </c>
      <c r="BX28" s="284">
        <v>0</v>
      </c>
      <c r="BY28" s="284">
        <v>0</v>
      </c>
      <c r="BZ28" s="284">
        <v>0</v>
      </c>
      <c r="CA28" s="284">
        <v>0</v>
      </c>
      <c r="CB28" s="284">
        <v>0</v>
      </c>
    </row>
    <row r="29" spans="2:80" x14ac:dyDescent="0.2">
      <c r="B29" s="206" t="s">
        <v>529</v>
      </c>
      <c r="C29" s="284">
        <v>1</v>
      </c>
      <c r="AS29" s="206" t="s">
        <v>529</v>
      </c>
      <c r="AT29" s="284">
        <v>0</v>
      </c>
      <c r="AU29" s="284">
        <v>0</v>
      </c>
      <c r="AV29" s="284">
        <v>0</v>
      </c>
      <c r="AW29" s="284">
        <v>0</v>
      </c>
      <c r="AX29" s="284">
        <v>0</v>
      </c>
      <c r="AY29" s="284">
        <v>0</v>
      </c>
      <c r="AZ29" s="284">
        <v>0</v>
      </c>
      <c r="BA29" s="284">
        <v>0</v>
      </c>
      <c r="BB29" s="284">
        <v>0</v>
      </c>
      <c r="BC29" s="284">
        <v>0</v>
      </c>
      <c r="BD29" s="284">
        <v>0</v>
      </c>
      <c r="BE29" s="284">
        <v>0</v>
      </c>
      <c r="BF29" s="284">
        <v>0</v>
      </c>
      <c r="BG29" s="284">
        <v>0</v>
      </c>
      <c r="BH29" s="284">
        <v>0</v>
      </c>
      <c r="BM29" s="206" t="s">
        <v>529</v>
      </c>
      <c r="BN29" s="284">
        <v>0</v>
      </c>
      <c r="BO29" s="284">
        <v>0</v>
      </c>
      <c r="BP29" s="284">
        <v>0</v>
      </c>
      <c r="BQ29" s="284">
        <v>0</v>
      </c>
      <c r="BR29" s="284">
        <v>0</v>
      </c>
      <c r="BS29" s="284">
        <v>0</v>
      </c>
      <c r="BT29" s="284">
        <v>0</v>
      </c>
      <c r="BU29" s="284">
        <v>0</v>
      </c>
      <c r="BV29" s="284">
        <v>0</v>
      </c>
      <c r="BW29" s="284">
        <v>0</v>
      </c>
      <c r="BX29" s="284">
        <v>0</v>
      </c>
      <c r="BY29" s="284">
        <v>0</v>
      </c>
      <c r="BZ29" s="284">
        <v>0</v>
      </c>
      <c r="CA29" s="284">
        <v>0</v>
      </c>
      <c r="CB29" s="284">
        <v>0</v>
      </c>
    </row>
    <row r="30" spans="2:80" x14ac:dyDescent="0.2">
      <c r="B30" s="204" t="s">
        <v>531</v>
      </c>
      <c r="C30" s="284">
        <v>1</v>
      </c>
      <c r="AS30" s="204" t="s">
        <v>531</v>
      </c>
      <c r="AT30" s="284">
        <v>0</v>
      </c>
      <c r="AU30" s="284">
        <v>0</v>
      </c>
      <c r="AV30" s="284">
        <v>0</v>
      </c>
      <c r="AW30" s="284">
        <v>0</v>
      </c>
      <c r="AX30" s="284">
        <v>0</v>
      </c>
      <c r="AY30" s="284">
        <v>0</v>
      </c>
      <c r="AZ30" s="284">
        <v>0</v>
      </c>
      <c r="BA30" s="284">
        <v>0</v>
      </c>
      <c r="BB30" s="284">
        <v>0</v>
      </c>
      <c r="BC30" s="284">
        <v>0</v>
      </c>
      <c r="BD30" s="284">
        <v>0</v>
      </c>
      <c r="BE30" s="284">
        <v>0</v>
      </c>
      <c r="BF30" s="284">
        <v>0</v>
      </c>
      <c r="BG30" s="284">
        <v>0</v>
      </c>
      <c r="BH30" s="284">
        <v>0</v>
      </c>
      <c r="BM30" s="204" t="s">
        <v>531</v>
      </c>
      <c r="BN30" s="284">
        <v>0</v>
      </c>
      <c r="BO30" s="284">
        <v>0</v>
      </c>
      <c r="BP30" s="284">
        <v>0</v>
      </c>
      <c r="BQ30" s="284">
        <v>0</v>
      </c>
      <c r="BR30" s="284">
        <v>0</v>
      </c>
      <c r="BS30" s="284">
        <v>0</v>
      </c>
      <c r="BT30" s="284">
        <v>0</v>
      </c>
      <c r="BU30" s="284">
        <v>0</v>
      </c>
      <c r="BV30" s="284">
        <v>0</v>
      </c>
      <c r="BW30" s="284">
        <v>0</v>
      </c>
      <c r="BX30" s="284">
        <v>0</v>
      </c>
      <c r="BY30" s="284">
        <v>0</v>
      </c>
      <c r="BZ30" s="284">
        <v>0</v>
      </c>
      <c r="CA30" s="284">
        <v>0</v>
      </c>
      <c r="CB30" s="284">
        <v>0</v>
      </c>
    </row>
    <row r="31" spans="2:80" x14ac:dyDescent="0.2">
      <c r="B31" s="206" t="s">
        <v>527</v>
      </c>
      <c r="C31" s="284">
        <v>1</v>
      </c>
      <c r="AS31" s="206" t="s">
        <v>673</v>
      </c>
      <c r="AT31" s="284">
        <v>0</v>
      </c>
      <c r="AU31" s="284">
        <v>0</v>
      </c>
      <c r="AV31" s="284">
        <v>0</v>
      </c>
      <c r="AW31" s="284">
        <v>0</v>
      </c>
      <c r="AX31" s="284">
        <v>0</v>
      </c>
      <c r="AY31" s="284">
        <v>0</v>
      </c>
      <c r="AZ31" s="284">
        <v>0</v>
      </c>
      <c r="BA31" s="284">
        <v>0</v>
      </c>
      <c r="BB31" s="284">
        <v>0</v>
      </c>
      <c r="BC31" s="284">
        <v>0</v>
      </c>
      <c r="BD31" s="284">
        <v>0</v>
      </c>
      <c r="BE31" s="284">
        <v>0</v>
      </c>
      <c r="BF31" s="284">
        <v>0</v>
      </c>
      <c r="BG31" s="284">
        <v>0</v>
      </c>
      <c r="BH31" s="284">
        <v>0</v>
      </c>
      <c r="BM31" s="206" t="s">
        <v>673</v>
      </c>
      <c r="BN31" s="284">
        <v>0</v>
      </c>
      <c r="BO31" s="284">
        <v>0</v>
      </c>
      <c r="BP31" s="284">
        <v>0</v>
      </c>
      <c r="BQ31" s="284">
        <v>0</v>
      </c>
      <c r="BR31" s="284">
        <v>0</v>
      </c>
      <c r="BS31" s="284">
        <v>0</v>
      </c>
      <c r="BT31" s="284">
        <v>0</v>
      </c>
      <c r="BU31" s="284">
        <v>0</v>
      </c>
      <c r="BV31" s="284">
        <v>0</v>
      </c>
      <c r="BW31" s="284">
        <v>0</v>
      </c>
      <c r="BX31" s="284">
        <v>0</v>
      </c>
      <c r="BY31" s="284">
        <v>0</v>
      </c>
      <c r="BZ31" s="284">
        <v>0</v>
      </c>
      <c r="CA31" s="284">
        <v>0</v>
      </c>
      <c r="CB31" s="284">
        <v>0</v>
      </c>
    </row>
    <row r="32" spans="2:80" x14ac:dyDescent="0.2">
      <c r="B32" s="206"/>
      <c r="C32" s="284"/>
      <c r="AS32" s="206" t="s">
        <v>676</v>
      </c>
      <c r="AT32" s="284">
        <v>0</v>
      </c>
      <c r="AU32" s="284">
        <v>0</v>
      </c>
      <c r="AV32" s="284">
        <v>0</v>
      </c>
      <c r="AW32" s="284">
        <v>0</v>
      </c>
      <c r="AX32" s="284">
        <v>0</v>
      </c>
      <c r="AY32" s="284">
        <v>0</v>
      </c>
      <c r="AZ32" s="284">
        <v>0</v>
      </c>
      <c r="BA32" s="284">
        <v>0</v>
      </c>
      <c r="BB32" s="284">
        <v>0</v>
      </c>
      <c r="BC32" s="284">
        <v>0</v>
      </c>
      <c r="BD32" s="284">
        <v>0</v>
      </c>
      <c r="BE32" s="284">
        <v>0</v>
      </c>
      <c r="BF32" s="284">
        <v>0</v>
      </c>
      <c r="BG32" s="284">
        <v>0</v>
      </c>
      <c r="BH32" s="284">
        <v>0</v>
      </c>
      <c r="BM32" s="206" t="s">
        <v>676</v>
      </c>
      <c r="BN32" s="284">
        <v>0</v>
      </c>
      <c r="BO32" s="284">
        <v>0</v>
      </c>
      <c r="BP32" s="284">
        <v>0</v>
      </c>
      <c r="BQ32" s="284">
        <v>0</v>
      </c>
      <c r="BR32" s="284">
        <v>0</v>
      </c>
      <c r="BS32" s="284">
        <v>0</v>
      </c>
      <c r="BT32" s="284">
        <v>0</v>
      </c>
      <c r="BU32" s="284">
        <v>0</v>
      </c>
      <c r="BV32" s="284">
        <v>0</v>
      </c>
      <c r="BW32" s="284">
        <v>0</v>
      </c>
      <c r="BX32" s="284">
        <v>0</v>
      </c>
      <c r="BY32" s="284">
        <v>0</v>
      </c>
      <c r="BZ32" s="284">
        <v>0</v>
      </c>
      <c r="CA32" s="284">
        <v>0</v>
      </c>
      <c r="CB32" s="284">
        <v>0</v>
      </c>
    </row>
    <row r="33" spans="2:80" x14ac:dyDescent="0.2">
      <c r="B33" s="206" t="s">
        <v>554</v>
      </c>
      <c r="C33" s="284">
        <v>1</v>
      </c>
      <c r="AS33" s="206" t="s">
        <v>554</v>
      </c>
      <c r="AT33" s="284">
        <v>0</v>
      </c>
      <c r="AU33" s="284">
        <v>0</v>
      </c>
      <c r="AV33" s="284">
        <v>0</v>
      </c>
      <c r="AW33" s="284">
        <v>0</v>
      </c>
      <c r="AX33" s="284">
        <v>0</v>
      </c>
      <c r="AY33" s="284">
        <v>0</v>
      </c>
      <c r="AZ33" s="284">
        <v>0</v>
      </c>
      <c r="BA33" s="284">
        <v>0</v>
      </c>
      <c r="BB33" s="284">
        <v>0</v>
      </c>
      <c r="BC33" s="284">
        <v>0</v>
      </c>
      <c r="BD33" s="284">
        <v>0</v>
      </c>
      <c r="BE33" s="284">
        <v>0</v>
      </c>
      <c r="BF33" s="284">
        <v>0</v>
      </c>
      <c r="BG33" s="284">
        <v>0</v>
      </c>
      <c r="BH33" s="284">
        <v>0</v>
      </c>
      <c r="BM33" s="206" t="s">
        <v>554</v>
      </c>
      <c r="BN33" s="284">
        <v>0</v>
      </c>
      <c r="BO33" s="284">
        <v>0</v>
      </c>
      <c r="BP33" s="284">
        <v>0</v>
      </c>
      <c r="BQ33" s="284">
        <v>0</v>
      </c>
      <c r="BR33" s="284">
        <v>0</v>
      </c>
      <c r="BS33" s="284">
        <v>0</v>
      </c>
      <c r="BT33" s="284">
        <v>0</v>
      </c>
      <c r="BU33" s="284">
        <v>0</v>
      </c>
      <c r="BV33" s="284">
        <v>0</v>
      </c>
      <c r="BW33" s="284">
        <v>0</v>
      </c>
      <c r="BX33" s="284">
        <v>0</v>
      </c>
      <c r="BY33" s="284">
        <v>0</v>
      </c>
      <c r="BZ33" s="284">
        <v>0</v>
      </c>
      <c r="CA33" s="284">
        <v>0</v>
      </c>
      <c r="CB33" s="284">
        <v>0</v>
      </c>
    </row>
    <row r="34" spans="2:80" x14ac:dyDescent="0.2">
      <c r="B34" s="206" t="s">
        <v>555</v>
      </c>
      <c r="C34" s="284">
        <v>1</v>
      </c>
      <c r="AS34" s="206" t="s">
        <v>555</v>
      </c>
      <c r="AT34" s="284">
        <v>0</v>
      </c>
      <c r="AU34" s="284">
        <v>0</v>
      </c>
      <c r="AV34" s="284">
        <v>0</v>
      </c>
      <c r="AW34" s="284">
        <v>0</v>
      </c>
      <c r="AX34" s="284">
        <v>0</v>
      </c>
      <c r="AY34" s="284">
        <v>0</v>
      </c>
      <c r="AZ34" s="284">
        <v>0</v>
      </c>
      <c r="BA34" s="284">
        <v>0</v>
      </c>
      <c r="BB34" s="284">
        <v>0</v>
      </c>
      <c r="BC34" s="284">
        <v>0</v>
      </c>
      <c r="BD34" s="284">
        <v>0</v>
      </c>
      <c r="BE34" s="284">
        <v>0</v>
      </c>
      <c r="BF34" s="284">
        <v>0</v>
      </c>
      <c r="BG34" s="284">
        <v>0</v>
      </c>
      <c r="BH34" s="284">
        <v>0</v>
      </c>
      <c r="BM34" s="206" t="s">
        <v>555</v>
      </c>
      <c r="BN34" s="284">
        <v>0</v>
      </c>
      <c r="BO34" s="284">
        <v>0</v>
      </c>
      <c r="BP34" s="284">
        <v>0</v>
      </c>
      <c r="BQ34" s="284">
        <v>0</v>
      </c>
      <c r="BR34" s="284">
        <v>0</v>
      </c>
      <c r="BS34" s="284">
        <v>0</v>
      </c>
      <c r="BT34" s="284">
        <v>0</v>
      </c>
      <c r="BU34" s="284">
        <v>0</v>
      </c>
      <c r="BV34" s="284">
        <v>0</v>
      </c>
      <c r="BW34" s="284">
        <v>0</v>
      </c>
      <c r="BX34" s="284">
        <v>0</v>
      </c>
      <c r="BY34" s="284">
        <v>0</v>
      </c>
      <c r="BZ34" s="284">
        <v>0</v>
      </c>
      <c r="CA34" s="284">
        <v>0</v>
      </c>
      <c r="CB34" s="284">
        <v>0</v>
      </c>
    </row>
    <row r="35" spans="2:80" x14ac:dyDescent="0.2">
      <c r="B35" s="206" t="s">
        <v>556</v>
      </c>
      <c r="C35" s="284">
        <v>1</v>
      </c>
      <c r="AS35" s="206" t="s">
        <v>556</v>
      </c>
      <c r="AT35" s="284">
        <v>0</v>
      </c>
      <c r="AU35" s="284">
        <v>0</v>
      </c>
      <c r="AV35" s="284">
        <v>0</v>
      </c>
      <c r="AW35" s="284">
        <v>0</v>
      </c>
      <c r="AX35" s="284">
        <v>0</v>
      </c>
      <c r="AY35" s="284">
        <v>0</v>
      </c>
      <c r="AZ35" s="284">
        <v>0</v>
      </c>
      <c r="BA35" s="284">
        <v>0</v>
      </c>
      <c r="BB35" s="284">
        <v>0</v>
      </c>
      <c r="BC35" s="284">
        <v>0</v>
      </c>
      <c r="BD35" s="284">
        <v>0</v>
      </c>
      <c r="BE35" s="284">
        <v>0</v>
      </c>
      <c r="BF35" s="284">
        <v>0</v>
      </c>
      <c r="BG35" s="284">
        <v>0</v>
      </c>
      <c r="BH35" s="284">
        <v>0</v>
      </c>
      <c r="BM35" s="206" t="s">
        <v>556</v>
      </c>
      <c r="BN35" s="284">
        <v>0</v>
      </c>
      <c r="BO35" s="284">
        <v>0</v>
      </c>
      <c r="BP35" s="284">
        <v>0</v>
      </c>
      <c r="BQ35" s="284">
        <v>0</v>
      </c>
      <c r="BR35" s="284">
        <v>0</v>
      </c>
      <c r="BS35" s="284">
        <v>0</v>
      </c>
      <c r="BT35" s="284">
        <v>0</v>
      </c>
      <c r="BU35" s="284">
        <v>0</v>
      </c>
      <c r="BV35" s="284">
        <v>0</v>
      </c>
      <c r="BW35" s="284">
        <v>0</v>
      </c>
      <c r="BX35" s="284">
        <v>0</v>
      </c>
      <c r="BY35" s="284">
        <v>0</v>
      </c>
      <c r="BZ35" s="284">
        <v>0</v>
      </c>
      <c r="CA35" s="284">
        <v>0</v>
      </c>
      <c r="CB35" s="284">
        <v>0</v>
      </c>
    </row>
    <row r="36" spans="2:80" x14ac:dyDescent="0.2">
      <c r="B36" s="206" t="s">
        <v>567</v>
      </c>
      <c r="C36" s="284">
        <v>1</v>
      </c>
      <c r="AS36" s="206" t="s">
        <v>567</v>
      </c>
      <c r="AT36" s="284">
        <v>0</v>
      </c>
      <c r="AU36" s="284">
        <v>0</v>
      </c>
      <c r="AV36" s="284">
        <v>0</v>
      </c>
      <c r="AW36" s="284">
        <v>0</v>
      </c>
      <c r="AX36" s="284">
        <v>0</v>
      </c>
      <c r="AY36" s="284">
        <v>0</v>
      </c>
      <c r="AZ36" s="284">
        <v>0</v>
      </c>
      <c r="BA36" s="284">
        <v>0</v>
      </c>
      <c r="BB36" s="284">
        <v>0</v>
      </c>
      <c r="BC36" s="284">
        <v>0</v>
      </c>
      <c r="BD36" s="284">
        <v>0</v>
      </c>
      <c r="BE36" s="284">
        <v>0</v>
      </c>
      <c r="BF36" s="284">
        <v>0</v>
      </c>
      <c r="BG36" s="284">
        <v>0</v>
      </c>
      <c r="BH36" s="284">
        <v>0</v>
      </c>
      <c r="BM36" s="206" t="s">
        <v>567</v>
      </c>
      <c r="BN36" s="284">
        <v>0</v>
      </c>
      <c r="BO36" s="284">
        <v>0</v>
      </c>
      <c r="BP36" s="284">
        <v>0</v>
      </c>
      <c r="BQ36" s="284">
        <v>0</v>
      </c>
      <c r="BR36" s="284">
        <v>0</v>
      </c>
      <c r="BS36" s="284">
        <v>0</v>
      </c>
      <c r="BT36" s="284">
        <v>0</v>
      </c>
      <c r="BU36" s="284">
        <v>0</v>
      </c>
      <c r="BV36" s="284">
        <v>0</v>
      </c>
      <c r="BW36" s="284">
        <v>0</v>
      </c>
      <c r="BX36" s="284">
        <v>0</v>
      </c>
      <c r="BY36" s="284">
        <v>0</v>
      </c>
      <c r="BZ36" s="284">
        <v>0</v>
      </c>
      <c r="CA36" s="284">
        <v>0</v>
      </c>
      <c r="CB36" s="284">
        <v>0</v>
      </c>
    </row>
    <row r="37" spans="2:80" x14ac:dyDescent="0.2">
      <c r="C37" s="171" t="s">
        <v>583</v>
      </c>
      <c r="AS37" s="206"/>
      <c r="AT37" s="394" t="s">
        <v>580</v>
      </c>
      <c r="AU37" s="394"/>
      <c r="AV37" s="394"/>
      <c r="AW37" s="394"/>
      <c r="AX37" s="394"/>
      <c r="AY37" s="394"/>
      <c r="AZ37" s="394"/>
      <c r="BA37" s="394"/>
      <c r="BB37" s="394"/>
      <c r="BC37" s="394"/>
      <c r="BD37" s="394"/>
      <c r="BE37" s="394"/>
      <c r="BF37" s="394"/>
      <c r="BG37" s="394"/>
      <c r="BH37" s="394"/>
      <c r="BM37" s="206"/>
      <c r="BN37" s="394" t="s">
        <v>581</v>
      </c>
      <c r="BO37" s="394"/>
      <c r="BP37" s="394"/>
      <c r="BQ37" s="394"/>
      <c r="BR37" s="394"/>
      <c r="BS37" s="394"/>
      <c r="BT37" s="394"/>
      <c r="BU37" s="394"/>
      <c r="BV37" s="394"/>
      <c r="BW37" s="394"/>
      <c r="BX37" s="394"/>
      <c r="BY37" s="394"/>
      <c r="BZ37" s="394"/>
      <c r="CA37" s="394"/>
      <c r="CB37" s="394"/>
    </row>
    <row r="38" spans="2:80" x14ac:dyDescent="0.2">
      <c r="AS38" s="206"/>
      <c r="AT38" s="25"/>
      <c r="AU38" s="25"/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G38" s="25"/>
      <c r="BH38" s="25"/>
      <c r="BM38" s="206"/>
      <c r="BN38" s="25"/>
      <c r="BO38" s="25"/>
      <c r="BP38" s="25"/>
      <c r="BQ38" s="25"/>
      <c r="BR38" s="25"/>
      <c r="BS38" s="25"/>
      <c r="BT38" s="25"/>
      <c r="BU38" s="25"/>
      <c r="BV38" s="25"/>
      <c r="BW38" s="25"/>
      <c r="BX38" s="25"/>
      <c r="BY38" s="25"/>
      <c r="BZ38" s="25"/>
      <c r="CA38" s="25"/>
      <c r="CB38" s="25"/>
    </row>
    <row r="39" spans="2:80" x14ac:dyDescent="0.2">
      <c r="AS39" s="206"/>
      <c r="AT39" s="25"/>
      <c r="AU39" s="25"/>
      <c r="AV39" s="25"/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M39" s="206"/>
      <c r="BN39" s="25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/>
      <c r="BZ39" s="25"/>
      <c r="CA39" s="25"/>
      <c r="CB39" s="25"/>
    </row>
    <row r="40" spans="2:80" ht="112" x14ac:dyDescent="0.2">
      <c r="AS40" s="260"/>
      <c r="AT40" s="207" t="s">
        <v>415</v>
      </c>
      <c r="AU40" s="207" t="s">
        <v>416</v>
      </c>
      <c r="AV40" s="207" t="s">
        <v>417</v>
      </c>
      <c r="AW40" s="207" t="s">
        <v>565</v>
      </c>
      <c r="AX40" s="207" t="s">
        <v>544</v>
      </c>
      <c r="AY40" s="207" t="s">
        <v>543</v>
      </c>
      <c r="AZ40" s="207" t="s">
        <v>443</v>
      </c>
      <c r="BA40" s="207" t="s">
        <v>440</v>
      </c>
      <c r="BB40" s="207" t="s">
        <v>458</v>
      </c>
      <c r="BC40" s="207" t="s">
        <v>441</v>
      </c>
      <c r="BD40" s="207" t="s">
        <v>436</v>
      </c>
      <c r="BE40" s="207" t="s">
        <v>672</v>
      </c>
      <c r="BF40" s="207" t="s">
        <v>675</v>
      </c>
      <c r="BG40" s="207" t="s">
        <v>81</v>
      </c>
      <c r="BH40" s="207" t="s">
        <v>427</v>
      </c>
      <c r="BM40" s="206"/>
      <c r="BN40" s="25"/>
      <c r="BO40" s="25"/>
      <c r="BP40" s="25"/>
      <c r="BQ40" s="25"/>
      <c r="BR40" s="25"/>
      <c r="BS40" s="25"/>
      <c r="BT40" s="25"/>
      <c r="BU40" s="25"/>
      <c r="BV40" s="25"/>
      <c r="BW40" s="25"/>
      <c r="BX40" s="25"/>
      <c r="BY40" s="25"/>
      <c r="BZ40" s="25"/>
      <c r="CA40" s="25"/>
      <c r="CB40" s="25"/>
    </row>
    <row r="41" spans="2:80" x14ac:dyDescent="0.2">
      <c r="AS41" s="204" t="s">
        <v>423</v>
      </c>
      <c r="AT41" s="284">
        <f>AT85</f>
        <v>109233.7126431732</v>
      </c>
      <c r="AU41" s="284">
        <f t="shared" ref="AU41:BH41" si="0">AU85</f>
        <v>0</v>
      </c>
      <c r="AV41" s="284">
        <f t="shared" si="0"/>
        <v>0</v>
      </c>
      <c r="AW41" s="284">
        <f t="shared" si="0"/>
        <v>0</v>
      </c>
      <c r="AX41" s="284">
        <f t="shared" si="0"/>
        <v>0</v>
      </c>
      <c r="AY41" s="284">
        <f t="shared" si="0"/>
        <v>0</v>
      </c>
      <c r="AZ41" s="284">
        <f t="shared" si="0"/>
        <v>0</v>
      </c>
      <c r="BA41" s="284">
        <f t="shared" si="0"/>
        <v>0</v>
      </c>
      <c r="BB41" s="284">
        <f t="shared" si="0"/>
        <v>0</v>
      </c>
      <c r="BC41" s="284">
        <f t="shared" si="0"/>
        <v>0</v>
      </c>
      <c r="BD41" s="284">
        <f t="shared" si="0"/>
        <v>0</v>
      </c>
      <c r="BE41" s="284">
        <f t="shared" si="0"/>
        <v>0</v>
      </c>
      <c r="BF41" s="284">
        <f>BF85</f>
        <v>0</v>
      </c>
      <c r="BG41" s="284">
        <f t="shared" si="0"/>
        <v>0</v>
      </c>
      <c r="BH41" s="284">
        <f t="shared" si="0"/>
        <v>0</v>
      </c>
      <c r="BM41" s="206"/>
      <c r="BN41" s="25"/>
      <c r="BO41" s="25"/>
      <c r="BP41" s="25"/>
      <c r="BQ41" s="25"/>
      <c r="BR41" s="25"/>
      <c r="BS41" s="25"/>
      <c r="BT41" s="25"/>
      <c r="BU41" s="25"/>
      <c r="BV41" s="25"/>
      <c r="BW41" s="25"/>
      <c r="BX41" s="25"/>
      <c r="BY41" s="25"/>
      <c r="BZ41" s="25"/>
      <c r="CA41" s="25"/>
      <c r="CB41" s="25"/>
    </row>
    <row r="42" spans="2:80" x14ac:dyDescent="0.2">
      <c r="AS42" s="204" t="s">
        <v>425</v>
      </c>
      <c r="AT42" s="284">
        <f t="shared" ref="AT42:AT75" si="1">AT86</f>
        <v>0</v>
      </c>
      <c r="AU42" s="284">
        <f t="shared" ref="AU42:BH42" si="2">AU86</f>
        <v>25394.240916408646</v>
      </c>
      <c r="AV42" s="284">
        <f t="shared" si="2"/>
        <v>0</v>
      </c>
      <c r="AW42" s="284">
        <f t="shared" si="2"/>
        <v>0</v>
      </c>
      <c r="AX42" s="284">
        <f t="shared" si="2"/>
        <v>0</v>
      </c>
      <c r="AY42" s="284">
        <f t="shared" si="2"/>
        <v>0</v>
      </c>
      <c r="AZ42" s="284">
        <f t="shared" si="2"/>
        <v>0</v>
      </c>
      <c r="BA42" s="284">
        <f t="shared" si="2"/>
        <v>0</v>
      </c>
      <c r="BB42" s="284">
        <f t="shared" si="2"/>
        <v>0</v>
      </c>
      <c r="BC42" s="284">
        <f t="shared" si="2"/>
        <v>0</v>
      </c>
      <c r="BD42" s="284">
        <f t="shared" si="2"/>
        <v>0</v>
      </c>
      <c r="BE42" s="284">
        <f t="shared" si="2"/>
        <v>0</v>
      </c>
      <c r="BF42" s="284">
        <f t="shared" si="2"/>
        <v>0</v>
      </c>
      <c r="BG42" s="284">
        <f t="shared" si="2"/>
        <v>0</v>
      </c>
      <c r="BH42" s="284">
        <f t="shared" si="2"/>
        <v>0</v>
      </c>
      <c r="BM42" s="206"/>
      <c r="BN42" s="25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  <c r="BZ42" s="25"/>
      <c r="CA42" s="25"/>
      <c r="CB42" s="25"/>
    </row>
    <row r="43" spans="2:80" x14ac:dyDescent="0.2">
      <c r="AS43" s="204" t="s">
        <v>426</v>
      </c>
      <c r="AT43" s="284">
        <f t="shared" si="1"/>
        <v>0</v>
      </c>
      <c r="AU43" s="284">
        <f t="shared" ref="AU43:BH43" si="3">AU87</f>
        <v>0</v>
      </c>
      <c r="AV43" s="284">
        <f t="shared" si="3"/>
        <v>8753719.7068998404</v>
      </c>
      <c r="AW43" s="284">
        <f t="shared" si="3"/>
        <v>0</v>
      </c>
      <c r="AX43" s="284">
        <f t="shared" si="3"/>
        <v>0</v>
      </c>
      <c r="AY43" s="284">
        <f t="shared" si="3"/>
        <v>0</v>
      </c>
      <c r="AZ43" s="284">
        <f t="shared" si="3"/>
        <v>0</v>
      </c>
      <c r="BA43" s="284">
        <f t="shared" si="3"/>
        <v>0</v>
      </c>
      <c r="BB43" s="284">
        <f t="shared" si="3"/>
        <v>0</v>
      </c>
      <c r="BC43" s="284">
        <f t="shared" si="3"/>
        <v>0</v>
      </c>
      <c r="BD43" s="284">
        <f t="shared" si="3"/>
        <v>0</v>
      </c>
      <c r="BE43" s="284">
        <f t="shared" si="3"/>
        <v>0</v>
      </c>
      <c r="BF43" s="284">
        <f t="shared" si="3"/>
        <v>0</v>
      </c>
      <c r="BG43" s="284">
        <f t="shared" si="3"/>
        <v>0</v>
      </c>
      <c r="BH43" s="284">
        <f t="shared" si="3"/>
        <v>0</v>
      </c>
      <c r="BM43" s="206"/>
      <c r="BN43" s="25"/>
      <c r="BO43" s="25"/>
      <c r="BP43" s="25"/>
      <c r="BQ43" s="25"/>
      <c r="BR43" s="25"/>
      <c r="BS43" s="25"/>
      <c r="BT43" s="25"/>
      <c r="BU43" s="25"/>
      <c r="BV43" s="25"/>
      <c r="BW43" s="25"/>
      <c r="BX43" s="25"/>
      <c r="BY43" s="25"/>
      <c r="BZ43" s="25"/>
      <c r="CA43" s="25"/>
      <c r="CB43" s="25"/>
    </row>
    <row r="44" spans="2:80" x14ac:dyDescent="0.2">
      <c r="AS44" s="204" t="s">
        <v>447</v>
      </c>
      <c r="AT44" s="284">
        <f t="shared" si="1"/>
        <v>236.0188688118763</v>
      </c>
      <c r="AU44" s="284">
        <f t="shared" ref="AU44:BH44" si="4">AU88</f>
        <v>0.70761030268572533</v>
      </c>
      <c r="AV44" s="284">
        <f t="shared" si="4"/>
        <v>56.138829759567599</v>
      </c>
      <c r="AW44" s="284">
        <f t="shared" si="4"/>
        <v>0</v>
      </c>
      <c r="AX44" s="284">
        <f t="shared" si="4"/>
        <v>0</v>
      </c>
      <c r="AY44" s="284">
        <f t="shared" si="4"/>
        <v>0</v>
      </c>
      <c r="AZ44" s="284">
        <f t="shared" si="4"/>
        <v>0</v>
      </c>
      <c r="BA44" s="284">
        <f t="shared" si="4"/>
        <v>0</v>
      </c>
      <c r="BB44" s="284">
        <f t="shared" si="4"/>
        <v>0</v>
      </c>
      <c r="BC44" s="284">
        <f t="shared" si="4"/>
        <v>9183.7711365934829</v>
      </c>
      <c r="BD44" s="284">
        <f t="shared" si="4"/>
        <v>4359.9448543333856</v>
      </c>
      <c r="BE44" s="284">
        <f t="shared" si="4"/>
        <v>0</v>
      </c>
      <c r="BF44" s="284">
        <f t="shared" si="4"/>
        <v>0</v>
      </c>
      <c r="BG44" s="284">
        <f t="shared" si="4"/>
        <v>0</v>
      </c>
      <c r="BH44" s="284">
        <f t="shared" si="4"/>
        <v>23611.293462025522</v>
      </c>
      <c r="BM44" s="206"/>
      <c r="BN44" s="25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  <c r="BZ44" s="25"/>
      <c r="CA44" s="25"/>
      <c r="CB44" s="25"/>
    </row>
    <row r="45" spans="2:80" x14ac:dyDescent="0.2">
      <c r="AS45" s="204" t="s">
        <v>477</v>
      </c>
      <c r="AT45" s="284">
        <f t="shared" si="1"/>
        <v>0</v>
      </c>
      <c r="AU45" s="284">
        <f t="shared" ref="AU45:BH45" si="5">AU89</f>
        <v>0</v>
      </c>
      <c r="AV45" s="284">
        <f t="shared" si="5"/>
        <v>0</v>
      </c>
      <c r="AW45" s="284">
        <f t="shared" si="5"/>
        <v>0</v>
      </c>
      <c r="AX45" s="284">
        <f t="shared" si="5"/>
        <v>0</v>
      </c>
      <c r="AY45" s="284">
        <f t="shared" si="5"/>
        <v>0</v>
      </c>
      <c r="AZ45" s="284">
        <f t="shared" si="5"/>
        <v>0</v>
      </c>
      <c r="BA45" s="284">
        <f t="shared" si="5"/>
        <v>0</v>
      </c>
      <c r="BB45" s="284">
        <f t="shared" si="5"/>
        <v>0</v>
      </c>
      <c r="BC45" s="284">
        <f t="shared" si="5"/>
        <v>1078370532.5161049</v>
      </c>
      <c r="BD45" s="284">
        <f t="shared" si="5"/>
        <v>879540.87913658854</v>
      </c>
      <c r="BE45" s="284">
        <f t="shared" si="5"/>
        <v>0</v>
      </c>
      <c r="BF45" s="284">
        <f t="shared" si="5"/>
        <v>0</v>
      </c>
      <c r="BG45" s="284">
        <f t="shared" si="5"/>
        <v>0</v>
      </c>
      <c r="BH45" s="284">
        <f t="shared" si="5"/>
        <v>2321518.855933811</v>
      </c>
      <c r="BM45" s="206"/>
      <c r="BN45" s="25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  <c r="BZ45" s="25"/>
      <c r="CA45" s="25"/>
      <c r="CB45" s="25"/>
    </row>
    <row r="46" spans="2:80" x14ac:dyDescent="0.2">
      <c r="AS46" s="204" t="s">
        <v>576</v>
      </c>
      <c r="AT46" s="284">
        <f t="shared" si="1"/>
        <v>94146.207140653787</v>
      </c>
      <c r="AU46" s="284">
        <f t="shared" ref="AU46:BH46" si="6">AU90</f>
        <v>257.99399332425372</v>
      </c>
      <c r="AV46" s="284">
        <f t="shared" si="6"/>
        <v>22393.370164784887</v>
      </c>
      <c r="AW46" s="284">
        <f t="shared" si="6"/>
        <v>0</v>
      </c>
      <c r="AX46" s="284">
        <f t="shared" si="6"/>
        <v>0</v>
      </c>
      <c r="AY46" s="284">
        <f t="shared" si="6"/>
        <v>0</v>
      </c>
      <c r="AZ46" s="284">
        <f t="shared" si="6"/>
        <v>0</v>
      </c>
      <c r="BA46" s="284">
        <f t="shared" si="6"/>
        <v>0</v>
      </c>
      <c r="BB46" s="284">
        <f t="shared" si="6"/>
        <v>0</v>
      </c>
      <c r="BC46" s="284">
        <f t="shared" si="6"/>
        <v>0</v>
      </c>
      <c r="BD46" s="284">
        <f t="shared" si="6"/>
        <v>0</v>
      </c>
      <c r="BE46" s="284">
        <f t="shared" si="6"/>
        <v>0</v>
      </c>
      <c r="BF46" s="284">
        <f t="shared" si="6"/>
        <v>0</v>
      </c>
      <c r="BG46" s="284">
        <f t="shared" si="6"/>
        <v>0</v>
      </c>
      <c r="BH46" s="284">
        <f t="shared" si="6"/>
        <v>0</v>
      </c>
      <c r="BM46" s="206"/>
      <c r="BN46" s="25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  <c r="BZ46" s="25"/>
      <c r="CA46" s="25"/>
      <c r="CB46" s="25"/>
    </row>
    <row r="47" spans="2:80" x14ac:dyDescent="0.2">
      <c r="AS47" s="204" t="s">
        <v>577</v>
      </c>
      <c r="AT47" s="284">
        <f t="shared" si="1"/>
        <v>0</v>
      </c>
      <c r="AU47" s="284">
        <f t="shared" ref="AU47:BH47" si="7">AU91</f>
        <v>24.076233417548465</v>
      </c>
      <c r="AV47" s="284">
        <f t="shared" si="7"/>
        <v>0</v>
      </c>
      <c r="AW47" s="284">
        <f t="shared" si="7"/>
        <v>0</v>
      </c>
      <c r="AX47" s="284">
        <f t="shared" si="7"/>
        <v>0</v>
      </c>
      <c r="AY47" s="284">
        <f t="shared" si="7"/>
        <v>0</v>
      </c>
      <c r="AZ47" s="284">
        <f t="shared" si="7"/>
        <v>0</v>
      </c>
      <c r="BA47" s="284">
        <f t="shared" si="7"/>
        <v>0</v>
      </c>
      <c r="BB47" s="284">
        <f t="shared" si="7"/>
        <v>0</v>
      </c>
      <c r="BC47" s="284">
        <f t="shared" si="7"/>
        <v>0</v>
      </c>
      <c r="BD47" s="284">
        <f t="shared" si="7"/>
        <v>0</v>
      </c>
      <c r="BE47" s="284">
        <f t="shared" si="7"/>
        <v>0</v>
      </c>
      <c r="BF47" s="284">
        <f t="shared" si="7"/>
        <v>0</v>
      </c>
      <c r="BG47" s="284">
        <f t="shared" si="7"/>
        <v>0</v>
      </c>
      <c r="BH47" s="284">
        <f t="shared" si="7"/>
        <v>0</v>
      </c>
      <c r="BM47" s="206"/>
      <c r="BN47" s="25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  <c r="BZ47" s="25"/>
      <c r="CA47" s="25"/>
      <c r="CB47" s="25"/>
    </row>
    <row r="48" spans="2:80" x14ac:dyDescent="0.2">
      <c r="AS48" s="204" t="s">
        <v>519</v>
      </c>
      <c r="AT48" s="284">
        <f t="shared" si="1"/>
        <v>0</v>
      </c>
      <c r="AU48" s="284">
        <f t="shared" ref="AU48:BH48" si="8">AU92</f>
        <v>0</v>
      </c>
      <c r="AV48" s="284">
        <f t="shared" si="8"/>
        <v>0</v>
      </c>
      <c r="AW48" s="284">
        <f t="shared" si="8"/>
        <v>0</v>
      </c>
      <c r="AX48" s="284">
        <f t="shared" si="8"/>
        <v>0</v>
      </c>
      <c r="AY48" s="284">
        <f t="shared" si="8"/>
        <v>0</v>
      </c>
      <c r="AZ48" s="284">
        <f t="shared" si="8"/>
        <v>0</v>
      </c>
      <c r="BA48" s="284">
        <f t="shared" si="8"/>
        <v>0</v>
      </c>
      <c r="BB48" s="284">
        <f t="shared" si="8"/>
        <v>0</v>
      </c>
      <c r="BC48" s="284">
        <f t="shared" si="8"/>
        <v>0</v>
      </c>
      <c r="BD48" s="284">
        <f t="shared" si="8"/>
        <v>0</v>
      </c>
      <c r="BE48" s="284">
        <f t="shared" si="8"/>
        <v>0</v>
      </c>
      <c r="BF48" s="284">
        <f t="shared" si="8"/>
        <v>0</v>
      </c>
      <c r="BG48" s="284">
        <f t="shared" si="8"/>
        <v>0</v>
      </c>
      <c r="BH48" s="284">
        <f t="shared" si="8"/>
        <v>206840.02835429934</v>
      </c>
      <c r="BM48" s="206"/>
      <c r="BN48" s="25"/>
      <c r="BO48" s="25"/>
      <c r="BP48" s="25"/>
      <c r="BQ48" s="25"/>
      <c r="BR48" s="25"/>
      <c r="BS48" s="25"/>
      <c r="BT48" s="25"/>
      <c r="BU48" s="25"/>
      <c r="BV48" s="25"/>
      <c r="BW48" s="25"/>
      <c r="BX48" s="25"/>
      <c r="BY48" s="25"/>
      <c r="BZ48" s="25"/>
      <c r="CA48" s="25"/>
      <c r="CB48" s="25"/>
    </row>
    <row r="49" spans="45:80" x14ac:dyDescent="0.2">
      <c r="AS49" s="204" t="s">
        <v>569</v>
      </c>
      <c r="AT49" s="284">
        <f t="shared" si="1"/>
        <v>0</v>
      </c>
      <c r="AU49" s="284">
        <f t="shared" ref="AU49:BH49" si="9">AU93</f>
        <v>0</v>
      </c>
      <c r="AV49" s="284">
        <f t="shared" si="9"/>
        <v>77449.427901236573</v>
      </c>
      <c r="AW49" s="284">
        <f t="shared" si="9"/>
        <v>609792.2517593482</v>
      </c>
      <c r="AX49" s="284">
        <f t="shared" si="9"/>
        <v>2824.8856477449194</v>
      </c>
      <c r="AY49" s="284">
        <f t="shared" si="9"/>
        <v>160253.43323591491</v>
      </c>
      <c r="AZ49" s="284">
        <f t="shared" si="9"/>
        <v>12626.098826338684</v>
      </c>
      <c r="BA49" s="284">
        <f t="shared" si="9"/>
        <v>34.678095164114971</v>
      </c>
      <c r="BB49" s="284">
        <f t="shared" si="9"/>
        <v>28604.157765782104</v>
      </c>
      <c r="BC49" s="284">
        <f t="shared" si="9"/>
        <v>0</v>
      </c>
      <c r="BD49" s="284">
        <f t="shared" si="9"/>
        <v>0</v>
      </c>
      <c r="BE49" s="284">
        <f t="shared" si="9"/>
        <v>50099.526545856235</v>
      </c>
      <c r="BF49" s="284">
        <f t="shared" si="9"/>
        <v>0</v>
      </c>
      <c r="BG49" s="284">
        <f t="shared" si="9"/>
        <v>0</v>
      </c>
      <c r="BH49" s="284">
        <f t="shared" si="9"/>
        <v>317844.87395625591</v>
      </c>
      <c r="BM49" s="206"/>
      <c r="BN49" s="25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  <c r="BZ49" s="25"/>
      <c r="CA49" s="25"/>
      <c r="CB49" s="25"/>
    </row>
    <row r="50" spans="45:80" ht="16" x14ac:dyDescent="0.2">
      <c r="AS50" s="205" t="s">
        <v>551</v>
      </c>
      <c r="AT50" s="284">
        <f t="shared" si="1"/>
        <v>0</v>
      </c>
      <c r="AU50" s="284">
        <f t="shared" ref="AU50:BH50" si="10">AU94</f>
        <v>0</v>
      </c>
      <c r="AV50" s="284">
        <f t="shared" si="10"/>
        <v>0</v>
      </c>
      <c r="AW50" s="284">
        <f t="shared" si="10"/>
        <v>109233.7126431732</v>
      </c>
      <c r="AX50" s="284">
        <f t="shared" si="10"/>
        <v>0</v>
      </c>
      <c r="AY50" s="284">
        <f t="shared" si="10"/>
        <v>0</v>
      </c>
      <c r="AZ50" s="284">
        <f t="shared" si="10"/>
        <v>0</v>
      </c>
      <c r="BA50" s="284">
        <f t="shared" si="10"/>
        <v>0</v>
      </c>
      <c r="BB50" s="284">
        <f t="shared" si="10"/>
        <v>0</v>
      </c>
      <c r="BC50" s="284">
        <f t="shared" si="10"/>
        <v>0</v>
      </c>
      <c r="BD50" s="284">
        <f t="shared" si="10"/>
        <v>0</v>
      </c>
      <c r="BE50" s="284">
        <f t="shared" si="10"/>
        <v>0</v>
      </c>
      <c r="BF50" s="284">
        <f t="shared" si="10"/>
        <v>0</v>
      </c>
      <c r="BG50" s="284">
        <f t="shared" si="10"/>
        <v>0</v>
      </c>
      <c r="BH50" s="284">
        <f t="shared" si="10"/>
        <v>0</v>
      </c>
      <c r="BM50" s="206"/>
      <c r="BN50" s="25"/>
      <c r="BO50" s="25"/>
      <c r="BP50" s="25"/>
      <c r="BQ50" s="25"/>
      <c r="BR50" s="25"/>
      <c r="BS50" s="25"/>
      <c r="BT50" s="25"/>
      <c r="BU50" s="25"/>
      <c r="BV50" s="25"/>
      <c r="BW50" s="25"/>
      <c r="BX50" s="25"/>
      <c r="BY50" s="25"/>
      <c r="BZ50" s="25"/>
      <c r="CA50" s="25"/>
      <c r="CB50" s="25"/>
    </row>
    <row r="51" spans="45:80" x14ac:dyDescent="0.2">
      <c r="AS51" s="204" t="s">
        <v>517</v>
      </c>
      <c r="AT51" s="284">
        <f t="shared" si="1"/>
        <v>0</v>
      </c>
      <c r="AU51" s="284">
        <f t="shared" ref="AU51:BH51" si="11">AU95</f>
        <v>0</v>
      </c>
      <c r="AV51" s="284">
        <f t="shared" si="11"/>
        <v>0</v>
      </c>
      <c r="AW51" s="284">
        <f t="shared" si="11"/>
        <v>0</v>
      </c>
      <c r="AX51" s="284">
        <f t="shared" si="11"/>
        <v>0</v>
      </c>
      <c r="AY51" s="284">
        <f t="shared" si="11"/>
        <v>0</v>
      </c>
      <c r="AZ51" s="284">
        <f t="shared" si="11"/>
        <v>0</v>
      </c>
      <c r="BA51" s="284">
        <f t="shared" si="11"/>
        <v>0</v>
      </c>
      <c r="BB51" s="284">
        <f t="shared" si="11"/>
        <v>0</v>
      </c>
      <c r="BC51" s="284">
        <f t="shared" si="11"/>
        <v>0</v>
      </c>
      <c r="BD51" s="284">
        <f t="shared" si="11"/>
        <v>0</v>
      </c>
      <c r="BE51" s="284">
        <f t="shared" si="11"/>
        <v>0</v>
      </c>
      <c r="BF51" s="284">
        <f t="shared" si="11"/>
        <v>0</v>
      </c>
      <c r="BG51" s="284">
        <f t="shared" si="11"/>
        <v>0</v>
      </c>
      <c r="BH51" s="284">
        <f t="shared" si="11"/>
        <v>0</v>
      </c>
      <c r="BM51" s="206"/>
      <c r="BN51" s="25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  <c r="BZ51" s="25"/>
      <c r="CA51" s="25"/>
      <c r="CB51" s="25"/>
    </row>
    <row r="52" spans="45:80" ht="16" x14ac:dyDescent="0.2">
      <c r="AS52" s="205" t="s">
        <v>520</v>
      </c>
      <c r="AT52" s="284">
        <f t="shared" si="1"/>
        <v>0</v>
      </c>
      <c r="AU52" s="284">
        <f t="shared" ref="AU52:BH52" si="12">AU96</f>
        <v>0</v>
      </c>
      <c r="AV52" s="284">
        <f t="shared" si="12"/>
        <v>0</v>
      </c>
      <c r="AW52" s="284">
        <f t="shared" si="12"/>
        <v>0</v>
      </c>
      <c r="AX52" s="284">
        <f t="shared" si="12"/>
        <v>25394.240916408646</v>
      </c>
      <c r="AY52" s="284">
        <f t="shared" si="12"/>
        <v>0</v>
      </c>
      <c r="AZ52" s="284">
        <f t="shared" si="12"/>
        <v>0</v>
      </c>
      <c r="BA52" s="284">
        <f t="shared" si="12"/>
        <v>0</v>
      </c>
      <c r="BB52" s="284">
        <f t="shared" si="12"/>
        <v>0</v>
      </c>
      <c r="BC52" s="284">
        <f t="shared" si="12"/>
        <v>0</v>
      </c>
      <c r="BD52" s="284">
        <f t="shared" si="12"/>
        <v>0</v>
      </c>
      <c r="BE52" s="284">
        <f t="shared" si="12"/>
        <v>0</v>
      </c>
      <c r="BF52" s="284">
        <f t="shared" si="12"/>
        <v>0</v>
      </c>
      <c r="BG52" s="284">
        <f t="shared" si="12"/>
        <v>0</v>
      </c>
      <c r="BH52" s="284">
        <f t="shared" si="12"/>
        <v>0</v>
      </c>
      <c r="BM52" s="206"/>
      <c r="BN52" s="25"/>
      <c r="BO52" s="25"/>
      <c r="BP52" s="25"/>
      <c r="BQ52" s="25"/>
      <c r="BR52" s="25"/>
      <c r="BS52" s="25"/>
      <c r="BT52" s="25"/>
      <c r="BU52" s="25"/>
      <c r="BV52" s="25"/>
      <c r="BW52" s="25"/>
      <c r="BX52" s="25"/>
      <c r="BY52" s="25"/>
      <c r="BZ52" s="25"/>
      <c r="CA52" s="25"/>
      <c r="CB52" s="25"/>
    </row>
    <row r="53" spans="45:80" x14ac:dyDescent="0.2">
      <c r="AS53" s="204" t="s">
        <v>546</v>
      </c>
      <c r="AT53" s="284">
        <f t="shared" si="1"/>
        <v>0</v>
      </c>
      <c r="AU53" s="284">
        <f t="shared" ref="AU53:BH53" si="13">AU97</f>
        <v>0</v>
      </c>
      <c r="AV53" s="284">
        <f t="shared" si="13"/>
        <v>0</v>
      </c>
      <c r="AW53" s="284">
        <f t="shared" si="13"/>
        <v>0</v>
      </c>
      <c r="AX53" s="284">
        <f t="shared" si="13"/>
        <v>0</v>
      </c>
      <c r="AY53" s="284">
        <f t="shared" si="13"/>
        <v>0</v>
      </c>
      <c r="AZ53" s="284">
        <f t="shared" si="13"/>
        <v>0</v>
      </c>
      <c r="BA53" s="284">
        <f t="shared" si="13"/>
        <v>0</v>
      </c>
      <c r="BB53" s="284">
        <f t="shared" si="13"/>
        <v>0</v>
      </c>
      <c r="BC53" s="284">
        <f t="shared" si="13"/>
        <v>0</v>
      </c>
      <c r="BD53" s="284">
        <f t="shared" si="13"/>
        <v>0</v>
      </c>
      <c r="BE53" s="284">
        <f t="shared" si="13"/>
        <v>0</v>
      </c>
      <c r="BF53" s="284">
        <f t="shared" si="13"/>
        <v>0</v>
      </c>
      <c r="BG53" s="284">
        <f t="shared" si="13"/>
        <v>0</v>
      </c>
      <c r="BH53" s="284">
        <f t="shared" si="13"/>
        <v>0</v>
      </c>
      <c r="BM53" s="206"/>
      <c r="BN53" s="25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  <c r="BZ53" s="25"/>
      <c r="CA53" s="25"/>
      <c r="CB53" s="25"/>
    </row>
    <row r="54" spans="45:80" x14ac:dyDescent="0.2">
      <c r="AS54" s="206" t="s">
        <v>538</v>
      </c>
      <c r="AT54" s="284">
        <f t="shared" si="1"/>
        <v>0</v>
      </c>
      <c r="AU54" s="284">
        <f t="shared" ref="AU54:BH54" si="14">AU98</f>
        <v>0</v>
      </c>
      <c r="AV54" s="284">
        <f t="shared" si="14"/>
        <v>0</v>
      </c>
      <c r="AW54" s="284">
        <f t="shared" si="14"/>
        <v>0</v>
      </c>
      <c r="AX54" s="284">
        <f t="shared" si="14"/>
        <v>0</v>
      </c>
      <c r="AY54" s="284">
        <f t="shared" si="14"/>
        <v>8753719.7068998404</v>
      </c>
      <c r="AZ54" s="284">
        <f t="shared" si="14"/>
        <v>0</v>
      </c>
      <c r="BA54" s="284">
        <f t="shared" si="14"/>
        <v>0</v>
      </c>
      <c r="BB54" s="284">
        <f t="shared" si="14"/>
        <v>0</v>
      </c>
      <c r="BC54" s="284">
        <f t="shared" si="14"/>
        <v>0</v>
      </c>
      <c r="BD54" s="284">
        <f t="shared" si="14"/>
        <v>0</v>
      </c>
      <c r="BE54" s="284">
        <f t="shared" si="14"/>
        <v>0</v>
      </c>
      <c r="BF54" s="284">
        <f t="shared" si="14"/>
        <v>0</v>
      </c>
      <c r="BG54" s="284">
        <f t="shared" si="14"/>
        <v>0</v>
      </c>
      <c r="BH54" s="284">
        <f t="shared" si="14"/>
        <v>0</v>
      </c>
      <c r="BM54" s="206"/>
      <c r="BN54" s="25"/>
      <c r="BO54" s="25"/>
      <c r="BP54" s="25"/>
      <c r="BQ54" s="25"/>
      <c r="BR54" s="25"/>
      <c r="BS54" s="25"/>
      <c r="BT54" s="25"/>
      <c r="BU54" s="25"/>
      <c r="BV54" s="25"/>
      <c r="BW54" s="25"/>
      <c r="BX54" s="25"/>
      <c r="BY54" s="25"/>
      <c r="BZ54" s="25"/>
      <c r="CA54" s="25"/>
      <c r="CB54" s="25"/>
    </row>
    <row r="55" spans="45:80" x14ac:dyDescent="0.2">
      <c r="AS55" s="204" t="s">
        <v>524</v>
      </c>
      <c r="AT55" s="284">
        <f t="shared" si="1"/>
        <v>0</v>
      </c>
      <c r="AU55" s="284">
        <f t="shared" ref="AU55:BH55" si="15">AU99</f>
        <v>0</v>
      </c>
      <c r="AV55" s="284">
        <f t="shared" si="15"/>
        <v>0</v>
      </c>
      <c r="AW55" s="284">
        <f t="shared" si="15"/>
        <v>0</v>
      </c>
      <c r="AX55" s="284">
        <f t="shared" si="15"/>
        <v>0</v>
      </c>
      <c r="AY55" s="284">
        <f t="shared" si="15"/>
        <v>0</v>
      </c>
      <c r="AZ55" s="284">
        <f t="shared" si="15"/>
        <v>0</v>
      </c>
      <c r="BA55" s="284">
        <f t="shared" si="15"/>
        <v>0</v>
      </c>
      <c r="BB55" s="284">
        <f t="shared" si="15"/>
        <v>0</v>
      </c>
      <c r="BC55" s="284">
        <f t="shared" si="15"/>
        <v>0</v>
      </c>
      <c r="BD55" s="284">
        <f t="shared" si="15"/>
        <v>0</v>
      </c>
      <c r="BE55" s="284">
        <f t="shared" si="15"/>
        <v>0</v>
      </c>
      <c r="BF55" s="284">
        <f t="shared" si="15"/>
        <v>0</v>
      </c>
      <c r="BG55" s="284">
        <f t="shared" si="15"/>
        <v>0</v>
      </c>
      <c r="BH55" s="284">
        <f t="shared" si="15"/>
        <v>0</v>
      </c>
      <c r="BM55" s="206"/>
      <c r="BN55" s="25"/>
      <c r="BO55" s="25"/>
      <c r="BP55" s="25"/>
      <c r="BQ55" s="25"/>
      <c r="BR55" s="25"/>
      <c r="BS55" s="25"/>
      <c r="BT55" s="25"/>
      <c r="BU55" s="25"/>
      <c r="BV55" s="25"/>
      <c r="BW55" s="25"/>
      <c r="BX55" s="25"/>
      <c r="BY55" s="25"/>
      <c r="BZ55" s="25"/>
      <c r="CA55" s="25"/>
      <c r="CB55" s="25"/>
    </row>
    <row r="56" spans="45:80" ht="16" x14ac:dyDescent="0.2">
      <c r="AS56" s="205" t="s">
        <v>550</v>
      </c>
      <c r="AT56" s="284">
        <f t="shared" si="1"/>
        <v>0</v>
      </c>
      <c r="AU56" s="284">
        <f t="shared" ref="AU56:BH56" si="16">AU100</f>
        <v>0</v>
      </c>
      <c r="AV56" s="284">
        <f t="shared" si="16"/>
        <v>0</v>
      </c>
      <c r="AW56" s="284">
        <f t="shared" si="16"/>
        <v>0</v>
      </c>
      <c r="AX56" s="284">
        <f t="shared" si="16"/>
        <v>0</v>
      </c>
      <c r="AY56" s="284">
        <f t="shared" si="16"/>
        <v>0</v>
      </c>
      <c r="AZ56" s="284">
        <f t="shared" si="16"/>
        <v>109233.7126431732</v>
      </c>
      <c r="BA56" s="284">
        <f t="shared" si="16"/>
        <v>0</v>
      </c>
      <c r="BB56" s="284">
        <f t="shared" si="16"/>
        <v>0</v>
      </c>
      <c r="BC56" s="284">
        <f t="shared" si="16"/>
        <v>0</v>
      </c>
      <c r="BD56" s="284">
        <f t="shared" si="16"/>
        <v>0</v>
      </c>
      <c r="BE56" s="284">
        <f t="shared" si="16"/>
        <v>0</v>
      </c>
      <c r="BF56" s="284">
        <f t="shared" si="16"/>
        <v>0</v>
      </c>
      <c r="BG56" s="284">
        <f t="shared" si="16"/>
        <v>0</v>
      </c>
      <c r="BH56" s="284">
        <f t="shared" si="16"/>
        <v>0</v>
      </c>
      <c r="BM56" s="206"/>
      <c r="BN56" s="25"/>
      <c r="BO56" s="25"/>
      <c r="BP56" s="25"/>
      <c r="BQ56" s="25"/>
      <c r="BR56" s="25"/>
      <c r="BS56" s="25"/>
      <c r="BT56" s="25"/>
      <c r="BU56" s="25"/>
      <c r="BV56" s="25"/>
      <c r="BW56" s="25"/>
      <c r="BX56" s="25"/>
      <c r="BY56" s="25"/>
      <c r="BZ56" s="25"/>
      <c r="CA56" s="25"/>
      <c r="CB56" s="25"/>
    </row>
    <row r="57" spans="45:80" ht="16" x14ac:dyDescent="0.2">
      <c r="AS57" s="205" t="s">
        <v>545</v>
      </c>
      <c r="AT57" s="284">
        <f t="shared" si="1"/>
        <v>0</v>
      </c>
      <c r="AU57" s="284">
        <f t="shared" ref="AU57:BH57" si="17">AU101</f>
        <v>0</v>
      </c>
      <c r="AV57" s="284">
        <f t="shared" si="17"/>
        <v>0</v>
      </c>
      <c r="AW57" s="284">
        <f t="shared" si="17"/>
        <v>0</v>
      </c>
      <c r="AX57" s="284">
        <f t="shared" si="17"/>
        <v>0</v>
      </c>
      <c r="AY57" s="284">
        <f t="shared" si="17"/>
        <v>0</v>
      </c>
      <c r="AZ57" s="284">
        <f t="shared" si="17"/>
        <v>0</v>
      </c>
      <c r="BA57" s="284">
        <f t="shared" si="17"/>
        <v>25394.240916408646</v>
      </c>
      <c r="BB57" s="284">
        <f t="shared" si="17"/>
        <v>0</v>
      </c>
      <c r="BC57" s="284">
        <f t="shared" si="17"/>
        <v>0</v>
      </c>
      <c r="BD57" s="284">
        <f t="shared" si="17"/>
        <v>0</v>
      </c>
      <c r="BE57" s="284">
        <f t="shared" si="17"/>
        <v>0</v>
      </c>
      <c r="BF57" s="284">
        <f t="shared" si="17"/>
        <v>0</v>
      </c>
      <c r="BG57" s="284">
        <f t="shared" si="17"/>
        <v>0</v>
      </c>
      <c r="BH57" s="284">
        <f t="shared" si="17"/>
        <v>0</v>
      </c>
      <c r="BM57" s="206"/>
      <c r="BN57" s="25"/>
      <c r="BO57" s="25"/>
      <c r="BP57" s="25"/>
      <c r="BQ57" s="25"/>
      <c r="BR57" s="25"/>
      <c r="BS57" s="25"/>
      <c r="BT57" s="25"/>
      <c r="BU57" s="25"/>
      <c r="BV57" s="25"/>
      <c r="BW57" s="25"/>
      <c r="BX57" s="25"/>
      <c r="BY57" s="25"/>
      <c r="BZ57" s="25"/>
      <c r="CA57" s="25"/>
      <c r="CB57" s="25"/>
    </row>
    <row r="58" spans="45:80" ht="16" x14ac:dyDescent="0.2">
      <c r="AS58" s="205" t="s">
        <v>542</v>
      </c>
      <c r="AT58" s="284">
        <f t="shared" si="1"/>
        <v>0</v>
      </c>
      <c r="AU58" s="284">
        <f t="shared" ref="AU58:BH58" si="18">AU102</f>
        <v>0</v>
      </c>
      <c r="AV58" s="284">
        <f t="shared" si="18"/>
        <v>0</v>
      </c>
      <c r="AW58" s="284">
        <f t="shared" si="18"/>
        <v>0</v>
      </c>
      <c r="AX58" s="284">
        <f t="shared" si="18"/>
        <v>0</v>
      </c>
      <c r="AY58" s="284">
        <f t="shared" si="18"/>
        <v>0</v>
      </c>
      <c r="AZ58" s="284">
        <f t="shared" si="18"/>
        <v>0</v>
      </c>
      <c r="BA58" s="284">
        <f t="shared" si="18"/>
        <v>0</v>
      </c>
      <c r="BB58" s="284">
        <f t="shared" si="18"/>
        <v>8753719.7068998404</v>
      </c>
      <c r="BC58" s="284">
        <f t="shared" si="18"/>
        <v>0</v>
      </c>
      <c r="BD58" s="284">
        <f t="shared" si="18"/>
        <v>0</v>
      </c>
      <c r="BE58" s="284">
        <f t="shared" si="18"/>
        <v>0</v>
      </c>
      <c r="BF58" s="284">
        <f t="shared" si="18"/>
        <v>0</v>
      </c>
      <c r="BG58" s="284">
        <f t="shared" si="18"/>
        <v>0</v>
      </c>
      <c r="BH58" s="284">
        <f t="shared" si="18"/>
        <v>0</v>
      </c>
      <c r="BM58" s="206"/>
      <c r="BN58" s="25"/>
      <c r="BO58" s="25"/>
      <c r="BP58" s="25"/>
      <c r="BQ58" s="25"/>
      <c r="BR58" s="25"/>
      <c r="BS58" s="25"/>
      <c r="BT58" s="25"/>
      <c r="BU58" s="25"/>
      <c r="BV58" s="25"/>
      <c r="BW58" s="25"/>
      <c r="BX58" s="25"/>
      <c r="BY58" s="25"/>
      <c r="BZ58" s="25"/>
      <c r="CA58" s="25"/>
      <c r="CB58" s="25"/>
    </row>
    <row r="59" spans="45:80" ht="16" x14ac:dyDescent="0.2">
      <c r="AS59" s="205" t="s">
        <v>548</v>
      </c>
      <c r="AT59" s="284">
        <f t="shared" si="1"/>
        <v>0</v>
      </c>
      <c r="AU59" s="284">
        <f t="shared" ref="AU59:BH59" si="19">AU103</f>
        <v>0</v>
      </c>
      <c r="AV59" s="284">
        <f t="shared" si="19"/>
        <v>0</v>
      </c>
      <c r="AW59" s="284">
        <f t="shared" si="19"/>
        <v>0</v>
      </c>
      <c r="AX59" s="284">
        <f t="shared" si="19"/>
        <v>0</v>
      </c>
      <c r="AY59" s="284">
        <f t="shared" si="19"/>
        <v>0</v>
      </c>
      <c r="AZ59" s="284">
        <f t="shared" si="19"/>
        <v>0</v>
      </c>
      <c r="BA59" s="284">
        <f t="shared" si="19"/>
        <v>0</v>
      </c>
      <c r="BB59" s="284">
        <f t="shared" si="19"/>
        <v>0</v>
      </c>
      <c r="BC59" s="284">
        <f t="shared" si="19"/>
        <v>0</v>
      </c>
      <c r="BD59" s="284">
        <f t="shared" si="19"/>
        <v>0</v>
      </c>
      <c r="BE59" s="284">
        <f t="shared" si="19"/>
        <v>0</v>
      </c>
      <c r="BF59" s="284">
        <f t="shared" si="19"/>
        <v>0</v>
      </c>
      <c r="BG59" s="284">
        <f t="shared" si="19"/>
        <v>88965.799815334409</v>
      </c>
      <c r="BH59" s="284">
        <f t="shared" si="19"/>
        <v>0</v>
      </c>
      <c r="BM59" s="206"/>
      <c r="BN59" s="25"/>
      <c r="BO59" s="25"/>
      <c r="BP59" s="25"/>
      <c r="BQ59" s="25"/>
      <c r="BR59" s="25"/>
      <c r="BS59" s="25"/>
      <c r="BT59" s="25"/>
      <c r="BU59" s="25"/>
      <c r="BV59" s="25"/>
      <c r="BW59" s="25"/>
      <c r="BX59" s="25"/>
      <c r="BY59" s="25"/>
      <c r="BZ59" s="25"/>
      <c r="CA59" s="25"/>
      <c r="CB59" s="25"/>
    </row>
    <row r="60" spans="45:80" x14ac:dyDescent="0.2">
      <c r="AS60" s="206" t="s">
        <v>547</v>
      </c>
      <c r="AT60" s="284">
        <f t="shared" si="1"/>
        <v>0</v>
      </c>
      <c r="AU60" s="284">
        <f t="shared" ref="AU60:BH60" si="20">AU104</f>
        <v>0</v>
      </c>
      <c r="AV60" s="284">
        <f t="shared" si="20"/>
        <v>0</v>
      </c>
      <c r="AW60" s="284">
        <f t="shared" si="20"/>
        <v>0</v>
      </c>
      <c r="AX60" s="284">
        <f t="shared" si="20"/>
        <v>0</v>
      </c>
      <c r="AY60" s="284">
        <f t="shared" si="20"/>
        <v>0</v>
      </c>
      <c r="AZ60" s="284">
        <f t="shared" si="20"/>
        <v>0</v>
      </c>
      <c r="BA60" s="284">
        <f t="shared" si="20"/>
        <v>0</v>
      </c>
      <c r="BB60" s="284">
        <f t="shared" si="20"/>
        <v>0</v>
      </c>
      <c r="BC60" s="284">
        <f t="shared" si="20"/>
        <v>0</v>
      </c>
      <c r="BD60" s="284">
        <f t="shared" si="20"/>
        <v>0</v>
      </c>
      <c r="BE60" s="284">
        <f t="shared" si="20"/>
        <v>0</v>
      </c>
      <c r="BF60" s="284">
        <f t="shared" si="20"/>
        <v>0</v>
      </c>
      <c r="BG60" s="284">
        <f t="shared" si="20"/>
        <v>0</v>
      </c>
      <c r="BH60" s="284">
        <f t="shared" si="20"/>
        <v>0</v>
      </c>
      <c r="BM60" s="206"/>
      <c r="BN60" s="25"/>
      <c r="BO60" s="25"/>
      <c r="BP60" s="25"/>
      <c r="BQ60" s="25"/>
      <c r="BR60" s="25"/>
      <c r="BS60" s="25"/>
      <c r="BT60" s="25"/>
      <c r="BU60" s="25"/>
      <c r="BV60" s="25"/>
      <c r="BW60" s="25"/>
      <c r="BX60" s="25"/>
      <c r="BY60" s="25"/>
      <c r="BZ60" s="25"/>
      <c r="CA60" s="25"/>
      <c r="CB60" s="25"/>
    </row>
    <row r="61" spans="45:80" x14ac:dyDescent="0.2">
      <c r="AS61" s="206" t="s">
        <v>532</v>
      </c>
      <c r="AT61" s="284">
        <f t="shared" si="1"/>
        <v>0</v>
      </c>
      <c r="AU61" s="284">
        <f t="shared" ref="AU61:BH61" si="21">AU105</f>
        <v>0</v>
      </c>
      <c r="AV61" s="284">
        <f t="shared" si="21"/>
        <v>0</v>
      </c>
      <c r="AW61" s="284">
        <f t="shared" si="21"/>
        <v>0</v>
      </c>
      <c r="AX61" s="284">
        <f t="shared" si="21"/>
        <v>0</v>
      </c>
      <c r="AY61" s="284">
        <f t="shared" si="21"/>
        <v>0</v>
      </c>
      <c r="AZ61" s="284">
        <f t="shared" si="21"/>
        <v>0</v>
      </c>
      <c r="BA61" s="284">
        <f t="shared" si="21"/>
        <v>0</v>
      </c>
      <c r="BB61" s="284">
        <f t="shared" si="21"/>
        <v>0</v>
      </c>
      <c r="BC61" s="284">
        <f t="shared" si="21"/>
        <v>25394.240916408646</v>
      </c>
      <c r="BD61" s="284">
        <f t="shared" si="21"/>
        <v>0</v>
      </c>
      <c r="BE61" s="284">
        <f t="shared" si="21"/>
        <v>0</v>
      </c>
      <c r="BF61" s="284">
        <f t="shared" si="21"/>
        <v>0</v>
      </c>
      <c r="BG61" s="284">
        <f t="shared" si="21"/>
        <v>0</v>
      </c>
      <c r="BH61" s="284">
        <f t="shared" si="21"/>
        <v>0</v>
      </c>
      <c r="BM61" s="206"/>
      <c r="BN61" s="25"/>
      <c r="BO61" s="25"/>
      <c r="BP61" s="25"/>
      <c r="BQ61" s="25"/>
      <c r="BR61" s="25"/>
      <c r="BS61" s="25"/>
      <c r="BT61" s="25"/>
      <c r="BU61" s="25"/>
      <c r="BV61" s="25"/>
      <c r="BW61" s="25"/>
      <c r="BX61" s="25"/>
      <c r="BY61" s="25"/>
      <c r="BZ61" s="25"/>
      <c r="CA61" s="25"/>
      <c r="CB61" s="25"/>
    </row>
    <row r="62" spans="45:80" x14ac:dyDescent="0.2">
      <c r="AS62" s="206" t="s">
        <v>566</v>
      </c>
      <c r="AT62" s="284">
        <f t="shared" si="1"/>
        <v>0</v>
      </c>
      <c r="AU62" s="284">
        <f t="shared" ref="AU62:BH62" si="22">AU106</f>
        <v>0</v>
      </c>
      <c r="AV62" s="284">
        <f t="shared" si="22"/>
        <v>0</v>
      </c>
      <c r="AW62" s="284">
        <f t="shared" si="22"/>
        <v>0</v>
      </c>
      <c r="AX62" s="284">
        <f t="shared" si="22"/>
        <v>0</v>
      </c>
      <c r="AY62" s="284">
        <f t="shared" si="22"/>
        <v>0</v>
      </c>
      <c r="AZ62" s="284">
        <f t="shared" si="22"/>
        <v>0</v>
      </c>
      <c r="BA62" s="284">
        <f t="shared" si="22"/>
        <v>0</v>
      </c>
      <c r="BB62" s="284">
        <f t="shared" si="22"/>
        <v>0</v>
      </c>
      <c r="BC62" s="284">
        <f t="shared" si="22"/>
        <v>0</v>
      </c>
      <c r="BD62" s="284">
        <f t="shared" si="22"/>
        <v>8753719.7068998404</v>
      </c>
      <c r="BE62" s="284">
        <f t="shared" si="22"/>
        <v>0</v>
      </c>
      <c r="BF62" s="284">
        <f t="shared" si="22"/>
        <v>0</v>
      </c>
      <c r="BG62" s="284">
        <f t="shared" si="22"/>
        <v>0</v>
      </c>
      <c r="BH62" s="284">
        <f t="shared" si="22"/>
        <v>0</v>
      </c>
      <c r="BM62" s="206"/>
      <c r="BN62" s="25"/>
      <c r="BO62" s="25"/>
      <c r="BP62" s="25"/>
      <c r="BQ62" s="25"/>
      <c r="BR62" s="25"/>
      <c r="BS62" s="25"/>
      <c r="BT62" s="25"/>
      <c r="BU62" s="25"/>
      <c r="BV62" s="25"/>
      <c r="BW62" s="25"/>
      <c r="BX62" s="25"/>
      <c r="BY62" s="25"/>
      <c r="BZ62" s="25"/>
      <c r="CA62" s="25"/>
      <c r="CB62" s="25"/>
    </row>
    <row r="63" spans="45:80" x14ac:dyDescent="0.2">
      <c r="AS63" s="206" t="s">
        <v>533</v>
      </c>
      <c r="AT63" s="284">
        <f t="shared" si="1"/>
        <v>0</v>
      </c>
      <c r="AU63" s="284">
        <f t="shared" ref="AU63:BH63" si="23">AU107</f>
        <v>0</v>
      </c>
      <c r="AV63" s="284">
        <f t="shared" si="23"/>
        <v>0</v>
      </c>
      <c r="AW63" s="284">
        <f t="shared" si="23"/>
        <v>0</v>
      </c>
      <c r="AX63" s="284">
        <f t="shared" si="23"/>
        <v>0</v>
      </c>
      <c r="AY63" s="284">
        <f t="shared" si="23"/>
        <v>0</v>
      </c>
      <c r="AZ63" s="284">
        <f t="shared" si="23"/>
        <v>0</v>
      </c>
      <c r="BA63" s="284">
        <f t="shared" si="23"/>
        <v>0</v>
      </c>
      <c r="BB63" s="284">
        <f t="shared" si="23"/>
        <v>0</v>
      </c>
      <c r="BC63" s="284">
        <f t="shared" si="23"/>
        <v>0</v>
      </c>
      <c r="BD63" s="284">
        <f t="shared" si="23"/>
        <v>0</v>
      </c>
      <c r="BE63" s="284">
        <f t="shared" si="23"/>
        <v>0</v>
      </c>
      <c r="BF63" s="284">
        <f t="shared" si="23"/>
        <v>0</v>
      </c>
      <c r="BG63" s="284">
        <f t="shared" si="23"/>
        <v>242016.07607977447</v>
      </c>
      <c r="BH63" s="284">
        <f t="shared" si="23"/>
        <v>0</v>
      </c>
      <c r="BM63" s="206"/>
      <c r="BN63" s="25"/>
      <c r="BO63" s="25"/>
      <c r="BP63" s="25"/>
      <c r="BQ63" s="25"/>
      <c r="BR63" s="25"/>
      <c r="BS63" s="25"/>
      <c r="BT63" s="25"/>
      <c r="BU63" s="25"/>
      <c r="BV63" s="25"/>
      <c r="BW63" s="25"/>
      <c r="BX63" s="25"/>
      <c r="BY63" s="25"/>
      <c r="BZ63" s="25"/>
      <c r="CA63" s="25"/>
      <c r="CB63" s="25"/>
    </row>
    <row r="64" spans="45:80" x14ac:dyDescent="0.2">
      <c r="AS64" s="206" t="s">
        <v>535</v>
      </c>
      <c r="AT64" s="284">
        <f t="shared" si="1"/>
        <v>0</v>
      </c>
      <c r="AU64" s="284">
        <f t="shared" ref="AU64:BH64" si="24">AU108</f>
        <v>0</v>
      </c>
      <c r="AV64" s="284">
        <f t="shared" si="24"/>
        <v>0</v>
      </c>
      <c r="AW64" s="284">
        <f t="shared" si="24"/>
        <v>0</v>
      </c>
      <c r="AX64" s="284">
        <f t="shared" si="24"/>
        <v>0</v>
      </c>
      <c r="AY64" s="284">
        <f t="shared" si="24"/>
        <v>0</v>
      </c>
      <c r="AZ64" s="284">
        <f t="shared" si="24"/>
        <v>0</v>
      </c>
      <c r="BA64" s="284">
        <f t="shared" si="24"/>
        <v>0</v>
      </c>
      <c r="BB64" s="284">
        <f t="shared" si="24"/>
        <v>0</v>
      </c>
      <c r="BC64" s="284">
        <f t="shared" si="24"/>
        <v>0</v>
      </c>
      <c r="BD64" s="284">
        <f t="shared" si="24"/>
        <v>0</v>
      </c>
      <c r="BE64" s="284">
        <f t="shared" si="24"/>
        <v>0</v>
      </c>
      <c r="BF64" s="284">
        <f t="shared" si="24"/>
        <v>0</v>
      </c>
      <c r="BG64" s="284">
        <f t="shared" si="24"/>
        <v>0</v>
      </c>
      <c r="BH64" s="284">
        <f t="shared" si="24"/>
        <v>0</v>
      </c>
      <c r="BM64" s="206"/>
      <c r="BN64" s="25"/>
      <c r="BO64" s="25"/>
      <c r="BP64" s="25"/>
      <c r="BQ64" s="25"/>
      <c r="BR64" s="25"/>
      <c r="BS64" s="25"/>
      <c r="BT64" s="25"/>
      <c r="BU64" s="25"/>
      <c r="BV64" s="25"/>
      <c r="BW64" s="25"/>
      <c r="BX64" s="25"/>
      <c r="BY64" s="25"/>
      <c r="BZ64" s="25"/>
      <c r="CA64" s="25"/>
      <c r="CB64" s="25"/>
    </row>
    <row r="65" spans="45:80" x14ac:dyDescent="0.2">
      <c r="AS65" s="206" t="s">
        <v>534</v>
      </c>
      <c r="AT65" s="284">
        <f t="shared" si="1"/>
        <v>0</v>
      </c>
      <c r="AU65" s="284">
        <f t="shared" ref="AU65:BH65" si="25">AU109</f>
        <v>0</v>
      </c>
      <c r="AV65" s="284">
        <f t="shared" si="25"/>
        <v>0</v>
      </c>
      <c r="AW65" s="284">
        <f t="shared" si="25"/>
        <v>0</v>
      </c>
      <c r="AX65" s="284">
        <f t="shared" si="25"/>
        <v>0</v>
      </c>
      <c r="AY65" s="284">
        <f t="shared" si="25"/>
        <v>0</v>
      </c>
      <c r="AZ65" s="284">
        <f t="shared" si="25"/>
        <v>0</v>
      </c>
      <c r="BA65" s="284">
        <f t="shared" si="25"/>
        <v>0</v>
      </c>
      <c r="BB65" s="284">
        <f t="shared" si="25"/>
        <v>0</v>
      </c>
      <c r="BC65" s="284">
        <f t="shared" si="25"/>
        <v>0</v>
      </c>
      <c r="BD65" s="284">
        <f t="shared" si="25"/>
        <v>0</v>
      </c>
      <c r="BE65" s="284">
        <f t="shared" si="25"/>
        <v>0</v>
      </c>
      <c r="BF65" s="284">
        <f t="shared" si="25"/>
        <v>0</v>
      </c>
      <c r="BG65" s="284">
        <f t="shared" si="25"/>
        <v>0</v>
      </c>
      <c r="BH65" s="284">
        <f t="shared" si="25"/>
        <v>0</v>
      </c>
      <c r="BM65" s="206"/>
      <c r="BN65" s="25"/>
      <c r="BO65" s="25"/>
      <c r="BP65" s="25"/>
      <c r="BQ65" s="25"/>
      <c r="BR65" s="25"/>
      <c r="BS65" s="25"/>
      <c r="BT65" s="25"/>
      <c r="BU65" s="25"/>
      <c r="BV65" s="25"/>
      <c r="BW65" s="25"/>
      <c r="BX65" s="25"/>
      <c r="BY65" s="25"/>
      <c r="BZ65" s="25"/>
      <c r="CA65" s="25"/>
      <c r="CB65" s="25"/>
    </row>
    <row r="66" spans="45:80" x14ac:dyDescent="0.2">
      <c r="AS66" s="206" t="s">
        <v>632</v>
      </c>
      <c r="AT66" s="284">
        <f t="shared" si="1"/>
        <v>0</v>
      </c>
      <c r="AU66" s="284">
        <f t="shared" ref="AU66:BH66" si="26">AU110</f>
        <v>0</v>
      </c>
      <c r="AV66" s="284">
        <f t="shared" si="26"/>
        <v>0</v>
      </c>
      <c r="AW66" s="284">
        <f t="shared" si="26"/>
        <v>0</v>
      </c>
      <c r="AX66" s="284">
        <f t="shared" si="26"/>
        <v>0</v>
      </c>
      <c r="AY66" s="284">
        <f t="shared" si="26"/>
        <v>0</v>
      </c>
      <c r="AZ66" s="284">
        <f t="shared" si="26"/>
        <v>0</v>
      </c>
      <c r="BA66" s="284">
        <f t="shared" si="26"/>
        <v>0</v>
      </c>
      <c r="BB66" s="284">
        <f t="shared" si="26"/>
        <v>0</v>
      </c>
      <c r="BC66" s="284">
        <f t="shared" si="26"/>
        <v>0</v>
      </c>
      <c r="BD66" s="284">
        <f t="shared" si="26"/>
        <v>0</v>
      </c>
      <c r="BE66" s="284">
        <f t="shared" si="26"/>
        <v>0</v>
      </c>
      <c r="BF66" s="284">
        <f t="shared" si="26"/>
        <v>0</v>
      </c>
      <c r="BG66" s="284">
        <f t="shared" si="26"/>
        <v>6791339.3350291392</v>
      </c>
      <c r="BH66" s="284">
        <f t="shared" si="26"/>
        <v>0</v>
      </c>
      <c r="BM66" s="206"/>
      <c r="BN66" s="25"/>
      <c r="BO66" s="25"/>
      <c r="BP66" s="25"/>
      <c r="BQ66" s="25"/>
      <c r="BR66" s="25"/>
      <c r="BS66" s="25"/>
      <c r="BT66" s="25"/>
      <c r="BU66" s="25"/>
      <c r="BV66" s="25"/>
      <c r="BW66" s="25"/>
      <c r="BX66" s="25"/>
      <c r="BY66" s="25"/>
      <c r="BZ66" s="25"/>
      <c r="CA66" s="25"/>
      <c r="CB66" s="25"/>
    </row>
    <row r="67" spans="45:80" ht="16" x14ac:dyDescent="0.2">
      <c r="AS67" s="253" t="s">
        <v>530</v>
      </c>
      <c r="AT67" s="284">
        <f t="shared" si="1"/>
        <v>0</v>
      </c>
      <c r="AU67" s="284">
        <f t="shared" ref="AU67:BH67" si="27">AU111</f>
        <v>0</v>
      </c>
      <c r="AV67" s="284">
        <f t="shared" si="27"/>
        <v>0</v>
      </c>
      <c r="AW67" s="284">
        <f t="shared" si="27"/>
        <v>0</v>
      </c>
      <c r="AX67" s="284">
        <f t="shared" si="27"/>
        <v>0</v>
      </c>
      <c r="AY67" s="284">
        <f t="shared" si="27"/>
        <v>0</v>
      </c>
      <c r="AZ67" s="284">
        <f t="shared" si="27"/>
        <v>0</v>
      </c>
      <c r="BA67" s="284">
        <f t="shared" si="27"/>
        <v>0</v>
      </c>
      <c r="BB67" s="284">
        <f t="shared" si="27"/>
        <v>0</v>
      </c>
      <c r="BC67" s="284">
        <f t="shared" si="27"/>
        <v>0</v>
      </c>
      <c r="BD67" s="284">
        <f t="shared" si="27"/>
        <v>0</v>
      </c>
      <c r="BE67" s="284">
        <f t="shared" si="27"/>
        <v>5935408.0537775028</v>
      </c>
      <c r="BF67" s="284">
        <f t="shared" si="27"/>
        <v>0</v>
      </c>
      <c r="BG67" s="284">
        <f t="shared" si="27"/>
        <v>0</v>
      </c>
      <c r="BH67" s="284">
        <f t="shared" si="27"/>
        <v>0</v>
      </c>
      <c r="BM67" s="206"/>
      <c r="BN67" s="25"/>
      <c r="BO67" s="25"/>
      <c r="BP67" s="25"/>
      <c r="BQ67" s="25"/>
      <c r="BR67" s="25"/>
      <c r="BS67" s="25"/>
      <c r="BT67" s="25"/>
      <c r="BU67" s="25"/>
      <c r="BV67" s="25"/>
      <c r="BW67" s="25"/>
      <c r="BX67" s="25"/>
      <c r="BY67" s="25"/>
      <c r="BZ67" s="25"/>
      <c r="CA67" s="25"/>
      <c r="CB67" s="25"/>
    </row>
    <row r="68" spans="45:80" x14ac:dyDescent="0.2">
      <c r="AS68" s="206" t="s">
        <v>529</v>
      </c>
      <c r="AT68" s="284">
        <f t="shared" si="1"/>
        <v>0</v>
      </c>
      <c r="AU68" s="284">
        <f t="shared" ref="AU68:BH68" si="28">AU112</f>
        <v>0</v>
      </c>
      <c r="AV68" s="284">
        <f t="shared" si="28"/>
        <v>0</v>
      </c>
      <c r="AW68" s="284">
        <f t="shared" si="28"/>
        <v>0</v>
      </c>
      <c r="AX68" s="284">
        <f t="shared" si="28"/>
        <v>0</v>
      </c>
      <c r="AY68" s="284">
        <f t="shared" si="28"/>
        <v>0</v>
      </c>
      <c r="AZ68" s="284">
        <f t="shared" si="28"/>
        <v>0</v>
      </c>
      <c r="BA68" s="284">
        <f t="shared" si="28"/>
        <v>0</v>
      </c>
      <c r="BB68" s="284">
        <f t="shared" si="28"/>
        <v>0</v>
      </c>
      <c r="BC68" s="284">
        <f t="shared" si="28"/>
        <v>0</v>
      </c>
      <c r="BD68" s="284">
        <f t="shared" si="28"/>
        <v>0</v>
      </c>
      <c r="BE68" s="284">
        <f t="shared" si="28"/>
        <v>0</v>
      </c>
      <c r="BF68" s="284">
        <f t="shared" si="28"/>
        <v>0</v>
      </c>
      <c r="BG68" s="284">
        <f t="shared" si="28"/>
        <v>0</v>
      </c>
      <c r="BH68" s="284">
        <f t="shared" si="28"/>
        <v>0</v>
      </c>
      <c r="BM68" s="206"/>
      <c r="BN68" s="25"/>
      <c r="BO68" s="25"/>
      <c r="BP68" s="25"/>
      <c r="BQ68" s="25"/>
      <c r="BR68" s="25"/>
      <c r="BS68" s="25"/>
      <c r="BT68" s="25"/>
      <c r="BU68" s="25"/>
      <c r="BV68" s="25"/>
      <c r="BW68" s="25"/>
      <c r="BX68" s="25"/>
      <c r="BY68" s="25"/>
      <c r="BZ68" s="25"/>
      <c r="CA68" s="25"/>
      <c r="CB68" s="25"/>
    </row>
    <row r="69" spans="45:80" x14ac:dyDescent="0.2">
      <c r="AS69" s="204" t="s">
        <v>531</v>
      </c>
      <c r="AT69" s="284">
        <f t="shared" si="1"/>
        <v>0</v>
      </c>
      <c r="AU69" s="284">
        <f t="shared" ref="AU69:BH69" si="29">AU113</f>
        <v>0</v>
      </c>
      <c r="AV69" s="284">
        <f t="shared" si="29"/>
        <v>0</v>
      </c>
      <c r="AW69" s="284">
        <f t="shared" si="29"/>
        <v>0</v>
      </c>
      <c r="AX69" s="284">
        <f t="shared" si="29"/>
        <v>0</v>
      </c>
      <c r="AY69" s="284">
        <f t="shared" si="29"/>
        <v>0</v>
      </c>
      <c r="AZ69" s="284">
        <f t="shared" si="29"/>
        <v>0</v>
      </c>
      <c r="BA69" s="284">
        <f t="shared" si="29"/>
        <v>0</v>
      </c>
      <c r="BB69" s="284">
        <f t="shared" si="29"/>
        <v>0</v>
      </c>
      <c r="BC69" s="284">
        <f t="shared" si="29"/>
        <v>0</v>
      </c>
      <c r="BD69" s="284">
        <f t="shared" si="29"/>
        <v>0</v>
      </c>
      <c r="BE69" s="284">
        <f t="shared" si="29"/>
        <v>0</v>
      </c>
      <c r="BF69" s="284">
        <f t="shared" si="29"/>
        <v>0</v>
      </c>
      <c r="BG69" s="284">
        <f t="shared" si="29"/>
        <v>0</v>
      </c>
      <c r="BH69" s="284">
        <f t="shared" si="29"/>
        <v>0</v>
      </c>
      <c r="BM69" s="206"/>
      <c r="BN69" s="25"/>
      <c r="BO69" s="25"/>
      <c r="BP69" s="25"/>
      <c r="BQ69" s="25"/>
      <c r="BR69" s="25"/>
      <c r="BS69" s="25"/>
      <c r="BT69" s="25"/>
      <c r="BU69" s="25"/>
      <c r="BV69" s="25"/>
      <c r="BW69" s="25"/>
      <c r="BX69" s="25"/>
      <c r="BY69" s="25"/>
      <c r="BZ69" s="25"/>
      <c r="CA69" s="25"/>
      <c r="CB69" s="25"/>
    </row>
    <row r="70" spans="45:80" x14ac:dyDescent="0.2">
      <c r="AS70" s="206" t="s">
        <v>673</v>
      </c>
      <c r="AT70" s="284">
        <f t="shared" si="1"/>
        <v>0</v>
      </c>
      <c r="AU70" s="284">
        <f t="shared" ref="AU70:BH70" si="30">AU114</f>
        <v>0</v>
      </c>
      <c r="AV70" s="284">
        <f t="shared" si="30"/>
        <v>0</v>
      </c>
      <c r="AW70" s="284">
        <f t="shared" si="30"/>
        <v>0</v>
      </c>
      <c r="AX70" s="284">
        <f t="shared" si="30"/>
        <v>0</v>
      </c>
      <c r="AY70" s="284">
        <f t="shared" si="30"/>
        <v>0</v>
      </c>
      <c r="AZ70" s="284">
        <f t="shared" si="30"/>
        <v>0</v>
      </c>
      <c r="BA70" s="284">
        <f t="shared" si="30"/>
        <v>0</v>
      </c>
      <c r="BB70" s="284">
        <f t="shared" si="30"/>
        <v>0</v>
      </c>
      <c r="BC70" s="284">
        <f t="shared" si="30"/>
        <v>0</v>
      </c>
      <c r="BD70" s="284">
        <f t="shared" si="30"/>
        <v>0</v>
      </c>
      <c r="BE70" s="284">
        <f t="shared" si="30"/>
        <v>0</v>
      </c>
      <c r="BF70" s="284">
        <f t="shared" si="30"/>
        <v>5944558.1059355522</v>
      </c>
      <c r="BG70" s="284">
        <f t="shared" si="30"/>
        <v>0</v>
      </c>
      <c r="BH70" s="284">
        <f t="shared" si="30"/>
        <v>0</v>
      </c>
      <c r="BM70" s="206"/>
      <c r="BN70" s="25"/>
      <c r="BO70" s="25"/>
      <c r="BP70" s="25"/>
      <c r="BQ70" s="25"/>
      <c r="BR70" s="25"/>
      <c r="BS70" s="25"/>
      <c r="BT70" s="25"/>
      <c r="BU70" s="25"/>
      <c r="BV70" s="25"/>
      <c r="BW70" s="25"/>
      <c r="BX70" s="25"/>
      <c r="BY70" s="25"/>
      <c r="BZ70" s="25"/>
      <c r="CA70" s="25"/>
      <c r="CB70" s="25"/>
    </row>
    <row r="71" spans="45:80" x14ac:dyDescent="0.2">
      <c r="AS71" s="206" t="s">
        <v>676</v>
      </c>
      <c r="AT71" s="284">
        <f t="shared" si="1"/>
        <v>0</v>
      </c>
      <c r="AU71" s="284">
        <f t="shared" ref="AU71" si="31">AU115</f>
        <v>0</v>
      </c>
      <c r="AV71" s="284">
        <f t="shared" ref="AV71" si="32">AV115</f>
        <v>0</v>
      </c>
      <c r="AW71" s="284">
        <f t="shared" ref="AW71" si="33">AW115</f>
        <v>0</v>
      </c>
      <c r="AX71" s="284">
        <f t="shared" ref="AX71" si="34">AX115</f>
        <v>0</v>
      </c>
      <c r="AY71" s="284">
        <f t="shared" ref="AY71" si="35">AY115</f>
        <v>0</v>
      </c>
      <c r="AZ71" s="284">
        <f t="shared" ref="AZ71" si="36">AZ115</f>
        <v>0</v>
      </c>
      <c r="BA71" s="284">
        <f t="shared" ref="BA71" si="37">BA115</f>
        <v>0</v>
      </c>
      <c r="BB71" s="284">
        <f t="shared" ref="BB71" si="38">BB115</f>
        <v>0</v>
      </c>
      <c r="BC71" s="284">
        <f t="shared" ref="BC71" si="39">BC115</f>
        <v>0</v>
      </c>
      <c r="BD71" s="284">
        <f t="shared" ref="BD71" si="40">BD115</f>
        <v>891683.71589033271</v>
      </c>
      <c r="BE71" s="284">
        <f t="shared" ref="BE71:BH71" si="41">BE115</f>
        <v>0</v>
      </c>
      <c r="BF71" s="284">
        <f t="shared" si="41"/>
        <v>0</v>
      </c>
      <c r="BG71" s="284">
        <f t="shared" si="41"/>
        <v>0</v>
      </c>
      <c r="BH71" s="284">
        <f t="shared" si="41"/>
        <v>4161190.674154886</v>
      </c>
      <c r="BM71" s="206"/>
      <c r="BN71" s="25"/>
      <c r="BO71" s="25"/>
      <c r="BP71" s="25"/>
      <c r="BQ71" s="25"/>
      <c r="BR71" s="25"/>
      <c r="BS71" s="25"/>
      <c r="BT71" s="25"/>
      <c r="BU71" s="25"/>
      <c r="BV71" s="25"/>
      <c r="BW71" s="25"/>
      <c r="BX71" s="25"/>
      <c r="BY71" s="25"/>
      <c r="BZ71" s="25"/>
      <c r="CA71" s="25"/>
      <c r="CB71" s="25"/>
    </row>
    <row r="72" spans="45:80" x14ac:dyDescent="0.2">
      <c r="AS72" s="206" t="s">
        <v>554</v>
      </c>
      <c r="AT72" s="284">
        <f t="shared" si="1"/>
        <v>0</v>
      </c>
      <c r="AU72" s="284">
        <f t="shared" ref="AU72:BH72" si="42">AU116</f>
        <v>0</v>
      </c>
      <c r="AV72" s="284">
        <f t="shared" si="42"/>
        <v>0</v>
      </c>
      <c r="AW72" s="284">
        <f t="shared" si="42"/>
        <v>0</v>
      </c>
      <c r="AX72" s="284">
        <f t="shared" si="42"/>
        <v>0</v>
      </c>
      <c r="AY72" s="284">
        <f t="shared" si="42"/>
        <v>0</v>
      </c>
      <c r="AZ72" s="284">
        <f t="shared" si="42"/>
        <v>0</v>
      </c>
      <c r="BA72" s="284">
        <f t="shared" si="42"/>
        <v>0</v>
      </c>
      <c r="BB72" s="284">
        <f t="shared" si="42"/>
        <v>0</v>
      </c>
      <c r="BC72" s="284">
        <f t="shared" si="42"/>
        <v>0</v>
      </c>
      <c r="BD72" s="284">
        <f t="shared" si="42"/>
        <v>0</v>
      </c>
      <c r="BE72" s="284">
        <f t="shared" si="42"/>
        <v>0</v>
      </c>
      <c r="BF72" s="284">
        <f t="shared" si="42"/>
        <v>0</v>
      </c>
      <c r="BG72" s="284">
        <f t="shared" si="42"/>
        <v>0</v>
      </c>
      <c r="BH72" s="284">
        <f t="shared" si="42"/>
        <v>7072531.8830895294</v>
      </c>
      <c r="BM72" s="206"/>
      <c r="BN72" s="25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25"/>
      <c r="BZ72" s="25"/>
      <c r="CA72" s="25"/>
      <c r="CB72" s="25"/>
    </row>
    <row r="73" spans="45:80" x14ac:dyDescent="0.2">
      <c r="AS73" s="206" t="s">
        <v>555</v>
      </c>
      <c r="AT73" s="284">
        <f t="shared" si="1"/>
        <v>0</v>
      </c>
      <c r="AU73" s="284">
        <f t="shared" ref="AU73:BH73" si="43">AU117</f>
        <v>0</v>
      </c>
      <c r="AV73" s="284">
        <f t="shared" si="43"/>
        <v>0</v>
      </c>
      <c r="AW73" s="284">
        <f t="shared" si="43"/>
        <v>0</v>
      </c>
      <c r="AX73" s="284">
        <f t="shared" si="43"/>
        <v>0</v>
      </c>
      <c r="AY73" s="284">
        <f t="shared" si="43"/>
        <v>0</v>
      </c>
      <c r="AZ73" s="284">
        <f t="shared" si="43"/>
        <v>0</v>
      </c>
      <c r="BA73" s="284">
        <f t="shared" si="43"/>
        <v>0</v>
      </c>
      <c r="BB73" s="284">
        <f t="shared" si="43"/>
        <v>0</v>
      </c>
      <c r="BC73" s="284">
        <f t="shared" si="43"/>
        <v>0</v>
      </c>
      <c r="BD73" s="284">
        <f t="shared" si="43"/>
        <v>0</v>
      </c>
      <c r="BE73" s="284">
        <f t="shared" si="43"/>
        <v>0</v>
      </c>
      <c r="BF73" s="284">
        <f t="shared" si="43"/>
        <v>0</v>
      </c>
      <c r="BG73" s="284">
        <f t="shared" si="43"/>
        <v>0</v>
      </c>
      <c r="BH73" s="284">
        <f t="shared" si="43"/>
        <v>0</v>
      </c>
      <c r="BM73" s="206"/>
      <c r="BN73" s="25"/>
      <c r="BO73" s="25"/>
      <c r="BP73" s="25"/>
      <c r="BQ73" s="25"/>
      <c r="BR73" s="25"/>
      <c r="BS73" s="25"/>
      <c r="BT73" s="25"/>
      <c r="BU73" s="25"/>
      <c r="BV73" s="25"/>
      <c r="BW73" s="25"/>
      <c r="BX73" s="25"/>
      <c r="BY73" s="25"/>
      <c r="BZ73" s="25"/>
      <c r="CA73" s="25"/>
      <c r="CB73" s="25"/>
    </row>
    <row r="74" spans="45:80" x14ac:dyDescent="0.2">
      <c r="AS74" s="206" t="s">
        <v>556</v>
      </c>
      <c r="AT74" s="284">
        <f t="shared" si="1"/>
        <v>0</v>
      </c>
      <c r="AU74" s="284">
        <f t="shared" ref="AU74:BH74" si="44">AU118</f>
        <v>0</v>
      </c>
      <c r="AV74" s="284">
        <f t="shared" si="44"/>
        <v>0</v>
      </c>
      <c r="AW74" s="284">
        <f t="shared" si="44"/>
        <v>0</v>
      </c>
      <c r="AX74" s="284">
        <f t="shared" si="44"/>
        <v>0</v>
      </c>
      <c r="AY74" s="284">
        <f t="shared" si="44"/>
        <v>0</v>
      </c>
      <c r="AZ74" s="284">
        <f t="shared" si="44"/>
        <v>0</v>
      </c>
      <c r="BA74" s="284">
        <f t="shared" si="44"/>
        <v>0</v>
      </c>
      <c r="BB74" s="284">
        <f t="shared" si="44"/>
        <v>0</v>
      </c>
      <c r="BC74" s="284">
        <f t="shared" si="44"/>
        <v>0</v>
      </c>
      <c r="BD74" s="284">
        <f t="shared" si="44"/>
        <v>0</v>
      </c>
      <c r="BE74" s="284">
        <f t="shared" si="44"/>
        <v>0</v>
      </c>
      <c r="BF74" s="284">
        <f t="shared" si="44"/>
        <v>0</v>
      </c>
      <c r="BG74" s="284">
        <f t="shared" si="44"/>
        <v>0</v>
      </c>
      <c r="BH74" s="284">
        <f t="shared" si="44"/>
        <v>0</v>
      </c>
      <c r="BM74" s="206"/>
      <c r="BN74" s="25"/>
      <c r="BO74" s="25"/>
      <c r="BP74" s="25"/>
      <c r="BQ74" s="25"/>
      <c r="BR74" s="25"/>
      <c r="BS74" s="25"/>
      <c r="BT74" s="25"/>
      <c r="BU74" s="25"/>
      <c r="BV74" s="25"/>
      <c r="BW74" s="25"/>
      <c r="BX74" s="25"/>
      <c r="BY74" s="25"/>
      <c r="BZ74" s="25"/>
      <c r="CA74" s="25"/>
      <c r="CB74" s="25"/>
    </row>
    <row r="75" spans="45:80" x14ac:dyDescent="0.2">
      <c r="AS75" s="206" t="s">
        <v>567</v>
      </c>
      <c r="AT75" s="284">
        <f t="shared" si="1"/>
        <v>0</v>
      </c>
      <c r="AU75" s="284">
        <f t="shared" ref="AU75:BH75" si="45">AU119</f>
        <v>0</v>
      </c>
      <c r="AV75" s="284">
        <f t="shared" si="45"/>
        <v>0</v>
      </c>
      <c r="AW75" s="284">
        <f t="shared" si="45"/>
        <v>0</v>
      </c>
      <c r="AX75" s="284">
        <f t="shared" si="45"/>
        <v>0</v>
      </c>
      <c r="AY75" s="284">
        <f t="shared" si="45"/>
        <v>0</v>
      </c>
      <c r="AZ75" s="284">
        <f t="shared" si="45"/>
        <v>0</v>
      </c>
      <c r="BA75" s="284">
        <f t="shared" si="45"/>
        <v>0</v>
      </c>
      <c r="BB75" s="284">
        <f t="shared" si="45"/>
        <v>0</v>
      </c>
      <c r="BC75" s="284">
        <f t="shared" si="45"/>
        <v>0</v>
      </c>
      <c r="BD75" s="284">
        <f t="shared" si="45"/>
        <v>0</v>
      </c>
      <c r="BE75" s="284">
        <f t="shared" si="45"/>
        <v>0</v>
      </c>
      <c r="BF75" s="284">
        <f t="shared" si="45"/>
        <v>0</v>
      </c>
      <c r="BG75" s="284">
        <f t="shared" si="45"/>
        <v>0</v>
      </c>
      <c r="BH75" s="284">
        <f t="shared" si="45"/>
        <v>0</v>
      </c>
      <c r="BM75" s="206"/>
      <c r="BN75" s="25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  <c r="BZ75" s="25"/>
      <c r="CA75" s="25"/>
      <c r="CB75" s="25"/>
    </row>
    <row r="76" spans="45:80" x14ac:dyDescent="0.2">
      <c r="AS76" s="206"/>
      <c r="AT76" s="394" t="s">
        <v>582</v>
      </c>
      <c r="AU76" s="394"/>
      <c r="AV76" s="394"/>
      <c r="AW76" s="394"/>
      <c r="AX76" s="394"/>
      <c r="AY76" s="394"/>
      <c r="AZ76" s="394"/>
      <c r="BA76" s="394"/>
      <c r="BB76" s="394"/>
      <c r="BC76" s="394"/>
      <c r="BD76" s="394"/>
      <c r="BE76" s="394"/>
      <c r="BF76" s="394"/>
      <c r="BG76" s="394"/>
      <c r="BH76" s="394"/>
      <c r="BM76" s="206"/>
      <c r="BN76" s="25"/>
      <c r="BO76" s="25"/>
      <c r="BP76" s="25"/>
      <c r="BQ76" s="25"/>
      <c r="BR76" s="25"/>
      <c r="BS76" s="25"/>
      <c r="BT76" s="25"/>
      <c r="BU76" s="25"/>
      <c r="BV76" s="25"/>
      <c r="BW76" s="25"/>
      <c r="BX76" s="25"/>
      <c r="BY76" s="25"/>
      <c r="BZ76" s="25"/>
      <c r="CA76" s="25"/>
      <c r="CB76" s="25"/>
    </row>
    <row r="77" spans="45:80" x14ac:dyDescent="0.2">
      <c r="AS77" s="206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M77" s="206"/>
      <c r="BN77" s="25"/>
      <c r="BO77" s="25"/>
      <c r="BP77" s="25"/>
      <c r="BQ77" s="25"/>
      <c r="BR77" s="25"/>
      <c r="BS77" s="25"/>
      <c r="BT77" s="25"/>
      <c r="BU77" s="25"/>
      <c r="BV77" s="25"/>
      <c r="BW77" s="25"/>
      <c r="BX77" s="25"/>
      <c r="BY77" s="25"/>
      <c r="BZ77" s="25"/>
      <c r="CA77" s="25"/>
      <c r="CB77" s="25"/>
    </row>
    <row r="78" spans="45:80" x14ac:dyDescent="0.2">
      <c r="AS78" s="206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M78" s="206"/>
      <c r="BN78" s="25"/>
      <c r="BO78" s="25"/>
      <c r="BP78" s="25"/>
      <c r="BQ78" s="25"/>
      <c r="BR78" s="25"/>
      <c r="BS78" s="25"/>
      <c r="BT78" s="25"/>
      <c r="BU78" s="25"/>
      <c r="BV78" s="25"/>
      <c r="BW78" s="25"/>
      <c r="BX78" s="25"/>
      <c r="BY78" s="25"/>
      <c r="BZ78" s="25"/>
      <c r="CA78" s="25"/>
      <c r="CB78" s="25"/>
    </row>
    <row r="79" spans="45:80" x14ac:dyDescent="0.2">
      <c r="AS79" s="206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M79" s="206"/>
      <c r="BN79" s="25"/>
      <c r="BO79" s="25"/>
      <c r="BP79" s="25"/>
      <c r="BQ79" s="25"/>
      <c r="BR79" s="25"/>
      <c r="BS79" s="25"/>
      <c r="BT79" s="25"/>
      <c r="BU79" s="25"/>
      <c r="BV79" s="25"/>
      <c r="BW79" s="25"/>
      <c r="BX79" s="25"/>
      <c r="BY79" s="25"/>
      <c r="BZ79" s="25"/>
      <c r="CA79" s="25"/>
      <c r="CB79" s="25"/>
    </row>
    <row r="84" spans="35:68" ht="112" x14ac:dyDescent="0.2">
      <c r="AS84" s="260"/>
      <c r="AT84" s="207" t="s">
        <v>415</v>
      </c>
      <c r="AU84" s="207" t="s">
        <v>416</v>
      </c>
      <c r="AV84" s="207" t="s">
        <v>417</v>
      </c>
      <c r="AW84" s="207" t="s">
        <v>565</v>
      </c>
      <c r="AX84" s="207" t="s">
        <v>544</v>
      </c>
      <c r="AY84" s="207" t="s">
        <v>543</v>
      </c>
      <c r="AZ84" s="207" t="s">
        <v>443</v>
      </c>
      <c r="BA84" s="207" t="s">
        <v>440</v>
      </c>
      <c r="BB84" s="207" t="s">
        <v>458</v>
      </c>
      <c r="BC84" s="207" t="s">
        <v>441</v>
      </c>
      <c r="BD84" s="207" t="s">
        <v>436</v>
      </c>
      <c r="BE84" s="207" t="s">
        <v>672</v>
      </c>
      <c r="BF84" s="207" t="s">
        <v>675</v>
      </c>
      <c r="BG84" s="207" t="s">
        <v>81</v>
      </c>
      <c r="BH84" s="207" t="s">
        <v>427</v>
      </c>
      <c r="BM84" s="207"/>
      <c r="BN84" s="207" t="s">
        <v>421</v>
      </c>
      <c r="BO84" s="207" t="s">
        <v>356</v>
      </c>
    </row>
    <row r="85" spans="35:68" x14ac:dyDescent="0.2">
      <c r="AI85" s="204"/>
      <c r="AJ85" s="204"/>
      <c r="AS85" s="204" t="s">
        <v>423</v>
      </c>
      <c r="AT85" s="230">
        <f>'Ore-&gt;PI'!$V$42</f>
        <v>109233.7126431732</v>
      </c>
      <c r="AU85" s="230"/>
      <c r="AV85" s="230"/>
      <c r="AW85" s="230"/>
      <c r="AX85" s="230"/>
      <c r="AY85" s="230"/>
      <c r="AZ85" s="230"/>
      <c r="BA85" s="230"/>
      <c r="BB85" s="230"/>
      <c r="BC85" s="230"/>
      <c r="BD85" s="230"/>
      <c r="BE85" s="230"/>
      <c r="BF85" s="230"/>
      <c r="BG85" s="230"/>
      <c r="BH85" s="230"/>
      <c r="BI85" s="252">
        <f>SUM(AT85:BH85)</f>
        <v>109233.7126431732</v>
      </c>
      <c r="BM85" s="204" t="s">
        <v>423</v>
      </c>
      <c r="BN85" s="244"/>
      <c r="BO85" s="244"/>
      <c r="BP85" s="252">
        <f>SUM(BN85:BO85)</f>
        <v>0</v>
      </c>
    </row>
    <row r="86" spans="35:68" x14ac:dyDescent="0.2">
      <c r="AI86" s="204"/>
      <c r="AJ86" s="204"/>
      <c r="AS86" s="204" t="s">
        <v>425</v>
      </c>
      <c r="AT86" s="230"/>
      <c r="AU86" s="230">
        <f>'Ore-&gt;PI'!$V$126</f>
        <v>25394.240916408646</v>
      </c>
      <c r="AV86" s="230"/>
      <c r="AW86" s="230"/>
      <c r="AX86" s="230"/>
      <c r="AY86" s="230"/>
      <c r="AZ86" s="230"/>
      <c r="BA86" s="230"/>
      <c r="BB86" s="230"/>
      <c r="BC86" s="230"/>
      <c r="BD86" s="230"/>
      <c r="BE86" s="230"/>
      <c r="BF86" s="230"/>
      <c r="BG86" s="230"/>
      <c r="BH86" s="230"/>
      <c r="BI86" s="252">
        <f>SUM(AT86:BH86)</f>
        <v>25394.240916408646</v>
      </c>
      <c r="BM86" s="204" t="s">
        <v>425</v>
      </c>
      <c r="BN86" s="244"/>
      <c r="BO86" s="244"/>
      <c r="BP86" s="252">
        <f>SUM(BN86:BO86)</f>
        <v>0</v>
      </c>
    </row>
    <row r="87" spans="35:68" x14ac:dyDescent="0.2">
      <c r="AI87" s="204"/>
      <c r="AJ87" s="204"/>
      <c r="AS87" s="204" t="s">
        <v>426</v>
      </c>
      <c r="AT87" s="230"/>
      <c r="AU87" s="230"/>
      <c r="AV87" s="230">
        <f>'Ore-&gt;PI'!$V$206</f>
        <v>8753719.7068998404</v>
      </c>
      <c r="AW87" s="230"/>
      <c r="AX87" s="230"/>
      <c r="AY87" s="230"/>
      <c r="AZ87" s="230"/>
      <c r="BA87" s="230"/>
      <c r="BB87" s="230"/>
      <c r="BC87" s="230"/>
      <c r="BD87" s="230"/>
      <c r="BE87" s="230"/>
      <c r="BF87" s="230"/>
      <c r="BG87" s="230"/>
      <c r="BH87" s="230"/>
      <c r="BI87" s="252">
        <f t="shared" ref="BI87:BI119" si="46">SUM(AT87:BH87)</f>
        <v>8753719.7068998404</v>
      </c>
      <c r="BM87" s="204" t="s">
        <v>426</v>
      </c>
      <c r="BN87" s="244"/>
      <c r="BO87" s="244"/>
      <c r="BP87" s="252">
        <f>SUM(BN87:BO87)</f>
        <v>0</v>
      </c>
    </row>
    <row r="88" spans="35:68" x14ac:dyDescent="0.2">
      <c r="AI88" s="204"/>
      <c r="AJ88" s="204"/>
      <c r="AS88" s="204" t="s">
        <v>447</v>
      </c>
      <c r="AT88" s="230">
        <f>'Ore-&gt;PI'!V72</f>
        <v>236.0188688118763</v>
      </c>
      <c r="AU88" s="230">
        <f>'Ore-&gt;PI'!V163</f>
        <v>0.70761030268572533</v>
      </c>
      <c r="AV88" s="230">
        <f>'Ore-&gt;PI'!V236</f>
        <v>56.138829759567599</v>
      </c>
      <c r="AW88" s="230"/>
      <c r="AX88" s="230"/>
      <c r="AY88" s="230"/>
      <c r="AZ88" s="230"/>
      <c r="BA88" s="230"/>
      <c r="BB88" s="230"/>
      <c r="BC88" s="230">
        <f>'Ore-&gt;PI'!CB140</f>
        <v>9183.7711365934829</v>
      </c>
      <c r="BD88" s="230">
        <f>'Ore-&gt;PI'!CB242</f>
        <v>4359.9448543333856</v>
      </c>
      <c r="BE88" s="230"/>
      <c r="BF88" s="230"/>
      <c r="BG88" s="230"/>
      <c r="BH88" s="243">
        <f>'Ore-&gt;PI'!EM140</f>
        <v>23611.293462025522</v>
      </c>
      <c r="BI88" s="252">
        <f t="shared" si="46"/>
        <v>37447.874761826519</v>
      </c>
      <c r="BM88" s="204" t="s">
        <v>447</v>
      </c>
      <c r="BN88" s="244"/>
      <c r="BO88" s="244"/>
      <c r="BP88" s="252">
        <f t="shared" ref="BP88:BP92" si="47">SUM(BN88:BO88)</f>
        <v>0</v>
      </c>
    </row>
    <row r="89" spans="35:68" x14ac:dyDescent="0.2">
      <c r="AI89" s="204"/>
      <c r="AJ89" s="204"/>
      <c r="AL89" s="204"/>
      <c r="AS89" s="204" t="s">
        <v>477</v>
      </c>
      <c r="AT89" s="230"/>
      <c r="AU89" s="230"/>
      <c r="AV89" s="230"/>
      <c r="AW89" s="230"/>
      <c r="AX89" s="230"/>
      <c r="AY89" s="230"/>
      <c r="AZ89" s="230"/>
      <c r="BA89" s="230"/>
      <c r="BB89" s="230"/>
      <c r="BC89" s="230">
        <f>'Ore-&gt;PI'!CB152</f>
        <v>1078370532.5161049</v>
      </c>
      <c r="BD89" s="230">
        <f>'Ore-&gt;PI'!CB254</f>
        <v>879540.87913658854</v>
      </c>
      <c r="BE89" s="230"/>
      <c r="BF89" s="230"/>
      <c r="BG89" s="230"/>
      <c r="BH89" s="230">
        <f>'Ore-&gt;PI'!EM114</f>
        <v>2321518.855933811</v>
      </c>
      <c r="BI89" s="252">
        <f t="shared" si="46"/>
        <v>1081571592.2511754</v>
      </c>
      <c r="BM89" s="204" t="s">
        <v>477</v>
      </c>
      <c r="BN89" s="244"/>
      <c r="BO89" s="244"/>
      <c r="BP89" s="252">
        <f t="shared" si="47"/>
        <v>0</v>
      </c>
    </row>
    <row r="90" spans="35:68" x14ac:dyDescent="0.2">
      <c r="AI90" s="204"/>
      <c r="AJ90" s="204"/>
      <c r="AL90" s="204"/>
      <c r="AS90" s="204" t="s">
        <v>576</v>
      </c>
      <c r="AT90" s="230">
        <f>'Ore-&gt;PI'!V59</f>
        <v>94146.207140653787</v>
      </c>
      <c r="AU90" s="230">
        <f>'Ore-&gt;PI'!V140</f>
        <v>257.99399332425372</v>
      </c>
      <c r="AV90" s="230">
        <f>'Ore-&gt;PI'!V222</f>
        <v>22393.370164784887</v>
      </c>
      <c r="AW90" s="230"/>
      <c r="AX90" s="230"/>
      <c r="AY90" s="230"/>
      <c r="AZ90" s="230"/>
      <c r="BA90" s="230"/>
      <c r="BB90" s="230"/>
      <c r="BC90" s="230"/>
      <c r="BD90" s="230"/>
      <c r="BE90" s="230"/>
      <c r="BF90" s="230"/>
      <c r="BG90" s="230"/>
      <c r="BH90" s="230"/>
      <c r="BI90" s="252">
        <f t="shared" si="46"/>
        <v>116797.57129876292</v>
      </c>
      <c r="BM90" s="204" t="s">
        <v>576</v>
      </c>
      <c r="BN90" s="244"/>
      <c r="BO90" s="244"/>
      <c r="BP90" s="252">
        <f t="shared" si="47"/>
        <v>0</v>
      </c>
    </row>
    <row r="91" spans="35:68" x14ac:dyDescent="0.2">
      <c r="AI91" s="204"/>
      <c r="AJ91" s="204"/>
      <c r="AL91" s="204"/>
      <c r="AS91" s="204" t="s">
        <v>577</v>
      </c>
      <c r="AT91" s="230"/>
      <c r="AU91" s="230">
        <f>'Ore-&gt;PI'!V151</f>
        <v>24.076233417548465</v>
      </c>
      <c r="AV91" s="230"/>
      <c r="AW91" s="230"/>
      <c r="AX91" s="230"/>
      <c r="AY91" s="230"/>
      <c r="AZ91" s="230"/>
      <c r="BA91" s="230"/>
      <c r="BB91" s="230"/>
      <c r="BC91" s="230"/>
      <c r="BD91" s="230"/>
      <c r="BE91" s="230"/>
      <c r="BF91" s="230"/>
      <c r="BG91" s="230"/>
      <c r="BH91" s="230"/>
      <c r="BI91" s="252">
        <f t="shared" si="46"/>
        <v>24.076233417548465</v>
      </c>
      <c r="BM91" s="204" t="s">
        <v>577</v>
      </c>
      <c r="BN91" s="244"/>
      <c r="BO91" s="244"/>
      <c r="BP91" s="252">
        <f t="shared" si="47"/>
        <v>0</v>
      </c>
    </row>
    <row r="92" spans="35:68" x14ac:dyDescent="0.2">
      <c r="AI92" s="204"/>
      <c r="AJ92" s="204"/>
      <c r="AL92" s="204"/>
      <c r="AS92" s="204" t="s">
        <v>519</v>
      </c>
      <c r="AT92" s="230"/>
      <c r="AU92" s="230"/>
      <c r="AV92" s="230"/>
      <c r="AW92" s="230"/>
      <c r="AX92" s="230"/>
      <c r="AY92" s="230"/>
      <c r="AZ92" s="230"/>
      <c r="BA92" s="230"/>
      <c r="BB92" s="230"/>
      <c r="BC92" s="230"/>
      <c r="BD92" s="230"/>
      <c r="BE92" s="230"/>
      <c r="BF92" s="230"/>
      <c r="BG92" s="230"/>
      <c r="BH92" s="230">
        <f>'Ore-&gt;PI'!EM101</f>
        <v>206840.02835429934</v>
      </c>
      <c r="BI92" s="252">
        <f t="shared" si="46"/>
        <v>206840.02835429934</v>
      </c>
      <c r="BM92" s="204" t="s">
        <v>519</v>
      </c>
      <c r="BN92" s="244"/>
      <c r="BO92" s="244"/>
      <c r="BP92" s="252">
        <f t="shared" si="47"/>
        <v>0</v>
      </c>
    </row>
    <row r="93" spans="35:68" x14ac:dyDescent="0.2">
      <c r="AI93" s="204"/>
      <c r="AJ93" s="204"/>
      <c r="AL93" s="204"/>
      <c r="AS93" s="204" t="s">
        <v>569</v>
      </c>
      <c r="AT93" s="230"/>
      <c r="AU93" s="230"/>
      <c r="AV93" s="230">
        <f>'Ore-&gt;PI'!AC195</f>
        <v>77449.427901236573</v>
      </c>
      <c r="AW93" s="230">
        <f>'Ore-&gt;PI'!AU28</f>
        <v>609792.2517593482</v>
      </c>
      <c r="AX93" s="230">
        <f>'Ore-&gt;PI'!AU113</f>
        <v>2824.8856477449194</v>
      </c>
      <c r="AY93" s="230">
        <f>'Ore-&gt;PI'!AU190</f>
        <v>160253.43323591491</v>
      </c>
      <c r="AZ93" s="230">
        <f>'Ore-&gt;PI'!BN35</f>
        <v>12626.098826338684</v>
      </c>
      <c r="BA93" s="230">
        <f>'Ore-&gt;PI'!BM116</f>
        <v>34.678095164114971</v>
      </c>
      <c r="BB93" s="230">
        <f>'Ore-&gt;PI'!BM195</f>
        <v>28604.157765782104</v>
      </c>
      <c r="BC93" s="230"/>
      <c r="BD93" s="230"/>
      <c r="BE93" s="230">
        <f>'Ore-&gt;PI'!DD229</f>
        <v>50099.526545856235</v>
      </c>
      <c r="BF93" s="230"/>
      <c r="BG93" s="230"/>
      <c r="BH93" s="230">
        <f>'Ore-&gt;PI'!EU117</f>
        <v>317844.87395625591</v>
      </c>
      <c r="BI93" s="252">
        <f t="shared" si="46"/>
        <v>1259529.3337336415</v>
      </c>
      <c r="BM93" s="204" t="s">
        <v>569</v>
      </c>
      <c r="BN93" s="244"/>
      <c r="BO93" s="244"/>
      <c r="BP93" s="252">
        <f t="shared" ref="BP93:BP99" si="48">SUM(BN93:BO93)</f>
        <v>0</v>
      </c>
    </row>
    <row r="94" spans="35:68" ht="16" x14ac:dyDescent="0.2">
      <c r="AI94" s="246"/>
      <c r="AJ94" s="246"/>
      <c r="AS94" s="205" t="s">
        <v>551</v>
      </c>
      <c r="AT94" s="230"/>
      <c r="AU94" s="230"/>
      <c r="AV94" s="230"/>
      <c r="AW94" s="230">
        <f>'Ore-&gt;PI'!$AO$42</f>
        <v>109233.7126431732</v>
      </c>
      <c r="AX94" s="230"/>
      <c r="AY94" s="230"/>
      <c r="AZ94" s="230"/>
      <c r="BA94" s="230"/>
      <c r="BB94" s="230"/>
      <c r="BC94" s="230"/>
      <c r="BD94" s="230"/>
      <c r="BE94" s="230"/>
      <c r="BF94" s="230"/>
      <c r="BG94" s="230"/>
      <c r="BH94" s="230"/>
      <c r="BI94" s="252">
        <f t="shared" si="46"/>
        <v>109233.7126431732</v>
      </c>
      <c r="BM94" s="205" t="s">
        <v>551</v>
      </c>
      <c r="BN94" s="244"/>
      <c r="BO94" s="244"/>
      <c r="BP94" s="252">
        <f t="shared" si="48"/>
        <v>0</v>
      </c>
    </row>
    <row r="95" spans="35:68" ht="16" x14ac:dyDescent="0.2">
      <c r="AI95" s="205"/>
      <c r="AJ95" s="205"/>
      <c r="AS95" s="204" t="s">
        <v>517</v>
      </c>
      <c r="AT95" s="230"/>
      <c r="AU95" s="230"/>
      <c r="AV95" s="230"/>
      <c r="AW95" s="230"/>
      <c r="AX95" s="230"/>
      <c r="AY95" s="230"/>
      <c r="AZ95" s="230"/>
      <c r="BA95" s="230"/>
      <c r="BB95" s="230"/>
      <c r="BC95" s="230"/>
      <c r="BD95" s="230"/>
      <c r="BE95" s="230"/>
      <c r="BF95" s="230"/>
      <c r="BG95" s="230"/>
      <c r="BH95" s="230"/>
      <c r="BI95" s="252">
        <f t="shared" si="46"/>
        <v>0</v>
      </c>
      <c r="BM95" s="204" t="s">
        <v>517</v>
      </c>
      <c r="BN95" s="244"/>
      <c r="BO95" s="244">
        <f>'Ore-&gt;PI'!AO63</f>
        <v>2418.6577581793781</v>
      </c>
      <c r="BP95" s="252">
        <f t="shared" si="48"/>
        <v>2418.6577581793781</v>
      </c>
    </row>
    <row r="96" spans="35:68" ht="16" x14ac:dyDescent="0.2">
      <c r="AI96" s="206"/>
      <c r="AJ96" s="206"/>
      <c r="AS96" s="205" t="s">
        <v>520</v>
      </c>
      <c r="AT96" s="230"/>
      <c r="AU96" s="230"/>
      <c r="AV96" s="230"/>
      <c r="AW96" s="230"/>
      <c r="AX96" s="230">
        <f>'Ore-&gt;PI'!$AP$126</f>
        <v>25394.240916408646</v>
      </c>
      <c r="AY96" s="230"/>
      <c r="AZ96" s="230"/>
      <c r="BA96" s="230"/>
      <c r="BB96" s="230"/>
      <c r="BC96" s="230"/>
      <c r="BD96" s="230"/>
      <c r="BE96" s="230"/>
      <c r="BF96" s="230"/>
      <c r="BG96" s="230"/>
      <c r="BH96" s="230"/>
      <c r="BI96" s="252">
        <f t="shared" si="46"/>
        <v>25394.240916408646</v>
      </c>
      <c r="BM96" s="205" t="s">
        <v>520</v>
      </c>
      <c r="BN96" s="244"/>
      <c r="BO96" s="248"/>
      <c r="BP96" s="252">
        <f t="shared" si="48"/>
        <v>0</v>
      </c>
    </row>
    <row r="97" spans="35:73" x14ac:dyDescent="0.2">
      <c r="AI97" s="206"/>
      <c r="AJ97" s="206"/>
      <c r="AS97" s="204" t="s">
        <v>546</v>
      </c>
      <c r="AT97" s="230"/>
      <c r="AU97" s="230"/>
      <c r="AV97" s="230"/>
      <c r="AW97" s="230"/>
      <c r="AX97" s="230"/>
      <c r="AY97" s="230"/>
      <c r="AZ97" s="230"/>
      <c r="BA97" s="230"/>
      <c r="BB97" s="230"/>
      <c r="BC97" s="230"/>
      <c r="BD97" s="230"/>
      <c r="BE97" s="230"/>
      <c r="BF97" s="230"/>
      <c r="BG97" s="243"/>
      <c r="BH97" s="230"/>
      <c r="BI97" s="252">
        <f t="shared" si="46"/>
        <v>0</v>
      </c>
      <c r="BM97" s="204" t="s">
        <v>546</v>
      </c>
      <c r="BN97" s="244"/>
      <c r="BO97" s="244">
        <f>'Ore-&gt;PI'!AP142</f>
        <v>7.2399197950896488</v>
      </c>
      <c r="BP97" s="252">
        <f t="shared" si="48"/>
        <v>7.2399197950896488</v>
      </c>
    </row>
    <row r="98" spans="35:73" x14ac:dyDescent="0.2">
      <c r="AI98" s="206"/>
      <c r="AJ98" s="206"/>
      <c r="AS98" s="206" t="s">
        <v>538</v>
      </c>
      <c r="AT98" s="230"/>
      <c r="AU98" s="230"/>
      <c r="AV98" s="230"/>
      <c r="AW98" s="230"/>
      <c r="AX98" s="230"/>
      <c r="AY98" s="230">
        <f>'Ore-&gt;PI'!$AP$206</f>
        <v>8753719.7068998404</v>
      </c>
      <c r="AZ98" s="230"/>
      <c r="BA98" s="230"/>
      <c r="BB98" s="230"/>
      <c r="BC98" s="230"/>
      <c r="BD98" s="230"/>
      <c r="BE98" s="230"/>
      <c r="BF98" s="230"/>
      <c r="BG98" s="230"/>
      <c r="BH98" s="243"/>
      <c r="BI98" s="252">
        <f t="shared" si="46"/>
        <v>8753719.7068998404</v>
      </c>
      <c r="BM98" s="206" t="s">
        <v>538</v>
      </c>
      <c r="BN98" s="244"/>
      <c r="BO98" s="244"/>
      <c r="BP98" s="252">
        <f t="shared" si="48"/>
        <v>0</v>
      </c>
    </row>
    <row r="99" spans="35:73" x14ac:dyDescent="0.2">
      <c r="AI99" s="206"/>
      <c r="AJ99" s="206"/>
      <c r="AS99" s="204" t="s">
        <v>524</v>
      </c>
      <c r="AT99" s="230"/>
      <c r="AU99" s="230"/>
      <c r="AV99" s="230"/>
      <c r="AW99" s="230"/>
      <c r="AX99" s="230"/>
      <c r="AY99" s="230"/>
      <c r="AZ99" s="230"/>
      <c r="BA99" s="230"/>
      <c r="BB99" s="230"/>
      <c r="BC99" s="230"/>
      <c r="BD99" s="230"/>
      <c r="BE99" s="230"/>
      <c r="BF99" s="230"/>
      <c r="BG99" s="230"/>
      <c r="BH99" s="230"/>
      <c r="BI99" s="252">
        <f t="shared" si="46"/>
        <v>0</v>
      </c>
      <c r="BM99" s="204" t="s">
        <v>524</v>
      </c>
      <c r="BN99" s="244"/>
      <c r="BO99" s="244">
        <f>'Ore-&gt;PI'!AP227</f>
        <v>575.29559740969785</v>
      </c>
      <c r="BP99" s="252">
        <f t="shared" si="48"/>
        <v>575.29559740969785</v>
      </c>
      <c r="BQ99" s="25"/>
      <c r="BR99" s="25"/>
      <c r="BS99" s="25"/>
      <c r="BT99" s="25"/>
      <c r="BU99" s="25"/>
    </row>
    <row r="100" spans="35:73" ht="16" x14ac:dyDescent="0.2">
      <c r="AI100" s="206"/>
      <c r="AJ100" s="206"/>
      <c r="AS100" s="205" t="s">
        <v>550</v>
      </c>
      <c r="AT100" s="230"/>
      <c r="AU100" s="230"/>
      <c r="AV100" s="230"/>
      <c r="AW100" s="230"/>
      <c r="AX100" s="230"/>
      <c r="AY100" s="230"/>
      <c r="AZ100" s="230">
        <f>'Ore-&gt;PI'!$BH$42</f>
        <v>109233.7126431732</v>
      </c>
      <c r="BA100" s="230"/>
      <c r="BB100" s="230"/>
      <c r="BC100" s="230"/>
      <c r="BD100" s="230"/>
      <c r="BE100" s="230"/>
      <c r="BF100" s="230"/>
      <c r="BG100" s="230"/>
      <c r="BH100" s="230"/>
      <c r="BI100" s="252">
        <f t="shared" si="46"/>
        <v>109233.7126431732</v>
      </c>
      <c r="BM100" s="205" t="s">
        <v>550</v>
      </c>
      <c r="BN100" s="244"/>
      <c r="BO100" s="244"/>
      <c r="BP100" s="252">
        <f t="shared" ref="BP100:BP119" si="49">SUM(BN100:BO100)</f>
        <v>0</v>
      </c>
    </row>
    <row r="101" spans="35:73" ht="16" x14ac:dyDescent="0.2">
      <c r="AI101" s="206"/>
      <c r="AJ101" s="206"/>
      <c r="AS101" s="205" t="s">
        <v>545</v>
      </c>
      <c r="AT101" s="230"/>
      <c r="AU101" s="230"/>
      <c r="AV101" s="230"/>
      <c r="AW101" s="230"/>
      <c r="AX101" s="230"/>
      <c r="AY101" s="230"/>
      <c r="AZ101" s="230"/>
      <c r="BA101" s="230">
        <f>'Ore-&gt;PI'!$BI$126</f>
        <v>25394.240916408646</v>
      </c>
      <c r="BB101" s="230"/>
      <c r="BC101" s="230"/>
      <c r="BD101" s="230"/>
      <c r="BE101" s="230"/>
      <c r="BF101" s="230"/>
      <c r="BG101" s="230"/>
      <c r="BH101" s="230"/>
      <c r="BI101" s="252">
        <f t="shared" si="46"/>
        <v>25394.240916408646</v>
      </c>
      <c r="BM101" s="205" t="s">
        <v>545</v>
      </c>
      <c r="BN101" s="244"/>
      <c r="BO101" s="244"/>
      <c r="BP101" s="252">
        <f t="shared" si="49"/>
        <v>0</v>
      </c>
    </row>
    <row r="102" spans="35:73" ht="16" x14ac:dyDescent="0.2">
      <c r="AI102" s="206"/>
      <c r="AJ102" s="206"/>
      <c r="AS102" s="205" t="s">
        <v>542</v>
      </c>
      <c r="AT102" s="230"/>
      <c r="AU102" s="230"/>
      <c r="AV102" s="230"/>
      <c r="AW102" s="230"/>
      <c r="AX102" s="230"/>
      <c r="AY102" s="230"/>
      <c r="AZ102" s="230"/>
      <c r="BA102" s="230"/>
      <c r="BB102" s="230">
        <f>'Ore-&gt;PI'!$BI$206</f>
        <v>8753719.7068998404</v>
      </c>
      <c r="BC102" s="230"/>
      <c r="BD102" s="230"/>
      <c r="BE102" s="230"/>
      <c r="BF102" s="230"/>
      <c r="BG102" s="230"/>
      <c r="BH102" s="230"/>
      <c r="BI102" s="252">
        <f t="shared" si="46"/>
        <v>8753719.7068998404</v>
      </c>
      <c r="BM102" s="205" t="s">
        <v>542</v>
      </c>
      <c r="BN102" s="244"/>
      <c r="BO102" s="244"/>
      <c r="BP102" s="252">
        <f t="shared" si="49"/>
        <v>0</v>
      </c>
    </row>
    <row r="103" spans="35:73" ht="16" x14ac:dyDescent="0.2">
      <c r="AI103" s="253"/>
      <c r="AJ103" s="253"/>
      <c r="AS103" s="205" t="s">
        <v>548</v>
      </c>
      <c r="AT103" s="230"/>
      <c r="AU103" s="230"/>
      <c r="AV103" s="230"/>
      <c r="AW103" s="230"/>
      <c r="AX103" s="230"/>
      <c r="AY103" s="230"/>
      <c r="AZ103" s="230"/>
      <c r="BA103" s="230"/>
      <c r="BB103" s="230"/>
      <c r="BC103" s="230"/>
      <c r="BD103" s="230"/>
      <c r="BE103" s="230"/>
      <c r="BF103" s="230"/>
      <c r="BG103" s="230">
        <f>'Ore-&gt;PI'!CA42</f>
        <v>88965.799815334409</v>
      </c>
      <c r="BH103" s="230"/>
      <c r="BI103" s="252">
        <f t="shared" si="46"/>
        <v>88965.799815334409</v>
      </c>
      <c r="BM103" s="205" t="s">
        <v>548</v>
      </c>
      <c r="BN103" s="244"/>
      <c r="BO103" s="244"/>
      <c r="BP103" s="252">
        <f t="shared" si="49"/>
        <v>0</v>
      </c>
    </row>
    <row r="104" spans="35:73" x14ac:dyDescent="0.2">
      <c r="AI104" s="206"/>
      <c r="AJ104" s="206"/>
      <c r="AS104" s="206" t="s">
        <v>547</v>
      </c>
      <c r="AT104" s="230"/>
      <c r="AU104" s="230"/>
      <c r="AV104" s="230"/>
      <c r="AW104" s="230"/>
      <c r="AX104" s="230"/>
      <c r="AY104" s="230"/>
      <c r="AZ104" s="230"/>
      <c r="BA104" s="230"/>
      <c r="BB104" s="230"/>
      <c r="BC104" s="230"/>
      <c r="BD104" s="230"/>
      <c r="BE104" s="230"/>
      <c r="BF104" s="230"/>
      <c r="BG104" s="230"/>
      <c r="BH104" s="243"/>
      <c r="BI104" s="252">
        <f t="shared" si="46"/>
        <v>0</v>
      </c>
      <c r="BJ104" s="25"/>
      <c r="BK104" s="25"/>
      <c r="BM104" s="206" t="s">
        <v>547</v>
      </c>
      <c r="BN104" s="244"/>
      <c r="BO104" s="244">
        <f>'Ore-&gt;PI'!CA55</f>
        <v>21743.416787545681</v>
      </c>
      <c r="BP104" s="252">
        <f t="shared" si="49"/>
        <v>21743.416787545681</v>
      </c>
    </row>
    <row r="105" spans="35:73" x14ac:dyDescent="0.2">
      <c r="AI105" s="206"/>
      <c r="AJ105" s="206"/>
      <c r="AS105" s="206" t="s">
        <v>532</v>
      </c>
      <c r="AT105" s="230"/>
      <c r="AU105" s="230"/>
      <c r="AV105" s="230"/>
      <c r="AW105" s="230"/>
      <c r="AX105" s="230"/>
      <c r="AY105" s="230"/>
      <c r="AZ105" s="230"/>
      <c r="BA105" s="230"/>
      <c r="BB105" s="230"/>
      <c r="BC105" s="230">
        <f>'Ore-&gt;PI'!$CB$126</f>
        <v>25394.240916408646</v>
      </c>
      <c r="BD105" s="230"/>
      <c r="BE105" s="230"/>
      <c r="BF105" s="230"/>
      <c r="BG105" s="230"/>
      <c r="BH105" s="230"/>
      <c r="BI105" s="252">
        <f t="shared" si="46"/>
        <v>25394.240916408646</v>
      </c>
      <c r="BM105" s="206" t="s">
        <v>532</v>
      </c>
      <c r="BN105" s="244"/>
      <c r="BO105" s="244"/>
      <c r="BP105" s="252">
        <f t="shared" si="49"/>
        <v>0</v>
      </c>
    </row>
    <row r="106" spans="35:73" x14ac:dyDescent="0.2">
      <c r="AI106" s="206"/>
      <c r="AJ106" s="206"/>
      <c r="AS106" s="206" t="s">
        <v>566</v>
      </c>
      <c r="AT106" s="230"/>
      <c r="AU106" s="230"/>
      <c r="AV106" s="230"/>
      <c r="AW106" s="230"/>
      <c r="AX106" s="230"/>
      <c r="AY106" s="230"/>
      <c r="AZ106" s="230"/>
      <c r="BA106" s="230"/>
      <c r="BB106" s="230"/>
      <c r="BC106" s="230"/>
      <c r="BD106" s="230">
        <f>'Ore-&gt;PI'!$CB$206</f>
        <v>8753719.7068998404</v>
      </c>
      <c r="BE106" s="230"/>
      <c r="BF106" s="230"/>
      <c r="BG106" s="230"/>
      <c r="BH106" s="230"/>
      <c r="BI106" s="252">
        <f t="shared" si="46"/>
        <v>8753719.7068998404</v>
      </c>
      <c r="BM106" s="206" t="s">
        <v>566</v>
      </c>
      <c r="BN106" s="244"/>
      <c r="BO106" s="244"/>
      <c r="BP106" s="252">
        <f t="shared" si="49"/>
        <v>0</v>
      </c>
    </row>
    <row r="107" spans="35:73" x14ac:dyDescent="0.2">
      <c r="AI107" s="206"/>
      <c r="AJ107" s="206"/>
      <c r="AS107" s="206" t="s">
        <v>533</v>
      </c>
      <c r="AT107" s="230"/>
      <c r="AU107" s="230"/>
      <c r="AV107" s="230"/>
      <c r="AW107" s="230"/>
      <c r="AX107" s="230"/>
      <c r="AY107" s="230"/>
      <c r="AZ107" s="230"/>
      <c r="BA107" s="230"/>
      <c r="BB107" s="230"/>
      <c r="BC107" s="230"/>
      <c r="BD107" s="230"/>
      <c r="BE107" s="230"/>
      <c r="BF107" s="230"/>
      <c r="BG107" s="230">
        <f>'Ore-&gt;PI'!$CW$126</f>
        <v>242016.07607977447</v>
      </c>
      <c r="BH107" s="230"/>
      <c r="BI107" s="252">
        <f t="shared" si="46"/>
        <v>242016.07607977447</v>
      </c>
      <c r="BM107" s="206" t="s">
        <v>533</v>
      </c>
      <c r="BN107" s="244"/>
      <c r="BO107" s="244"/>
      <c r="BP107" s="252">
        <f t="shared" si="49"/>
        <v>0</v>
      </c>
    </row>
    <row r="108" spans="35:73" x14ac:dyDescent="0.2">
      <c r="AI108" s="206"/>
      <c r="AJ108" s="206"/>
      <c r="AS108" s="206" t="s">
        <v>535</v>
      </c>
      <c r="AT108" s="230"/>
      <c r="AU108" s="230"/>
      <c r="AV108" s="230"/>
      <c r="AW108" s="230"/>
      <c r="AX108" s="230"/>
      <c r="AY108" s="230"/>
      <c r="AZ108" s="230"/>
      <c r="BA108" s="230"/>
      <c r="BB108" s="230"/>
      <c r="BC108" s="230"/>
      <c r="BD108" s="230"/>
      <c r="BE108" s="230"/>
      <c r="BF108" s="230"/>
      <c r="BG108" s="230"/>
      <c r="BH108" s="243"/>
      <c r="BI108" s="252">
        <f t="shared" si="46"/>
        <v>0</v>
      </c>
      <c r="BM108" s="206" t="s">
        <v>535</v>
      </c>
      <c r="BN108" s="244"/>
      <c r="BO108" s="244">
        <f>'Ore-&gt;PI'!CW114</f>
        <v>7739.2511800711582</v>
      </c>
      <c r="BP108" s="252">
        <f t="shared" si="49"/>
        <v>7739.2511800711582</v>
      </c>
    </row>
    <row r="109" spans="35:73" x14ac:dyDescent="0.2">
      <c r="AI109" s="206"/>
      <c r="AJ109" s="206"/>
      <c r="AS109" s="206" t="s">
        <v>534</v>
      </c>
      <c r="AT109" s="230"/>
      <c r="AU109" s="230"/>
      <c r="AV109" s="230"/>
      <c r="AW109" s="230"/>
      <c r="AX109" s="230"/>
      <c r="AY109" s="230"/>
      <c r="AZ109" s="230"/>
      <c r="BA109" s="230"/>
      <c r="BB109" s="230"/>
      <c r="BC109" s="230"/>
      <c r="BD109" s="230"/>
      <c r="BE109" s="230"/>
      <c r="BF109" s="230"/>
      <c r="BG109" s="230"/>
      <c r="BH109" s="230"/>
      <c r="BI109" s="252">
        <f t="shared" si="46"/>
        <v>0</v>
      </c>
      <c r="BM109" s="206" t="s">
        <v>534</v>
      </c>
      <c r="BN109" s="244"/>
      <c r="BO109" s="244">
        <f>'Ore-&gt;PI'!CW138</f>
        <v>1133973033.3846123</v>
      </c>
      <c r="BP109" s="252">
        <f t="shared" si="49"/>
        <v>1133973033.3846123</v>
      </c>
    </row>
    <row r="110" spans="35:73" x14ac:dyDescent="0.2">
      <c r="AI110" s="206"/>
      <c r="AJ110" s="206"/>
      <c r="AS110" s="206" t="s">
        <v>632</v>
      </c>
      <c r="AT110" s="230"/>
      <c r="AU110" s="230"/>
      <c r="AV110" s="230"/>
      <c r="AW110" s="230"/>
      <c r="AX110" s="230"/>
      <c r="AY110" s="230"/>
      <c r="AZ110" s="230"/>
      <c r="BA110" s="230"/>
      <c r="BB110" s="230"/>
      <c r="BC110" s="230"/>
      <c r="BD110" s="230"/>
      <c r="BE110" s="230"/>
      <c r="BF110" s="230"/>
      <c r="BG110" s="230">
        <f>'Ore-&gt;PI'!$CW$206</f>
        <v>6791339.3350291392</v>
      </c>
      <c r="BH110" s="230"/>
      <c r="BI110" s="252">
        <f t="shared" si="46"/>
        <v>6791339.3350291392</v>
      </c>
      <c r="BM110" s="206" t="s">
        <v>632</v>
      </c>
      <c r="BN110" s="244"/>
      <c r="BO110" s="244"/>
      <c r="BP110" s="252">
        <f t="shared" si="49"/>
        <v>0</v>
      </c>
    </row>
    <row r="111" spans="35:73" ht="16" x14ac:dyDescent="0.2">
      <c r="AI111" s="206"/>
      <c r="AJ111" s="206"/>
      <c r="AS111" s="253" t="s">
        <v>530</v>
      </c>
      <c r="AT111" s="230"/>
      <c r="AU111" s="230"/>
      <c r="AV111" s="230"/>
      <c r="AW111" s="230"/>
      <c r="AX111" s="230"/>
      <c r="AY111" s="230"/>
      <c r="AZ111" s="230"/>
      <c r="BA111" s="230"/>
      <c r="BB111" s="230"/>
      <c r="BC111" s="230"/>
      <c r="BD111" s="230"/>
      <c r="BE111" s="230">
        <f>'Ore-&gt;PI'!$CW$233</f>
        <v>5935408.0537775028</v>
      </c>
      <c r="BF111" s="230"/>
      <c r="BG111" s="230"/>
      <c r="BH111" s="230"/>
      <c r="BI111" s="252">
        <f t="shared" si="46"/>
        <v>5935408.0537775028</v>
      </c>
      <c r="BM111" s="253" t="s">
        <v>530</v>
      </c>
      <c r="BN111" s="244"/>
      <c r="BO111" s="244"/>
      <c r="BP111" s="252">
        <f t="shared" si="49"/>
        <v>0</v>
      </c>
    </row>
    <row r="112" spans="35:73" x14ac:dyDescent="0.2">
      <c r="AI112" s="206"/>
      <c r="AJ112" s="206"/>
      <c r="AS112" s="206" t="s">
        <v>529</v>
      </c>
      <c r="AT112" s="230"/>
      <c r="AU112" s="230"/>
      <c r="AV112" s="230"/>
      <c r="AW112" s="230"/>
      <c r="AX112" s="230"/>
      <c r="AY112" s="230"/>
      <c r="AZ112" s="230"/>
      <c r="BA112" s="230"/>
      <c r="BB112" s="230"/>
      <c r="BC112" s="230"/>
      <c r="BD112" s="230"/>
      <c r="BE112" s="230"/>
      <c r="BF112" s="230"/>
      <c r="BG112" s="230"/>
      <c r="BH112" s="230"/>
      <c r="BI112" s="252">
        <f t="shared" si="46"/>
        <v>0</v>
      </c>
      <c r="BM112" s="206" t="s">
        <v>529</v>
      </c>
      <c r="BN112" s="244"/>
      <c r="BO112" s="244">
        <f>'Ore-&gt;PI'!CW217</f>
        <v>5366.0434241372932</v>
      </c>
      <c r="BP112" s="252">
        <f t="shared" si="49"/>
        <v>5366.0434241372932</v>
      </c>
    </row>
    <row r="113" spans="5:68" x14ac:dyDescent="0.2">
      <c r="AI113" s="206"/>
      <c r="AJ113" s="206"/>
      <c r="AS113" s="204" t="s">
        <v>531</v>
      </c>
      <c r="AT113" s="230"/>
      <c r="AU113" s="230"/>
      <c r="AV113" s="230"/>
      <c r="AW113" s="230"/>
      <c r="AX113" s="230"/>
      <c r="AY113" s="230"/>
      <c r="AZ113" s="230"/>
      <c r="BA113" s="230"/>
      <c r="BB113" s="230"/>
      <c r="BC113" s="230"/>
      <c r="BD113" s="230"/>
      <c r="BE113" s="230"/>
      <c r="BF113" s="230"/>
      <c r="BG113" s="230"/>
      <c r="BH113" s="230"/>
      <c r="BI113" s="252">
        <f t="shared" si="46"/>
        <v>0</v>
      </c>
      <c r="BM113" s="204" t="s">
        <v>531</v>
      </c>
      <c r="BN113" s="244"/>
      <c r="BO113" s="244">
        <f>'Ore-&gt;PI'!CW250</f>
        <v>50611.612737094903</v>
      </c>
      <c r="BP113" s="252">
        <f t="shared" si="49"/>
        <v>50611.612737094903</v>
      </c>
    </row>
    <row r="114" spans="5:68" x14ac:dyDescent="0.2">
      <c r="AI114" s="206"/>
      <c r="AJ114" s="206"/>
      <c r="AS114" s="206" t="s">
        <v>673</v>
      </c>
      <c r="AT114" s="230"/>
      <c r="AU114" s="230"/>
      <c r="AV114" s="230"/>
      <c r="AW114" s="230"/>
      <c r="AX114" s="230"/>
      <c r="AY114" s="230"/>
      <c r="AZ114" s="230"/>
      <c r="BA114" s="230"/>
      <c r="BB114" s="230"/>
      <c r="BC114" s="230"/>
      <c r="BD114" s="230"/>
      <c r="BE114" s="230"/>
      <c r="BF114" s="230">
        <f>'Ore-&gt;PI'!$DQ$233</f>
        <v>5944558.1059355522</v>
      </c>
      <c r="BG114" s="230"/>
      <c r="BH114" s="243"/>
      <c r="BI114" s="252">
        <f t="shared" si="46"/>
        <v>5944558.1059355522</v>
      </c>
      <c r="BM114" s="206" t="s">
        <v>673</v>
      </c>
      <c r="BN114" s="244"/>
      <c r="BO114" s="244"/>
      <c r="BP114" s="252">
        <f t="shared" si="49"/>
        <v>0</v>
      </c>
    </row>
    <row r="115" spans="5:68" x14ac:dyDescent="0.2">
      <c r="AI115" s="206"/>
      <c r="AJ115" s="206"/>
      <c r="AS115" s="206" t="s">
        <v>676</v>
      </c>
      <c r="AT115" s="230"/>
      <c r="AU115" s="230"/>
      <c r="AV115" s="230"/>
      <c r="AW115" s="230"/>
      <c r="AX115" s="230"/>
      <c r="AY115" s="230"/>
      <c r="AZ115" s="230"/>
      <c r="BA115" s="230"/>
      <c r="BB115" s="230"/>
      <c r="BC115" s="230"/>
      <c r="BD115" s="230">
        <f>'Ore-&gt;PI'!$CB$225</f>
        <v>891683.71589033271</v>
      </c>
      <c r="BE115" s="230"/>
      <c r="BF115" s="230"/>
      <c r="BG115" s="230"/>
      <c r="BH115" s="243">
        <f>'Ore-&gt;PI'!$EM$152</f>
        <v>4161190.674154886</v>
      </c>
      <c r="BI115" s="252">
        <f t="shared" si="46"/>
        <v>5052874.3900452191</v>
      </c>
      <c r="BM115" s="206" t="s">
        <v>674</v>
      </c>
      <c r="BN115" s="244">
        <f>'Ore-&gt;PI'!$FG$233</f>
        <v>891683.71589033271</v>
      </c>
      <c r="BO115" s="244"/>
      <c r="BP115" s="252">
        <f t="shared" si="49"/>
        <v>891683.71589033271</v>
      </c>
    </row>
    <row r="116" spans="5:68" x14ac:dyDescent="0.2">
      <c r="AI116" s="206"/>
      <c r="AJ116" s="206"/>
      <c r="AS116" s="206" t="s">
        <v>554</v>
      </c>
      <c r="AT116" s="230"/>
      <c r="AU116" s="230"/>
      <c r="AV116" s="230"/>
      <c r="AW116" s="230"/>
      <c r="AX116" s="230"/>
      <c r="AY116" s="230"/>
      <c r="AZ116" s="230"/>
      <c r="BA116" s="230"/>
      <c r="BB116" s="230"/>
      <c r="BC116" s="230"/>
      <c r="BD116" s="230"/>
      <c r="BE116" s="230"/>
      <c r="BF116" s="230"/>
      <c r="BG116" s="230"/>
      <c r="BH116" s="243">
        <f>'Ore-&gt;PI'!EM126</f>
        <v>7072531.8830895294</v>
      </c>
      <c r="BI116" s="252">
        <f t="shared" si="46"/>
        <v>7072531.8830895294</v>
      </c>
      <c r="BM116" s="206" t="s">
        <v>554</v>
      </c>
      <c r="BN116" s="244"/>
      <c r="BO116" s="244"/>
      <c r="BP116" s="252">
        <f t="shared" si="49"/>
        <v>0</v>
      </c>
    </row>
    <row r="117" spans="5:68" x14ac:dyDescent="0.2">
      <c r="AI117" s="206"/>
      <c r="AJ117" s="206"/>
      <c r="AS117" s="206" t="s">
        <v>555</v>
      </c>
      <c r="AT117" s="230"/>
      <c r="AU117" s="230"/>
      <c r="AV117" s="230"/>
      <c r="AW117" s="230"/>
      <c r="AX117" s="230"/>
      <c r="AY117" s="230"/>
      <c r="AZ117" s="230"/>
      <c r="BA117" s="230"/>
      <c r="BB117" s="230"/>
      <c r="BC117" s="230"/>
      <c r="BD117" s="230"/>
      <c r="BE117" s="230"/>
      <c r="BF117" s="230"/>
      <c r="BG117" s="230"/>
      <c r="BH117" s="230"/>
      <c r="BI117" s="252">
        <f t="shared" si="46"/>
        <v>0</v>
      </c>
      <c r="BM117" s="206" t="s">
        <v>555</v>
      </c>
      <c r="BN117" s="244">
        <f>'Ore-&gt;PI'!FM126</f>
        <v>4157895.2984628798</v>
      </c>
      <c r="BO117" s="244"/>
      <c r="BP117" s="252">
        <f t="shared" si="49"/>
        <v>4157895.2984628798</v>
      </c>
    </row>
    <row r="118" spans="5:68" x14ac:dyDescent="0.2">
      <c r="AI118" s="206"/>
      <c r="AJ118" s="206"/>
      <c r="AS118" s="206" t="s">
        <v>556</v>
      </c>
      <c r="AT118" s="230"/>
      <c r="AU118" s="230"/>
      <c r="AV118" s="230"/>
      <c r="AW118" s="230"/>
      <c r="AX118" s="230"/>
      <c r="AY118" s="230"/>
      <c r="AZ118" s="230"/>
      <c r="BA118" s="230"/>
      <c r="BB118" s="230"/>
      <c r="BC118" s="230"/>
      <c r="BD118" s="230"/>
      <c r="BE118" s="230"/>
      <c r="BF118" s="230"/>
      <c r="BG118" s="230"/>
      <c r="BH118" s="230"/>
      <c r="BI118" s="252">
        <f t="shared" si="46"/>
        <v>0</v>
      </c>
      <c r="BM118" s="206" t="s">
        <v>556</v>
      </c>
      <c r="BN118" s="244"/>
      <c r="BO118" s="244">
        <f>'Ore-&gt;PI'!FM141</f>
        <v>432711.9695416363</v>
      </c>
      <c r="BP118" s="252">
        <f t="shared" si="49"/>
        <v>432711.9695416363</v>
      </c>
    </row>
    <row r="119" spans="5:68" x14ac:dyDescent="0.2">
      <c r="AI119" s="206"/>
      <c r="AJ119" s="206"/>
      <c r="AS119" s="206" t="s">
        <v>567</v>
      </c>
      <c r="AT119" s="230"/>
      <c r="AU119" s="230"/>
      <c r="AV119" s="230"/>
      <c r="AW119" s="230"/>
      <c r="AX119" s="230"/>
      <c r="AY119" s="230"/>
      <c r="AZ119" s="230"/>
      <c r="BA119" s="230"/>
      <c r="BB119" s="230"/>
      <c r="BC119" s="230"/>
      <c r="BD119" s="230"/>
      <c r="BE119" s="230"/>
      <c r="BF119" s="230"/>
      <c r="BG119" s="230"/>
      <c r="BH119" s="230"/>
      <c r="BI119" s="252">
        <f t="shared" si="46"/>
        <v>0</v>
      </c>
      <c r="BM119" s="206" t="s">
        <v>567</v>
      </c>
      <c r="BN119" s="244"/>
      <c r="BO119" s="244">
        <f>'Ore-&gt;PI'!FM104</f>
        <v>67875.356217847453</v>
      </c>
      <c r="BP119" s="252">
        <f t="shared" si="49"/>
        <v>67875.356217847453</v>
      </c>
    </row>
    <row r="120" spans="5:68" x14ac:dyDescent="0.2">
      <c r="AI120" s="206"/>
      <c r="AJ120" s="206"/>
      <c r="AS120" s="206"/>
      <c r="AT120" s="394" t="s">
        <v>418</v>
      </c>
      <c r="AU120" s="394"/>
      <c r="AV120" s="394"/>
      <c r="AW120" s="394"/>
      <c r="AX120" s="394"/>
      <c r="AY120" s="394"/>
      <c r="AZ120" s="394"/>
      <c r="BA120" s="394"/>
      <c r="BB120" s="394"/>
      <c r="BC120" s="394"/>
      <c r="BD120" s="394"/>
      <c r="BE120" s="394"/>
      <c r="BF120" s="394"/>
      <c r="BG120" s="394"/>
      <c r="BH120" s="394"/>
      <c r="BI120" s="25" t="s">
        <v>469</v>
      </c>
      <c r="BN120" s="394" t="s">
        <v>420</v>
      </c>
      <c r="BO120" s="394"/>
      <c r="BP120" s="25" t="s">
        <v>484</v>
      </c>
    </row>
    <row r="121" spans="5:68" x14ac:dyDescent="0.2">
      <c r="AI121" s="206"/>
      <c r="AJ121" s="206"/>
      <c r="AS121" s="206"/>
      <c r="AT121" s="252">
        <f>SUM(AT85:AT119)</f>
        <v>203615.93865263887</v>
      </c>
      <c r="AU121" s="252">
        <f>SUM(AU85:AU119)</f>
        <v>25677.018753453132</v>
      </c>
      <c r="AV121" s="252">
        <f>SUM(AV85:AV119)</f>
        <v>8853618.6437956225</v>
      </c>
      <c r="AW121" s="252">
        <f t="shared" ref="AW121:BH121" si="50">SUM(AW85:AW119)</f>
        <v>719025.96440252138</v>
      </c>
      <c r="AX121" s="252">
        <f t="shared" si="50"/>
        <v>28219.126564153565</v>
      </c>
      <c r="AY121" s="252">
        <f t="shared" si="50"/>
        <v>8913973.1401357558</v>
      </c>
      <c r="AZ121" s="252">
        <f t="shared" si="50"/>
        <v>121859.81146951189</v>
      </c>
      <c r="BA121" s="252">
        <f t="shared" si="50"/>
        <v>25428.919011572762</v>
      </c>
      <c r="BB121" s="252">
        <f t="shared" si="50"/>
        <v>8782323.8646656219</v>
      </c>
      <c r="BC121" s="252">
        <f t="shared" si="50"/>
        <v>1078405110.5281579</v>
      </c>
      <c r="BD121" s="252">
        <f t="shared" si="50"/>
        <v>10529304.246781096</v>
      </c>
      <c r="BE121" s="252">
        <f t="shared" si="50"/>
        <v>5985507.580323359</v>
      </c>
      <c r="BF121" s="252">
        <f t="shared" si="50"/>
        <v>5944558.1059355522</v>
      </c>
      <c r="BG121" s="252">
        <f t="shared" si="50"/>
        <v>7122321.2109242482</v>
      </c>
      <c r="BH121" s="252">
        <f t="shared" si="50"/>
        <v>14103537.608950807</v>
      </c>
      <c r="BN121" s="25"/>
      <c r="BO121" s="25"/>
    </row>
    <row r="122" spans="5:68" ht="13" customHeight="1" x14ac:dyDescent="0.2">
      <c r="F122" s="395"/>
      <c r="G122" s="395"/>
      <c r="H122" s="233"/>
      <c r="I122" s="233"/>
      <c r="J122" s="233"/>
      <c r="K122" s="233"/>
      <c r="L122" s="233"/>
      <c r="M122" s="233"/>
      <c r="N122" s="233"/>
      <c r="O122" s="233"/>
      <c r="P122" s="233"/>
      <c r="Q122" s="233"/>
      <c r="R122" s="233"/>
      <c r="S122" s="233"/>
      <c r="T122" s="233"/>
      <c r="U122" s="233"/>
      <c r="V122" s="233"/>
      <c r="W122" s="233"/>
      <c r="X122" s="233"/>
      <c r="Y122" s="233"/>
      <c r="Z122" s="233"/>
      <c r="AA122" s="233"/>
      <c r="AB122" s="233"/>
      <c r="AC122" s="233"/>
      <c r="AD122" s="233"/>
      <c r="AE122" s="233"/>
      <c r="AF122" s="233"/>
      <c r="AG122" s="233"/>
      <c r="AH122" s="233"/>
      <c r="AI122" s="206"/>
      <c r="AJ122" s="206"/>
      <c r="AK122" s="233"/>
      <c r="AL122" s="233"/>
      <c r="AM122" s="233"/>
      <c r="AN122" s="233"/>
      <c r="AO122" s="233"/>
      <c r="AP122" s="233"/>
      <c r="AQ122" s="233"/>
      <c r="AT122" s="394" t="s">
        <v>468</v>
      </c>
      <c r="AU122" s="394"/>
      <c r="AV122" s="394"/>
      <c r="AW122" s="394"/>
      <c r="AX122" s="394"/>
      <c r="AY122" s="394"/>
      <c r="AZ122" s="394"/>
      <c r="BA122" s="394"/>
      <c r="BB122" s="394"/>
      <c r="BC122" s="394"/>
      <c r="BD122" s="394"/>
      <c r="BE122" s="394"/>
      <c r="BF122" s="394"/>
      <c r="BG122" s="394"/>
      <c r="BH122" s="394"/>
      <c r="BN122" s="25"/>
      <c r="BO122" s="25"/>
    </row>
    <row r="123" spans="5:68" ht="236" x14ac:dyDescent="0.2">
      <c r="E123" s="240"/>
      <c r="F123" s="207" t="s">
        <v>423</v>
      </c>
      <c r="G123" s="207" t="s">
        <v>425</v>
      </c>
      <c r="H123" s="207" t="s">
        <v>426</v>
      </c>
      <c r="I123" s="207" t="s">
        <v>447</v>
      </c>
      <c r="J123" s="207" t="s">
        <v>477</v>
      </c>
      <c r="K123" s="207" t="s">
        <v>576</v>
      </c>
      <c r="L123" s="207" t="s">
        <v>577</v>
      </c>
      <c r="M123" s="207" t="s">
        <v>519</v>
      </c>
      <c r="N123" s="207" t="s">
        <v>569</v>
      </c>
      <c r="O123" s="209" t="s">
        <v>551</v>
      </c>
      <c r="P123" s="207" t="s">
        <v>517</v>
      </c>
      <c r="Q123" s="209" t="s">
        <v>520</v>
      </c>
      <c r="R123" s="207" t="s">
        <v>546</v>
      </c>
      <c r="S123" s="210" t="s">
        <v>538</v>
      </c>
      <c r="T123" s="207" t="s">
        <v>524</v>
      </c>
      <c r="U123" s="209" t="s">
        <v>550</v>
      </c>
      <c r="V123" s="209" t="s">
        <v>545</v>
      </c>
      <c r="W123" s="209" t="s">
        <v>542</v>
      </c>
      <c r="X123" s="209" t="s">
        <v>548</v>
      </c>
      <c r="Y123" s="210" t="s">
        <v>547</v>
      </c>
      <c r="Z123" s="210" t="s">
        <v>532</v>
      </c>
      <c r="AA123" s="210" t="s">
        <v>566</v>
      </c>
      <c r="AB123" s="210" t="s">
        <v>533</v>
      </c>
      <c r="AC123" s="210" t="s">
        <v>535</v>
      </c>
      <c r="AD123" s="210" t="s">
        <v>534</v>
      </c>
      <c r="AE123" s="210" t="s">
        <v>632</v>
      </c>
      <c r="AF123" s="232" t="s">
        <v>530</v>
      </c>
      <c r="AG123" s="210" t="s">
        <v>529</v>
      </c>
      <c r="AH123" s="207" t="s">
        <v>531</v>
      </c>
      <c r="AI123" s="210" t="s">
        <v>673</v>
      </c>
      <c r="AJ123" s="210" t="s">
        <v>676</v>
      </c>
      <c r="AK123" s="210" t="s">
        <v>554</v>
      </c>
      <c r="AL123" s="210" t="s">
        <v>555</v>
      </c>
      <c r="AM123" s="210" t="s">
        <v>556</v>
      </c>
      <c r="AN123" s="210" t="s">
        <v>567</v>
      </c>
    </row>
    <row r="124" spans="5:68" x14ac:dyDescent="0.2">
      <c r="E124" s="204" t="s">
        <v>415</v>
      </c>
      <c r="F124" s="230"/>
      <c r="G124" s="230"/>
      <c r="H124" s="230"/>
      <c r="I124" s="230"/>
      <c r="J124" s="230"/>
      <c r="K124" s="230"/>
      <c r="L124" s="230"/>
      <c r="M124" s="230"/>
      <c r="N124" s="230"/>
      <c r="O124" s="230">
        <f>'Ore-&gt;PI'!AO42</f>
        <v>109233.7126431732</v>
      </c>
      <c r="P124" s="230">
        <f>'Ore-&gt;PI'!AO63</f>
        <v>2418.6577581793781</v>
      </c>
      <c r="Q124" s="230"/>
      <c r="R124" s="230"/>
      <c r="S124" s="230"/>
      <c r="T124" s="230"/>
      <c r="U124" s="230"/>
      <c r="V124" s="230"/>
      <c r="W124" s="230"/>
      <c r="X124" s="230"/>
      <c r="Y124" s="230"/>
      <c r="Z124" s="230"/>
      <c r="AA124" s="230"/>
      <c r="AB124" s="230"/>
      <c r="AC124" s="230"/>
      <c r="AD124" s="230"/>
      <c r="AE124" s="230"/>
      <c r="AF124" s="230"/>
      <c r="AG124" s="230"/>
      <c r="AH124" s="230"/>
      <c r="AI124" s="230"/>
      <c r="AJ124" s="230"/>
      <c r="AK124" s="230"/>
      <c r="AL124" s="230"/>
      <c r="AM124" s="230"/>
      <c r="AN124" s="230"/>
      <c r="AO124" s="252">
        <f>SUM(F124:AN124)</f>
        <v>111652.37040135259</v>
      </c>
    </row>
    <row r="125" spans="5:68" x14ac:dyDescent="0.2">
      <c r="E125" s="204" t="s">
        <v>416</v>
      </c>
      <c r="F125" s="230"/>
      <c r="G125" s="230"/>
      <c r="H125" s="230"/>
      <c r="I125" s="230"/>
      <c r="J125" s="230"/>
      <c r="K125" s="230"/>
      <c r="L125" s="230"/>
      <c r="M125" s="230"/>
      <c r="N125" s="230"/>
      <c r="O125" s="230"/>
      <c r="P125" s="230"/>
      <c r="Q125" s="230">
        <f>'Ore-&gt;PI'!AP126</f>
        <v>25394.240916408646</v>
      </c>
      <c r="R125" s="230">
        <f>'Ore-&gt;PI'!AP142</f>
        <v>7.2399197950896488</v>
      </c>
      <c r="S125" s="230"/>
      <c r="T125" s="230"/>
      <c r="U125" s="230"/>
      <c r="V125" s="230"/>
      <c r="W125" s="230"/>
      <c r="X125" s="230"/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0"/>
      <c r="AI125" s="230"/>
      <c r="AJ125" s="230"/>
      <c r="AK125" s="230"/>
      <c r="AL125" s="230"/>
      <c r="AM125" s="230"/>
      <c r="AN125" s="230"/>
      <c r="AO125" s="252">
        <f>SUM(F125:AN125)</f>
        <v>25401.480836203737</v>
      </c>
    </row>
    <row r="126" spans="5:68" x14ac:dyDescent="0.2">
      <c r="E126" s="204" t="s">
        <v>417</v>
      </c>
      <c r="F126" s="230"/>
      <c r="G126" s="230"/>
      <c r="H126" s="230"/>
      <c r="I126" s="230"/>
      <c r="J126" s="230"/>
      <c r="K126" s="230"/>
      <c r="L126" s="230"/>
      <c r="M126" s="230"/>
      <c r="N126" s="230"/>
      <c r="O126" s="230"/>
      <c r="P126" s="230"/>
      <c r="Q126" s="230"/>
      <c r="R126" s="230"/>
      <c r="S126" s="230">
        <f>'Ore-&gt;PI'!AP206</f>
        <v>8753719.7068998404</v>
      </c>
      <c r="T126" s="230">
        <f>'Ore-&gt;PI'!AP227</f>
        <v>575.29559740969785</v>
      </c>
      <c r="U126" s="230"/>
      <c r="V126" s="230"/>
      <c r="W126" s="230"/>
      <c r="X126" s="230"/>
      <c r="Y126" s="230"/>
      <c r="Z126" s="230"/>
      <c r="AA126" s="230"/>
      <c r="AB126" s="230"/>
      <c r="AC126" s="230"/>
      <c r="AD126" s="230"/>
      <c r="AE126" s="230"/>
      <c r="AF126" s="230"/>
      <c r="AG126" s="230"/>
      <c r="AH126" s="230"/>
      <c r="AI126" s="230"/>
      <c r="AJ126" s="230"/>
      <c r="AK126" s="230"/>
      <c r="AL126" s="230"/>
      <c r="AM126" s="230"/>
      <c r="AN126" s="230"/>
      <c r="AO126" s="252">
        <f t="shared" ref="AO126:AO138" si="51">SUM(F126:AN126)</f>
        <v>8754295.0024972502</v>
      </c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N126" s="25"/>
      <c r="BO126" s="25"/>
    </row>
    <row r="127" spans="5:68" x14ac:dyDescent="0.2">
      <c r="E127" s="204" t="s">
        <v>565</v>
      </c>
      <c r="F127" s="230"/>
      <c r="G127" s="230"/>
      <c r="H127" s="230"/>
      <c r="I127" s="230"/>
      <c r="J127" s="230"/>
      <c r="K127" s="230"/>
      <c r="L127" s="230"/>
      <c r="M127" s="230"/>
      <c r="N127" s="230"/>
      <c r="O127" s="230"/>
      <c r="P127" s="230"/>
      <c r="Q127" s="230"/>
      <c r="R127" s="230"/>
      <c r="S127" s="230"/>
      <c r="T127" s="230"/>
      <c r="U127" s="230">
        <f>'Ore-&gt;PI'!BH42</f>
        <v>109233.7126431732</v>
      </c>
      <c r="V127" s="230"/>
      <c r="W127" s="230"/>
      <c r="X127" s="230"/>
      <c r="Y127" s="230"/>
      <c r="Z127" s="230"/>
      <c r="AA127" s="230"/>
      <c r="AB127" s="230"/>
      <c r="AC127" s="230"/>
      <c r="AD127" s="230"/>
      <c r="AE127" s="230"/>
      <c r="AF127" s="230"/>
      <c r="AG127" s="230"/>
      <c r="AH127" s="230"/>
      <c r="AI127" s="230"/>
      <c r="AJ127" s="230"/>
      <c r="AK127" s="230"/>
      <c r="AL127" s="230"/>
      <c r="AM127" s="230"/>
      <c r="AN127" s="230"/>
      <c r="AO127" s="252">
        <f t="shared" si="51"/>
        <v>109233.7126431732</v>
      </c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N127" s="25"/>
      <c r="BO127" s="25"/>
    </row>
    <row r="128" spans="5:68" x14ac:dyDescent="0.2">
      <c r="E128" s="204" t="s">
        <v>544</v>
      </c>
      <c r="F128" s="230"/>
      <c r="G128" s="230"/>
      <c r="H128" s="230"/>
      <c r="I128" s="230"/>
      <c r="J128" s="230"/>
      <c r="K128" s="230"/>
      <c r="L128" s="230"/>
      <c r="M128" s="230"/>
      <c r="N128" s="230"/>
      <c r="O128" s="230"/>
      <c r="P128" s="230"/>
      <c r="Q128" s="230"/>
      <c r="R128" s="230"/>
      <c r="S128" s="230"/>
      <c r="T128" s="230"/>
      <c r="U128" s="230"/>
      <c r="V128" s="230">
        <f>'Ore-&gt;PI'!BI126</f>
        <v>25394.240916408646</v>
      </c>
      <c r="W128" s="230"/>
      <c r="X128" s="230"/>
      <c r="Y128" s="230"/>
      <c r="Z128" s="230"/>
      <c r="AA128" s="230"/>
      <c r="AB128" s="230"/>
      <c r="AC128" s="230"/>
      <c r="AD128" s="230"/>
      <c r="AE128" s="230"/>
      <c r="AF128" s="230"/>
      <c r="AG128" s="230"/>
      <c r="AH128" s="230"/>
      <c r="AI128" s="230"/>
      <c r="AJ128" s="230"/>
      <c r="AK128" s="230"/>
      <c r="AL128" s="230"/>
      <c r="AM128" s="230"/>
      <c r="AN128" s="230"/>
      <c r="AO128" s="252">
        <f t="shared" si="51"/>
        <v>25394.240916408646</v>
      </c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N128" s="25"/>
      <c r="BO128" s="25"/>
    </row>
    <row r="129" spans="5:67" x14ac:dyDescent="0.2">
      <c r="E129" s="204" t="s">
        <v>543</v>
      </c>
      <c r="F129" s="230"/>
      <c r="G129" s="230"/>
      <c r="H129" s="230"/>
      <c r="I129" s="230"/>
      <c r="J129" s="230"/>
      <c r="K129" s="230"/>
      <c r="L129" s="230"/>
      <c r="M129" s="230"/>
      <c r="N129" s="230"/>
      <c r="O129" s="230"/>
      <c r="P129" s="230"/>
      <c r="Q129" s="230"/>
      <c r="R129" s="230"/>
      <c r="S129" s="230"/>
      <c r="T129" s="230"/>
      <c r="U129" s="230"/>
      <c r="V129" s="230"/>
      <c r="W129" s="230">
        <f>'Ore-&gt;PI'!BI206</f>
        <v>8753719.7068998404</v>
      </c>
      <c r="X129" s="230"/>
      <c r="Y129" s="230"/>
      <c r="Z129" s="230"/>
      <c r="AA129" s="230"/>
      <c r="AB129" s="230"/>
      <c r="AC129" s="230"/>
      <c r="AD129" s="230"/>
      <c r="AE129" s="230"/>
      <c r="AF129" s="230"/>
      <c r="AG129" s="230"/>
      <c r="AH129" s="230"/>
      <c r="AI129" s="230"/>
      <c r="AJ129" s="230"/>
      <c r="AK129" s="230"/>
      <c r="AL129" s="230"/>
      <c r="AM129" s="230"/>
      <c r="AN129" s="230"/>
      <c r="AO129" s="252">
        <f t="shared" si="51"/>
        <v>8753719.7068998404</v>
      </c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N129" s="25"/>
      <c r="BO129" s="25"/>
    </row>
    <row r="130" spans="5:67" x14ac:dyDescent="0.2">
      <c r="E130" s="204" t="s">
        <v>443</v>
      </c>
      <c r="F130" s="230"/>
      <c r="G130" s="230"/>
      <c r="H130" s="230"/>
      <c r="I130" s="230"/>
      <c r="J130" s="230"/>
      <c r="K130" s="230"/>
      <c r="L130" s="230"/>
      <c r="M130" s="230"/>
      <c r="N130" s="230"/>
      <c r="O130" s="230"/>
      <c r="P130" s="230"/>
      <c r="Q130" s="230"/>
      <c r="R130" s="230"/>
      <c r="S130" s="230"/>
      <c r="T130" s="230"/>
      <c r="U130" s="230"/>
      <c r="V130" s="230"/>
      <c r="W130" s="230"/>
      <c r="X130" s="230">
        <f>'Ore-&gt;PI'!CA42</f>
        <v>88965.799815334409</v>
      </c>
      <c r="Y130" s="230">
        <f>'Ore-&gt;PI'!CA55</f>
        <v>21743.416787545681</v>
      </c>
      <c r="Z130" s="230"/>
      <c r="AA130" s="230"/>
      <c r="AB130" s="230"/>
      <c r="AC130" s="230"/>
      <c r="AD130" s="230"/>
      <c r="AE130" s="230"/>
      <c r="AF130" s="230"/>
      <c r="AG130" s="230"/>
      <c r="AH130" s="230"/>
      <c r="AI130" s="230"/>
      <c r="AJ130" s="230"/>
      <c r="AK130" s="230"/>
      <c r="AL130" s="230"/>
      <c r="AM130" s="230"/>
      <c r="AN130" s="230"/>
      <c r="AO130" s="252">
        <f t="shared" si="51"/>
        <v>110709.21660288009</v>
      </c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N130" s="25"/>
      <c r="BO130" s="25"/>
    </row>
    <row r="131" spans="5:67" x14ac:dyDescent="0.2">
      <c r="E131" s="204" t="s">
        <v>440</v>
      </c>
      <c r="F131" s="230"/>
      <c r="G131" s="230"/>
      <c r="H131" s="230"/>
      <c r="I131" s="230"/>
      <c r="J131" s="230"/>
      <c r="K131" s="230"/>
      <c r="L131" s="230"/>
      <c r="M131" s="230"/>
      <c r="N131" s="230"/>
      <c r="O131" s="230"/>
      <c r="P131" s="230"/>
      <c r="Q131" s="230"/>
      <c r="R131" s="230"/>
      <c r="S131" s="230"/>
      <c r="T131" s="230"/>
      <c r="U131" s="230"/>
      <c r="V131" s="230"/>
      <c r="W131" s="230"/>
      <c r="X131" s="230"/>
      <c r="Y131" s="230"/>
      <c r="Z131" s="230">
        <f>'Ore-&gt;PI'!CB126</f>
        <v>25394.240916408646</v>
      </c>
      <c r="AA131" s="230"/>
      <c r="AB131" s="230"/>
      <c r="AC131" s="230"/>
      <c r="AD131" s="230"/>
      <c r="AE131" s="230"/>
      <c r="AF131" s="230"/>
      <c r="AG131" s="230"/>
      <c r="AH131" s="230"/>
      <c r="AI131" s="230"/>
      <c r="AJ131" s="230"/>
      <c r="AK131" s="230"/>
      <c r="AL131" s="230"/>
      <c r="AM131" s="230"/>
      <c r="AN131" s="230"/>
      <c r="AO131" s="252">
        <f t="shared" si="51"/>
        <v>25394.240916408646</v>
      </c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N131" s="25"/>
      <c r="BO131" s="25"/>
    </row>
    <row r="132" spans="5:67" x14ac:dyDescent="0.2">
      <c r="E132" s="204" t="s">
        <v>458</v>
      </c>
      <c r="F132" s="230"/>
      <c r="G132" s="230"/>
      <c r="H132" s="230"/>
      <c r="I132" s="230"/>
      <c r="J132" s="230"/>
      <c r="K132" s="230"/>
      <c r="L132" s="230"/>
      <c r="M132" s="230"/>
      <c r="N132" s="230"/>
      <c r="O132" s="230"/>
      <c r="P132" s="230"/>
      <c r="Q132" s="230"/>
      <c r="R132" s="230"/>
      <c r="S132" s="230"/>
      <c r="T132" s="230"/>
      <c r="U132" s="230"/>
      <c r="V132" s="230"/>
      <c r="W132" s="230"/>
      <c r="X132" s="230"/>
      <c r="Y132" s="230"/>
      <c r="Z132" s="230"/>
      <c r="AA132" s="230">
        <f>'Ore-&gt;PI'!CB206</f>
        <v>8753719.7068998404</v>
      </c>
      <c r="AB132" s="230"/>
      <c r="AC132" s="230"/>
      <c r="AD132" s="230"/>
      <c r="AE132" s="230"/>
      <c r="AF132" s="230"/>
      <c r="AG132" s="230"/>
      <c r="AH132" s="230"/>
      <c r="AI132" s="230"/>
      <c r="AJ132" s="230"/>
      <c r="AK132" s="230"/>
      <c r="AL132" s="230"/>
      <c r="AM132" s="230"/>
      <c r="AN132" s="230"/>
      <c r="AO132" s="252">
        <f t="shared" si="51"/>
        <v>8753719.7068998404</v>
      </c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N132" s="25"/>
      <c r="BO132" s="25"/>
    </row>
    <row r="133" spans="5:67" x14ac:dyDescent="0.2">
      <c r="E133" s="204" t="s">
        <v>441</v>
      </c>
      <c r="F133" s="230"/>
      <c r="G133" s="230"/>
      <c r="H133" s="230"/>
      <c r="I133" s="230"/>
      <c r="J133" s="230"/>
      <c r="K133" s="230"/>
      <c r="L133" s="230"/>
      <c r="M133" s="230"/>
      <c r="N133" s="230"/>
      <c r="O133" s="230"/>
      <c r="P133" s="230"/>
      <c r="Q133" s="230"/>
      <c r="R133" s="230"/>
      <c r="S133" s="230"/>
      <c r="T133" s="230"/>
      <c r="U133" s="230"/>
      <c r="V133" s="230"/>
      <c r="W133" s="230"/>
      <c r="X133" s="230"/>
      <c r="Y133" s="230"/>
      <c r="Z133" s="230"/>
      <c r="AA133" s="230"/>
      <c r="AB133" s="230">
        <f>'Ore-&gt;PI'!CW126</f>
        <v>242016.07607977447</v>
      </c>
      <c r="AC133" s="230">
        <f>'Ore-&gt;PI'!CW114</f>
        <v>7739.2511800711582</v>
      </c>
      <c r="AD133" s="230">
        <f>'Ore-&gt;PI'!CW138</f>
        <v>1133973033.3846123</v>
      </c>
      <c r="AE133" s="230"/>
      <c r="AF133" s="230"/>
      <c r="AG133" s="230"/>
      <c r="AH133" s="230"/>
      <c r="AI133" s="230"/>
      <c r="AJ133" s="230"/>
      <c r="AK133" s="230"/>
      <c r="AL133" s="230"/>
      <c r="AM133" s="230"/>
      <c r="AN133" s="230"/>
      <c r="AO133" s="252">
        <f t="shared" si="51"/>
        <v>1134222788.7118721</v>
      </c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N133" s="25"/>
      <c r="BO133" s="25"/>
    </row>
    <row r="134" spans="5:67" x14ac:dyDescent="0.2">
      <c r="E134" s="204" t="s">
        <v>436</v>
      </c>
      <c r="F134" s="230"/>
      <c r="G134" s="230"/>
      <c r="H134" s="230"/>
      <c r="I134" s="230"/>
      <c r="J134" s="230"/>
      <c r="K134" s="230"/>
      <c r="L134" s="230"/>
      <c r="M134" s="230"/>
      <c r="N134" s="230"/>
      <c r="O134" s="230"/>
      <c r="P134" s="230"/>
      <c r="Q134" s="230"/>
      <c r="R134" s="230"/>
      <c r="S134" s="230"/>
      <c r="T134" s="230"/>
      <c r="U134" s="230"/>
      <c r="V134" s="230"/>
      <c r="W134" s="230"/>
      <c r="X134" s="230"/>
      <c r="Y134" s="230"/>
      <c r="Z134" s="230"/>
      <c r="AA134" s="230"/>
      <c r="AB134" s="230"/>
      <c r="AC134" s="230"/>
      <c r="AD134" s="230"/>
      <c r="AE134" s="230">
        <f>'Ore-&gt;PI'!CW206</f>
        <v>6791339.3350291392</v>
      </c>
      <c r="AF134" s="230">
        <f>'Ore-&gt;PI'!CW233</f>
        <v>5935408.0537775028</v>
      </c>
      <c r="AG134" s="230">
        <f>'Ore-&gt;PI'!CW217</f>
        <v>5366.0434241372932</v>
      </c>
      <c r="AH134" s="230">
        <f>'Ore-&gt;PI'!CW250</f>
        <v>50611.612737094903</v>
      </c>
      <c r="AI134" s="230"/>
      <c r="AJ134" s="230"/>
      <c r="AK134" s="230"/>
      <c r="AL134" s="230"/>
      <c r="AM134" s="230"/>
      <c r="AN134" s="230"/>
      <c r="AO134" s="252">
        <f t="shared" si="51"/>
        <v>12782725.044967873</v>
      </c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N134" s="25"/>
      <c r="BO134" s="25"/>
    </row>
    <row r="135" spans="5:67" x14ac:dyDescent="0.2">
      <c r="E135" s="204" t="s">
        <v>672</v>
      </c>
      <c r="F135" s="230"/>
      <c r="G135" s="230"/>
      <c r="H135" s="230"/>
      <c r="I135" s="230"/>
      <c r="J135" s="230"/>
      <c r="K135" s="230"/>
      <c r="L135" s="230"/>
      <c r="M135" s="230"/>
      <c r="N135" s="230"/>
      <c r="O135" s="230"/>
      <c r="P135" s="230"/>
      <c r="Q135" s="230"/>
      <c r="R135" s="230"/>
      <c r="S135" s="230"/>
      <c r="T135" s="230"/>
      <c r="U135" s="230"/>
      <c r="V135" s="230"/>
      <c r="W135" s="230"/>
      <c r="X135" s="230"/>
      <c r="Y135" s="230"/>
      <c r="Z135" s="230"/>
      <c r="AA135" s="230"/>
      <c r="AB135" s="230"/>
      <c r="AC135" s="230"/>
      <c r="AD135" s="230"/>
      <c r="AE135" s="230"/>
      <c r="AF135" s="230"/>
      <c r="AG135" s="230"/>
      <c r="AH135" s="230"/>
      <c r="AI135" s="230">
        <f>'Ore-&gt;PI'!DQ233</f>
        <v>5944558.1059355522</v>
      </c>
      <c r="AJ135" s="230"/>
      <c r="AK135" s="230"/>
      <c r="AL135" s="230"/>
      <c r="AM135" s="230"/>
      <c r="AN135" s="230"/>
      <c r="AO135" s="252">
        <f t="shared" si="51"/>
        <v>5944558.1059355522</v>
      </c>
    </row>
    <row r="136" spans="5:67" x14ac:dyDescent="0.2">
      <c r="E136" s="204" t="s">
        <v>675</v>
      </c>
      <c r="F136" s="230"/>
      <c r="G136" s="230"/>
      <c r="H136" s="230"/>
      <c r="I136" s="230"/>
      <c r="J136" s="230"/>
      <c r="K136" s="230"/>
      <c r="L136" s="230"/>
      <c r="M136" s="230"/>
      <c r="N136" s="230"/>
      <c r="O136" s="230"/>
      <c r="P136" s="230"/>
      <c r="Q136" s="230"/>
      <c r="R136" s="230"/>
      <c r="S136" s="230"/>
      <c r="T136" s="230"/>
      <c r="U136" s="230"/>
      <c r="V136" s="230"/>
      <c r="W136" s="230"/>
      <c r="X136" s="230"/>
      <c r="Y136" s="230"/>
      <c r="Z136" s="230"/>
      <c r="AA136" s="230"/>
      <c r="AB136" s="230"/>
      <c r="AC136" s="230"/>
      <c r="AD136" s="230"/>
      <c r="AE136" s="230"/>
      <c r="AF136" s="230"/>
      <c r="AG136" s="230"/>
      <c r="AH136" s="230"/>
      <c r="AI136" s="230"/>
      <c r="AJ136" s="230">
        <f>'Ore-&gt;PI'!$EL$233</f>
        <v>5944558.1059355522</v>
      </c>
      <c r="AK136" s="230"/>
      <c r="AL136" s="230"/>
      <c r="AM136" s="230"/>
      <c r="AN136" s="230"/>
      <c r="AO136" s="252">
        <f t="shared" si="51"/>
        <v>5944558.1059355522</v>
      </c>
    </row>
    <row r="137" spans="5:67" x14ac:dyDescent="0.2">
      <c r="E137" s="204" t="s">
        <v>81</v>
      </c>
      <c r="F137" s="230"/>
      <c r="G137" s="230"/>
      <c r="H137" s="230"/>
      <c r="I137" s="230"/>
      <c r="J137" s="230"/>
      <c r="K137" s="230"/>
      <c r="L137" s="230"/>
      <c r="M137" s="230"/>
      <c r="N137" s="230"/>
      <c r="O137" s="230"/>
      <c r="P137" s="230"/>
      <c r="Q137" s="230"/>
      <c r="R137" s="230"/>
      <c r="S137" s="230"/>
      <c r="T137" s="230"/>
      <c r="U137" s="230"/>
      <c r="V137" s="230"/>
      <c r="W137" s="230"/>
      <c r="X137" s="230"/>
      <c r="Y137" s="230"/>
      <c r="Z137" s="230"/>
      <c r="AA137" s="230"/>
      <c r="AB137" s="230"/>
      <c r="AC137" s="230"/>
      <c r="AD137" s="230"/>
      <c r="AE137" s="230"/>
      <c r="AF137" s="230"/>
      <c r="AG137" s="230"/>
      <c r="AH137" s="243"/>
      <c r="AI137" s="230"/>
      <c r="AJ137" s="230"/>
      <c r="AK137" s="243">
        <f>'Ore-&gt;PI'!EM126</f>
        <v>7072531.8830895294</v>
      </c>
      <c r="AL137" s="230"/>
      <c r="AM137" s="230"/>
      <c r="AN137" s="230"/>
      <c r="AO137" s="252">
        <f t="shared" si="51"/>
        <v>7072531.8830895294</v>
      </c>
    </row>
    <row r="138" spans="5:67" x14ac:dyDescent="0.2">
      <c r="E138" s="204" t="s">
        <v>427</v>
      </c>
      <c r="F138" s="230"/>
      <c r="G138" s="230"/>
      <c r="H138" s="230"/>
      <c r="I138" s="243"/>
      <c r="J138" s="230"/>
      <c r="K138" s="230"/>
      <c r="L138" s="230"/>
      <c r="M138" s="230"/>
      <c r="N138" s="230"/>
      <c r="O138" s="230"/>
      <c r="P138" s="230"/>
      <c r="Q138" s="230"/>
      <c r="R138" s="230"/>
      <c r="S138" s="230"/>
      <c r="T138" s="230"/>
      <c r="U138" s="230"/>
      <c r="V138" s="230"/>
      <c r="W138" s="230"/>
      <c r="X138" s="230"/>
      <c r="Y138" s="230"/>
      <c r="Z138" s="230"/>
      <c r="AA138" s="230"/>
      <c r="AB138" s="230"/>
      <c r="AC138" s="230"/>
      <c r="AD138" s="247"/>
      <c r="AE138" s="230"/>
      <c r="AF138" s="230"/>
      <c r="AG138" s="230"/>
      <c r="AH138" s="230"/>
      <c r="AI138" s="230"/>
      <c r="AJ138" s="230"/>
      <c r="AK138" s="230"/>
      <c r="AL138" s="230">
        <f>'Ore-&gt;PI'!FM126</f>
        <v>4157895.2984628798</v>
      </c>
      <c r="AM138" s="230">
        <f>'Ore-&gt;PI'!FM141</f>
        <v>432711.9695416363</v>
      </c>
      <c r="AN138" s="230">
        <f>'Ore-&gt;PI'!FM104</f>
        <v>67875.356217847453</v>
      </c>
      <c r="AO138" s="252">
        <f t="shared" si="51"/>
        <v>4658482.6242223633</v>
      </c>
    </row>
    <row r="139" spans="5:67" x14ac:dyDescent="0.2">
      <c r="E139" s="204"/>
      <c r="F139" s="394" t="s">
        <v>419</v>
      </c>
      <c r="G139" s="394"/>
      <c r="H139" s="394"/>
      <c r="I139" s="394"/>
      <c r="J139" s="394"/>
      <c r="K139" s="394"/>
      <c r="L139" s="394"/>
      <c r="M139" s="394"/>
      <c r="N139" s="394"/>
      <c r="O139" s="394"/>
      <c r="P139" s="394"/>
      <c r="Q139" s="394"/>
      <c r="R139" s="394"/>
      <c r="S139" s="394"/>
      <c r="T139" s="394"/>
      <c r="U139" s="394"/>
      <c r="V139" s="394"/>
      <c r="W139" s="394"/>
      <c r="X139" s="394"/>
      <c r="Y139" s="394"/>
      <c r="Z139" s="394"/>
      <c r="AA139" s="394"/>
      <c r="AB139" s="394"/>
      <c r="AC139" s="394"/>
      <c r="AD139" s="394"/>
      <c r="AE139" s="394"/>
      <c r="AF139" s="394"/>
      <c r="AG139" s="394"/>
      <c r="AH139" s="394"/>
      <c r="AI139" s="394"/>
      <c r="AJ139" s="394"/>
      <c r="AK139" s="394"/>
      <c r="AL139" s="394"/>
      <c r="AM139" s="394"/>
      <c r="AN139" s="394"/>
      <c r="AO139" s="25" t="s">
        <v>465</v>
      </c>
      <c r="AP139" s="25"/>
    </row>
    <row r="140" spans="5:67" x14ac:dyDescent="0.2">
      <c r="E140" s="204"/>
      <c r="F140" s="252">
        <f t="shared" ref="F140:AN140" si="52">SUM(F124:F138)</f>
        <v>0</v>
      </c>
      <c r="G140" s="252">
        <f t="shared" si="52"/>
        <v>0</v>
      </c>
      <c r="H140" s="252">
        <f t="shared" si="52"/>
        <v>0</v>
      </c>
      <c r="I140" s="252">
        <f t="shared" si="52"/>
        <v>0</v>
      </c>
      <c r="J140" s="252">
        <f t="shared" si="52"/>
        <v>0</v>
      </c>
      <c r="K140" s="252">
        <f t="shared" si="52"/>
        <v>0</v>
      </c>
      <c r="L140" s="252">
        <f t="shared" si="52"/>
        <v>0</v>
      </c>
      <c r="M140" s="252">
        <f t="shared" si="52"/>
        <v>0</v>
      </c>
      <c r="N140" s="252">
        <f t="shared" si="52"/>
        <v>0</v>
      </c>
      <c r="O140" s="252">
        <f t="shared" si="52"/>
        <v>109233.7126431732</v>
      </c>
      <c r="P140" s="252">
        <f t="shared" si="52"/>
        <v>2418.6577581793781</v>
      </c>
      <c r="Q140" s="252">
        <f t="shared" si="52"/>
        <v>25394.240916408646</v>
      </c>
      <c r="R140" s="252">
        <f t="shared" si="52"/>
        <v>7.2399197950896488</v>
      </c>
      <c r="S140" s="252">
        <f t="shared" si="52"/>
        <v>8753719.7068998404</v>
      </c>
      <c r="T140" s="252">
        <f t="shared" si="52"/>
        <v>575.29559740969785</v>
      </c>
      <c r="U140" s="252">
        <f t="shared" si="52"/>
        <v>109233.7126431732</v>
      </c>
      <c r="V140" s="252">
        <f t="shared" si="52"/>
        <v>25394.240916408646</v>
      </c>
      <c r="W140" s="252">
        <f t="shared" si="52"/>
        <v>8753719.7068998404</v>
      </c>
      <c r="X140" s="252">
        <f t="shared" si="52"/>
        <v>88965.799815334409</v>
      </c>
      <c r="Y140" s="252">
        <f t="shared" si="52"/>
        <v>21743.416787545681</v>
      </c>
      <c r="Z140" s="252">
        <f t="shared" si="52"/>
        <v>25394.240916408646</v>
      </c>
      <c r="AA140" s="252">
        <f t="shared" si="52"/>
        <v>8753719.7068998404</v>
      </c>
      <c r="AB140" s="252">
        <f t="shared" si="52"/>
        <v>242016.07607977447</v>
      </c>
      <c r="AC140" s="252">
        <f t="shared" si="52"/>
        <v>7739.2511800711582</v>
      </c>
      <c r="AD140" s="252">
        <f t="shared" si="52"/>
        <v>1133973033.3846123</v>
      </c>
      <c r="AE140" s="252">
        <f t="shared" si="52"/>
        <v>6791339.3350291392</v>
      </c>
      <c r="AF140" s="252">
        <f t="shared" si="52"/>
        <v>5935408.0537775028</v>
      </c>
      <c r="AG140" s="252">
        <f t="shared" si="52"/>
        <v>5366.0434241372932</v>
      </c>
      <c r="AH140" s="252">
        <f t="shared" si="52"/>
        <v>50611.612737094903</v>
      </c>
      <c r="AI140" s="252">
        <f t="shared" si="52"/>
        <v>5944558.1059355522</v>
      </c>
      <c r="AJ140" s="252">
        <f t="shared" si="52"/>
        <v>5944558.1059355522</v>
      </c>
      <c r="AK140" s="252">
        <f t="shared" si="52"/>
        <v>7072531.8830895294</v>
      </c>
      <c r="AL140" s="252">
        <f t="shared" si="52"/>
        <v>4157895.2984628798</v>
      </c>
      <c r="AM140" s="252">
        <f t="shared" si="52"/>
        <v>432711.9695416363</v>
      </c>
      <c r="AN140" s="252">
        <f t="shared" si="52"/>
        <v>67875.356217847453</v>
      </c>
    </row>
    <row r="141" spans="5:67" x14ac:dyDescent="0.2">
      <c r="E141" s="204"/>
      <c r="F141" s="394" t="s">
        <v>466</v>
      </c>
      <c r="G141" s="394"/>
      <c r="H141" s="394"/>
      <c r="I141" s="394"/>
      <c r="J141" s="394"/>
      <c r="K141" s="394"/>
      <c r="L141" s="394"/>
      <c r="M141" s="394"/>
      <c r="N141" s="394"/>
      <c r="O141" s="394"/>
      <c r="P141" s="394"/>
      <c r="Q141" s="394"/>
      <c r="R141" s="394"/>
      <c r="S141" s="394"/>
      <c r="T141" s="394"/>
      <c r="U141" s="394"/>
      <c r="V141" s="394"/>
      <c r="W141" s="394"/>
      <c r="X141" s="394"/>
      <c r="Y141" s="394"/>
      <c r="Z141" s="394"/>
      <c r="AA141" s="394"/>
      <c r="AB141" s="394"/>
      <c r="AC141" s="394"/>
      <c r="AD141" s="394"/>
      <c r="AE141" s="394"/>
      <c r="AF141" s="394"/>
      <c r="AG141" s="394"/>
      <c r="AH141" s="394"/>
      <c r="AI141" s="394"/>
      <c r="AJ141" s="394"/>
      <c r="AK141" s="394"/>
      <c r="AL141" s="394"/>
      <c r="AM141" s="394"/>
      <c r="AN141" s="394"/>
    </row>
    <row r="142" spans="5:67" x14ac:dyDescent="0.2">
      <c r="E142" s="204"/>
    </row>
    <row r="143" spans="5:67" x14ac:dyDescent="0.2">
      <c r="E143" s="204"/>
    </row>
    <row r="144" spans="5:67" x14ac:dyDescent="0.2">
      <c r="E144" s="204"/>
    </row>
    <row r="145" spans="5:46" x14ac:dyDescent="0.2">
      <c r="E145" s="204"/>
    </row>
    <row r="146" spans="5:46" x14ac:dyDescent="0.2">
      <c r="E146" s="204"/>
    </row>
    <row r="147" spans="5:46" x14ac:dyDescent="0.2">
      <c r="E147" s="204"/>
    </row>
    <row r="148" spans="5:46" x14ac:dyDescent="0.2">
      <c r="E148" s="204"/>
    </row>
    <row r="149" spans="5:46" x14ac:dyDescent="0.2">
      <c r="E149" s="204"/>
    </row>
    <row r="150" spans="5:46" x14ac:dyDescent="0.2">
      <c r="E150" s="204"/>
    </row>
    <row r="151" spans="5:46" x14ac:dyDescent="0.2">
      <c r="E151" s="204"/>
    </row>
    <row r="152" spans="5:46" ht="236" x14ac:dyDescent="0.2">
      <c r="E152" s="204"/>
      <c r="F152" s="207" t="s">
        <v>423</v>
      </c>
      <c r="G152" s="207" t="s">
        <v>425</v>
      </c>
      <c r="H152" s="207" t="s">
        <v>426</v>
      </c>
      <c r="I152" s="207" t="s">
        <v>447</v>
      </c>
      <c r="J152" s="207" t="s">
        <v>477</v>
      </c>
      <c r="K152" s="207" t="s">
        <v>576</v>
      </c>
      <c r="L152" s="207" t="s">
        <v>577</v>
      </c>
      <c r="M152" s="207" t="s">
        <v>519</v>
      </c>
      <c r="N152" s="207" t="s">
        <v>569</v>
      </c>
      <c r="O152" s="209" t="s">
        <v>551</v>
      </c>
      <c r="P152" s="207" t="s">
        <v>517</v>
      </c>
      <c r="Q152" s="209" t="s">
        <v>520</v>
      </c>
      <c r="R152" s="207" t="s">
        <v>546</v>
      </c>
      <c r="S152" s="210" t="s">
        <v>538</v>
      </c>
      <c r="T152" s="207" t="s">
        <v>524</v>
      </c>
      <c r="U152" s="209" t="s">
        <v>550</v>
      </c>
      <c r="V152" s="209" t="s">
        <v>545</v>
      </c>
      <c r="W152" s="209" t="s">
        <v>542</v>
      </c>
      <c r="X152" s="209" t="s">
        <v>548</v>
      </c>
      <c r="Y152" s="210" t="s">
        <v>547</v>
      </c>
      <c r="Z152" s="210" t="s">
        <v>532</v>
      </c>
      <c r="AA152" s="210" t="s">
        <v>566</v>
      </c>
      <c r="AB152" s="210" t="s">
        <v>533</v>
      </c>
      <c r="AC152" s="210" t="s">
        <v>535</v>
      </c>
      <c r="AD152" s="210" t="s">
        <v>534</v>
      </c>
      <c r="AE152" s="210" t="s">
        <v>632</v>
      </c>
      <c r="AF152" s="232" t="s">
        <v>530</v>
      </c>
      <c r="AG152" s="210" t="s">
        <v>529</v>
      </c>
      <c r="AH152" s="207" t="s">
        <v>531</v>
      </c>
      <c r="AI152" s="210" t="s">
        <v>673</v>
      </c>
      <c r="AJ152" s="210" t="s">
        <v>676</v>
      </c>
      <c r="AK152" s="210" t="s">
        <v>554</v>
      </c>
      <c r="AL152" s="210" t="s">
        <v>555</v>
      </c>
      <c r="AM152" s="210" t="s">
        <v>556</v>
      </c>
      <c r="AN152" s="210" t="s">
        <v>567</v>
      </c>
      <c r="AO152" s="210"/>
      <c r="AP152" s="210"/>
    </row>
    <row r="153" spans="5:46" x14ac:dyDescent="0.2">
      <c r="E153" s="204" t="s">
        <v>422</v>
      </c>
      <c r="F153" s="244">
        <f>'Ore-&gt;PI'!V42</f>
        <v>109233.7126431732</v>
      </c>
      <c r="G153" s="244"/>
      <c r="H153" s="244"/>
      <c r="I153" s="244"/>
      <c r="J153" s="244"/>
      <c r="K153" s="244"/>
      <c r="L153" s="244"/>
      <c r="M153" s="244"/>
      <c r="N153" s="244"/>
      <c r="O153" s="244"/>
      <c r="P153" s="244"/>
      <c r="Q153" s="244"/>
      <c r="R153" s="244"/>
      <c r="S153" s="244"/>
      <c r="T153" s="244"/>
      <c r="U153" s="244"/>
      <c r="V153" s="244"/>
      <c r="W153" s="244"/>
      <c r="X153" s="244"/>
      <c r="Y153" s="244"/>
      <c r="Z153" s="244"/>
      <c r="AA153" s="244"/>
      <c r="AB153" s="244"/>
      <c r="AC153" s="244"/>
      <c r="AD153" s="244"/>
      <c r="AE153" s="244"/>
      <c r="AF153" s="244"/>
      <c r="AG153" s="244"/>
      <c r="AH153" s="244"/>
      <c r="AI153" s="244"/>
      <c r="AJ153" s="244"/>
      <c r="AK153" s="244"/>
      <c r="AL153" s="244"/>
      <c r="AM153" s="244"/>
      <c r="AN153" s="244"/>
    </row>
    <row r="154" spans="5:46" ht="16" x14ac:dyDescent="0.2">
      <c r="E154" s="205" t="s">
        <v>424</v>
      </c>
      <c r="F154" s="244"/>
      <c r="G154" s="244">
        <f>'Ore-&gt;PI'!V126</f>
        <v>25394.240916408646</v>
      </c>
      <c r="H154" s="244"/>
      <c r="I154" s="244"/>
      <c r="J154" s="244"/>
      <c r="K154" s="244"/>
      <c r="L154" s="244"/>
      <c r="M154" s="244"/>
      <c r="N154" s="244"/>
      <c r="O154" s="244"/>
      <c r="P154" s="244"/>
      <c r="Q154" s="244"/>
      <c r="R154" s="244"/>
      <c r="S154" s="244"/>
      <c r="T154" s="244"/>
      <c r="U154" s="244"/>
      <c r="V154" s="244"/>
      <c r="W154" s="244"/>
      <c r="X154" s="244"/>
      <c r="Y154" s="244"/>
      <c r="Z154" s="244"/>
      <c r="AA154" s="244"/>
      <c r="AB154" s="244"/>
      <c r="AC154" s="244"/>
      <c r="AD154" s="244"/>
      <c r="AE154" s="244"/>
      <c r="AF154" s="244"/>
      <c r="AG154" s="244"/>
      <c r="AH154" s="244"/>
      <c r="AI154" s="244"/>
      <c r="AJ154" s="244"/>
      <c r="AK154" s="244"/>
      <c r="AL154" s="244"/>
      <c r="AM154" s="244"/>
      <c r="AN154" s="244"/>
    </row>
    <row r="155" spans="5:46" x14ac:dyDescent="0.2">
      <c r="E155" s="206" t="s">
        <v>448</v>
      </c>
      <c r="F155" s="244"/>
      <c r="G155" s="244"/>
      <c r="H155" s="244">
        <f>'Ore-&gt;PI'!V206</f>
        <v>8753719.7068998404</v>
      </c>
      <c r="I155" s="244"/>
      <c r="J155" s="244"/>
      <c r="K155" s="244"/>
      <c r="L155" s="244"/>
      <c r="M155" s="244"/>
      <c r="N155" s="244"/>
      <c r="O155" s="244"/>
      <c r="P155" s="244"/>
      <c r="Q155" s="244"/>
      <c r="R155" s="244"/>
      <c r="S155" s="244"/>
      <c r="T155" s="244"/>
      <c r="U155" s="244"/>
      <c r="V155" s="244"/>
      <c r="W155" s="244"/>
      <c r="X155" s="244"/>
      <c r="Y155" s="244"/>
      <c r="Z155" s="244"/>
      <c r="AA155" s="244"/>
      <c r="AB155" s="244"/>
      <c r="AC155" s="244"/>
      <c r="AD155" s="244"/>
      <c r="AE155" s="244"/>
      <c r="AF155" s="244"/>
      <c r="AG155" s="244"/>
      <c r="AH155" s="244"/>
      <c r="AI155" s="244"/>
      <c r="AJ155" s="244"/>
      <c r="AK155" s="244"/>
      <c r="AL155" s="244"/>
      <c r="AM155" s="244"/>
      <c r="AN155" s="244"/>
    </row>
    <row r="156" spans="5:46" x14ac:dyDescent="0.2">
      <c r="E156" s="204" t="s">
        <v>483</v>
      </c>
      <c r="F156" s="244"/>
      <c r="G156" s="244"/>
      <c r="H156" s="244"/>
      <c r="I156" s="250">
        <f>'Ore-&gt;PI'!V236+'Ore-&gt;PI'!V163+'Ore-&gt;PI'!V72+'Ore-&gt;PI'!CB242+'Ore-&gt;PI'!CB140+'Ore-&gt;PI'!EM140</f>
        <v>37447.874761826519</v>
      </c>
      <c r="J156" s="244"/>
      <c r="K156" s="244"/>
      <c r="L156" s="244"/>
      <c r="M156" s="244"/>
      <c r="N156" s="244"/>
      <c r="O156" s="244"/>
      <c r="P156" s="244"/>
      <c r="Q156" s="244"/>
      <c r="R156" s="244"/>
      <c r="S156" s="244"/>
      <c r="T156" s="244"/>
      <c r="U156" s="244"/>
      <c r="V156" s="244"/>
      <c r="W156" s="244"/>
      <c r="X156" s="244"/>
      <c r="Y156" s="244"/>
      <c r="Z156" s="244"/>
      <c r="AA156" s="244"/>
      <c r="AB156" s="244"/>
      <c r="AC156" s="244"/>
      <c r="AD156" s="244"/>
      <c r="AE156" s="244"/>
      <c r="AF156" s="244"/>
      <c r="AG156" s="244"/>
      <c r="AH156" s="244"/>
      <c r="AI156" s="244"/>
      <c r="AJ156" s="244"/>
      <c r="AK156" s="244"/>
      <c r="AL156" s="244"/>
      <c r="AM156" s="244"/>
      <c r="AN156" s="244"/>
    </row>
    <row r="157" spans="5:46" x14ac:dyDescent="0.2">
      <c r="E157" s="204" t="s">
        <v>476</v>
      </c>
      <c r="F157" s="244"/>
      <c r="G157" s="244"/>
      <c r="H157" s="244"/>
      <c r="I157" s="244"/>
      <c r="J157" s="244">
        <f>'Ore-&gt;PI'!EM114+'Ore-&gt;PI'!CB152+'Ore-&gt;PI'!CB254</f>
        <v>1081571592.2511754</v>
      </c>
      <c r="K157" s="244"/>
      <c r="L157" s="244"/>
      <c r="M157" s="244"/>
      <c r="N157" s="244"/>
      <c r="O157" s="244"/>
      <c r="P157" s="244"/>
      <c r="Q157" s="244"/>
      <c r="R157" s="244"/>
      <c r="S157" s="244"/>
      <c r="T157" s="244"/>
      <c r="U157" s="244"/>
      <c r="V157" s="244"/>
      <c r="W157" s="244"/>
      <c r="X157" s="244"/>
      <c r="Y157" s="244"/>
      <c r="Z157" s="244"/>
      <c r="AA157" s="244"/>
      <c r="AB157" s="244"/>
      <c r="AC157" s="244"/>
      <c r="AD157" s="244"/>
      <c r="AE157" s="244"/>
      <c r="AF157" s="244"/>
      <c r="AG157" s="244"/>
      <c r="AH157" s="244"/>
      <c r="AI157" s="244"/>
      <c r="AJ157" s="244"/>
      <c r="AK157" s="244"/>
      <c r="AL157" s="244"/>
      <c r="AM157" s="244"/>
      <c r="AN157" s="244"/>
    </row>
    <row r="158" spans="5:46" x14ac:dyDescent="0.2">
      <c r="E158" s="204" t="s">
        <v>579</v>
      </c>
      <c r="F158" s="244"/>
      <c r="G158" s="244"/>
      <c r="H158" s="244"/>
      <c r="I158" s="244"/>
      <c r="J158" s="244"/>
      <c r="K158" s="244">
        <f>'Ore-&gt;PI'!V59+'Ore-&gt;PI'!V140+'Ore-&gt;PI'!V222</f>
        <v>116797.57129876292</v>
      </c>
      <c r="L158" s="244"/>
      <c r="M158" s="244"/>
      <c r="N158" s="244"/>
      <c r="O158" s="244"/>
      <c r="P158" s="244"/>
      <c r="Q158" s="244"/>
      <c r="R158" s="244"/>
      <c r="S158" s="244"/>
      <c r="T158" s="244"/>
      <c r="U158" s="244"/>
      <c r="V158" s="244"/>
      <c r="W158" s="244"/>
      <c r="X158" s="244"/>
      <c r="Y158" s="244"/>
      <c r="Z158" s="244"/>
      <c r="AA158" s="244"/>
      <c r="AB158" s="244"/>
      <c r="AC158" s="244"/>
      <c r="AD158" s="244"/>
      <c r="AE158" s="244"/>
      <c r="AF158" s="244"/>
      <c r="AG158" s="244"/>
      <c r="AH158" s="244"/>
      <c r="AI158" s="244"/>
      <c r="AJ158" s="244"/>
      <c r="AK158" s="244"/>
      <c r="AL158" s="244"/>
      <c r="AM158" s="244"/>
      <c r="AN158" s="244"/>
      <c r="AT158" s="232"/>
    </row>
    <row r="159" spans="5:46" x14ac:dyDescent="0.2">
      <c r="E159" s="204" t="s">
        <v>578</v>
      </c>
      <c r="F159" s="244"/>
      <c r="G159" s="244"/>
      <c r="H159" s="244"/>
      <c r="I159" s="244"/>
      <c r="J159" s="244"/>
      <c r="K159" s="244"/>
      <c r="L159" s="244">
        <f>'Ore-&gt;PI'!V151</f>
        <v>24.076233417548465</v>
      </c>
      <c r="M159" s="244"/>
      <c r="N159" s="244"/>
      <c r="O159" s="244"/>
      <c r="P159" s="244"/>
      <c r="Q159" s="244"/>
      <c r="R159" s="244"/>
      <c r="S159" s="244"/>
      <c r="T159" s="244"/>
      <c r="U159" s="244"/>
      <c r="V159" s="244"/>
      <c r="W159" s="244"/>
      <c r="X159" s="244"/>
      <c r="Y159" s="244"/>
      <c r="Z159" s="244"/>
      <c r="AA159" s="244"/>
      <c r="AB159" s="244"/>
      <c r="AC159" s="244"/>
      <c r="AD159" s="244"/>
      <c r="AE159" s="244"/>
      <c r="AF159" s="244"/>
      <c r="AG159" s="244"/>
      <c r="AH159" s="244"/>
      <c r="AI159" s="244"/>
      <c r="AJ159" s="244"/>
      <c r="AK159" s="244"/>
      <c r="AL159" s="244"/>
      <c r="AM159" s="244"/>
      <c r="AN159" s="244"/>
    </row>
    <row r="160" spans="5:46" x14ac:dyDescent="0.2">
      <c r="E160" s="204" t="s">
        <v>518</v>
      </c>
      <c r="F160" s="244"/>
      <c r="G160" s="244"/>
      <c r="H160" s="244"/>
      <c r="I160" s="244"/>
      <c r="J160" s="244"/>
      <c r="K160" s="244"/>
      <c r="L160" s="244"/>
      <c r="M160" s="244">
        <f>'Ore-&gt;PI'!EM101</f>
        <v>206840.02835429934</v>
      </c>
      <c r="N160" s="244"/>
      <c r="O160" s="244"/>
      <c r="P160" s="244"/>
      <c r="Q160" s="244"/>
      <c r="R160" s="244"/>
      <c r="S160" s="244"/>
      <c r="T160" s="244"/>
      <c r="U160" s="244"/>
      <c r="V160" s="244"/>
      <c r="W160" s="244"/>
      <c r="X160" s="244"/>
      <c r="Y160" s="244"/>
      <c r="Z160" s="244"/>
      <c r="AA160" s="244"/>
      <c r="AB160" s="244"/>
      <c r="AC160" s="244"/>
      <c r="AD160" s="244"/>
      <c r="AE160" s="244"/>
      <c r="AF160" s="244"/>
      <c r="AG160" s="244"/>
      <c r="AH160" s="244"/>
      <c r="AI160" s="244"/>
      <c r="AJ160" s="244"/>
      <c r="AK160" s="244"/>
      <c r="AL160" s="244"/>
      <c r="AM160" s="244"/>
      <c r="AN160" s="244"/>
    </row>
    <row r="161" spans="5:42" x14ac:dyDescent="0.2">
      <c r="E161" s="204" t="s">
        <v>568</v>
      </c>
      <c r="F161" s="244"/>
      <c r="G161" s="244"/>
      <c r="H161" s="244"/>
      <c r="I161" s="244"/>
      <c r="J161" s="244"/>
      <c r="K161" s="244"/>
      <c r="L161" s="244"/>
      <c r="M161" s="244"/>
      <c r="N161" s="244">
        <f>'Ore-&gt;PI'!EU117+'Ore-&gt;PI'!BM116+'Ore-&gt;PI'!AU113+'Ore-&gt;PI'!AC195+'Ore-&gt;PI'!AU190+'Ore-&gt;PI'!BM195+'Ore-&gt;PI'!DD229+'Ore-&gt;PI'!BN35+'Ore-&gt;PI'!AU28</f>
        <v>1259529.3337336415</v>
      </c>
      <c r="O161" s="244"/>
      <c r="P161" s="244"/>
      <c r="Q161" s="244"/>
      <c r="R161" s="244"/>
      <c r="S161" s="244"/>
      <c r="T161" s="244"/>
      <c r="U161" s="244"/>
      <c r="V161" s="244"/>
      <c r="W161" s="244"/>
      <c r="X161" s="244"/>
      <c r="Y161" s="244"/>
      <c r="Z161" s="244"/>
      <c r="AA161" s="244"/>
      <c r="AB161" s="244"/>
      <c r="AC161" s="244"/>
      <c r="AD161" s="244"/>
      <c r="AE161" s="244"/>
      <c r="AF161" s="244"/>
      <c r="AG161" s="244"/>
      <c r="AH161" s="244"/>
      <c r="AI161" s="244"/>
      <c r="AJ161" s="244"/>
      <c r="AK161" s="244"/>
      <c r="AL161" s="244"/>
      <c r="AM161" s="244"/>
      <c r="AN161" s="244"/>
    </row>
    <row r="162" spans="5:42" x14ac:dyDescent="0.2">
      <c r="F162" s="394" t="s">
        <v>57</v>
      </c>
      <c r="G162" s="394"/>
      <c r="H162" s="394"/>
      <c r="I162" s="394"/>
      <c r="J162" s="394"/>
      <c r="K162" s="394"/>
      <c r="L162" s="394"/>
      <c r="M162" s="394"/>
      <c r="N162" s="394"/>
      <c r="O162" s="394"/>
      <c r="P162" s="394"/>
      <c r="Q162" s="394"/>
      <c r="R162" s="394"/>
      <c r="S162" s="394"/>
      <c r="T162" s="394"/>
      <c r="U162" s="394"/>
      <c r="V162" s="394"/>
      <c r="W162" s="394"/>
      <c r="X162" s="394"/>
      <c r="Y162" s="394"/>
      <c r="Z162" s="394"/>
      <c r="AA162" s="394"/>
      <c r="AB162" s="394"/>
      <c r="AC162" s="394"/>
      <c r="AD162" s="394"/>
      <c r="AE162" s="394"/>
      <c r="AF162" s="394"/>
      <c r="AG162" s="394"/>
      <c r="AH162" s="394"/>
      <c r="AI162" s="394"/>
      <c r="AJ162" s="394"/>
      <c r="AK162" s="394"/>
      <c r="AL162" s="394"/>
      <c r="AM162" s="394"/>
      <c r="AN162" s="394"/>
      <c r="AO162" s="25"/>
      <c r="AP162" s="25"/>
    </row>
    <row r="163" spans="5:42" x14ac:dyDescent="0.2">
      <c r="F163" s="252">
        <f t="shared" ref="F163:AN163" si="53">SUM(F153:F161)</f>
        <v>109233.7126431732</v>
      </c>
      <c r="G163" s="252">
        <f t="shared" si="53"/>
        <v>25394.240916408646</v>
      </c>
      <c r="H163" s="252">
        <f t="shared" si="53"/>
        <v>8753719.7068998404</v>
      </c>
      <c r="I163" s="252">
        <f t="shared" si="53"/>
        <v>37447.874761826519</v>
      </c>
      <c r="J163" s="252">
        <f t="shared" si="53"/>
        <v>1081571592.2511754</v>
      </c>
      <c r="K163" s="252">
        <f t="shared" si="53"/>
        <v>116797.57129876292</v>
      </c>
      <c r="L163" s="252">
        <f t="shared" si="53"/>
        <v>24.076233417548465</v>
      </c>
      <c r="M163" s="252">
        <f t="shared" si="53"/>
        <v>206840.02835429934</v>
      </c>
      <c r="N163" s="252">
        <f t="shared" si="53"/>
        <v>1259529.3337336415</v>
      </c>
      <c r="O163" s="252">
        <f t="shared" si="53"/>
        <v>0</v>
      </c>
      <c r="P163" s="252">
        <f t="shared" si="53"/>
        <v>0</v>
      </c>
      <c r="Q163" s="252">
        <f t="shared" si="53"/>
        <v>0</v>
      </c>
      <c r="R163" s="252">
        <f t="shared" si="53"/>
        <v>0</v>
      </c>
      <c r="S163" s="252">
        <f t="shared" si="53"/>
        <v>0</v>
      </c>
      <c r="T163" s="252">
        <f t="shared" si="53"/>
        <v>0</v>
      </c>
      <c r="U163" s="252">
        <f t="shared" si="53"/>
        <v>0</v>
      </c>
      <c r="V163" s="252">
        <f t="shared" si="53"/>
        <v>0</v>
      </c>
      <c r="W163" s="252">
        <f t="shared" si="53"/>
        <v>0</v>
      </c>
      <c r="X163" s="252">
        <f t="shared" si="53"/>
        <v>0</v>
      </c>
      <c r="Y163" s="252">
        <f t="shared" si="53"/>
        <v>0</v>
      </c>
      <c r="Z163" s="252">
        <f t="shared" si="53"/>
        <v>0</v>
      </c>
      <c r="AA163" s="252">
        <f t="shared" si="53"/>
        <v>0</v>
      </c>
      <c r="AB163" s="252">
        <f t="shared" si="53"/>
        <v>0</v>
      </c>
      <c r="AC163" s="252">
        <f t="shared" si="53"/>
        <v>0</v>
      </c>
      <c r="AD163" s="252">
        <f t="shared" si="53"/>
        <v>0</v>
      </c>
      <c r="AE163" s="252">
        <f t="shared" si="53"/>
        <v>0</v>
      </c>
      <c r="AF163" s="252">
        <f t="shared" si="53"/>
        <v>0</v>
      </c>
      <c r="AG163" s="252">
        <f t="shared" si="53"/>
        <v>0</v>
      </c>
      <c r="AH163" s="252">
        <f t="shared" si="53"/>
        <v>0</v>
      </c>
      <c r="AI163" s="252">
        <f t="shared" si="53"/>
        <v>0</v>
      </c>
      <c r="AJ163" s="252">
        <f t="shared" si="53"/>
        <v>0</v>
      </c>
      <c r="AK163" s="252">
        <f t="shared" si="53"/>
        <v>0</v>
      </c>
      <c r="AL163" s="252">
        <f t="shared" si="53"/>
        <v>0</v>
      </c>
      <c r="AM163" s="252">
        <f t="shared" si="53"/>
        <v>0</v>
      </c>
      <c r="AN163" s="252">
        <f t="shared" si="53"/>
        <v>0</v>
      </c>
    </row>
    <row r="164" spans="5:42" x14ac:dyDescent="0.2">
      <c r="F164" s="394" t="s">
        <v>467</v>
      </c>
      <c r="G164" s="394"/>
      <c r="H164" s="394"/>
      <c r="I164" s="394"/>
      <c r="J164" s="394"/>
      <c r="K164" s="394"/>
      <c r="L164" s="394"/>
      <c r="M164" s="394"/>
      <c r="N164" s="394"/>
      <c r="O164" s="394"/>
      <c r="P164" s="394"/>
      <c r="Q164" s="394"/>
      <c r="R164" s="394"/>
      <c r="S164" s="394"/>
      <c r="T164" s="394"/>
      <c r="U164" s="394"/>
      <c r="V164" s="394"/>
      <c r="W164" s="394"/>
      <c r="X164" s="394"/>
      <c r="Y164" s="394"/>
      <c r="Z164" s="394"/>
      <c r="AA164" s="394"/>
      <c r="AB164" s="394"/>
      <c r="AC164" s="394"/>
      <c r="AD164" s="394"/>
      <c r="AE164" s="394"/>
      <c r="AF164" s="394"/>
      <c r="AG164" s="394"/>
      <c r="AH164" s="394"/>
      <c r="AI164" s="394"/>
      <c r="AJ164" s="394"/>
      <c r="AK164" s="394"/>
      <c r="AL164" s="394"/>
      <c r="AM164" s="394"/>
      <c r="AN164" s="394"/>
      <c r="AO164" s="25"/>
      <c r="AP164" s="25"/>
    </row>
    <row r="168" spans="5:42" x14ac:dyDescent="0.2">
      <c r="F168" s="394" t="s">
        <v>571</v>
      </c>
      <c r="G168" s="394"/>
      <c r="H168" s="394"/>
      <c r="I168" s="394"/>
      <c r="J168" s="394"/>
      <c r="K168" s="394"/>
      <c r="L168" s="394"/>
      <c r="M168" s="394"/>
      <c r="N168" s="394"/>
      <c r="O168" s="245"/>
      <c r="P168" s="245"/>
      <c r="Q168" s="245"/>
      <c r="R168" s="245"/>
      <c r="S168" s="245"/>
      <c r="T168" s="245"/>
      <c r="U168" s="245"/>
      <c r="V168" s="245"/>
      <c r="W168" s="245"/>
      <c r="X168" s="25"/>
      <c r="Y168" s="25"/>
    </row>
    <row r="171" spans="5:42" x14ac:dyDescent="0.2">
      <c r="E171" s="204" t="s">
        <v>423</v>
      </c>
      <c r="F171" s="252" cm="1">
        <f t="array" ref="F171:F205">TRANSPOSE((F163:AN163))</f>
        <v>109233.7126431732</v>
      </c>
      <c r="H171" s="252" cm="1">
        <f t="array" ref="H171:H205">TRANSPOSE(F140:AN140)</f>
        <v>0</v>
      </c>
      <c r="J171" s="252">
        <f t="shared" ref="J171:J200" si="54">BI85</f>
        <v>109233.7126431732</v>
      </c>
      <c r="L171" s="252" cm="1">
        <f t="array" ref="L171:L205">BP85:BP119</f>
        <v>0</v>
      </c>
      <c r="N171" s="299">
        <f>F171+H171-J171-L171</f>
        <v>0</v>
      </c>
    </row>
    <row r="172" spans="5:42" x14ac:dyDescent="0.2">
      <c r="E172" s="204" t="s">
        <v>425</v>
      </c>
      <c r="F172" s="252">
        <v>25394.240916408646</v>
      </c>
      <c r="H172" s="252">
        <v>0</v>
      </c>
      <c r="J172" s="252">
        <f t="shared" si="54"/>
        <v>25394.240916408646</v>
      </c>
      <c r="L172" s="252">
        <v>0</v>
      </c>
      <c r="N172" s="299">
        <f>F172+H172-J172-L172</f>
        <v>0</v>
      </c>
    </row>
    <row r="173" spans="5:42" x14ac:dyDescent="0.2">
      <c r="E173" s="204" t="s">
        <v>426</v>
      </c>
      <c r="F173" s="252">
        <v>8753719.7068998404</v>
      </c>
      <c r="H173" s="252">
        <v>0</v>
      </c>
      <c r="J173" s="252">
        <f t="shared" si="54"/>
        <v>8753719.7068998404</v>
      </c>
      <c r="L173" s="252">
        <v>0</v>
      </c>
      <c r="N173" s="299">
        <f>F173+H173-J173-L173</f>
        <v>0</v>
      </c>
    </row>
    <row r="174" spans="5:42" x14ac:dyDescent="0.2">
      <c r="E174" s="204" t="s">
        <v>447</v>
      </c>
      <c r="F174" s="252">
        <v>37447.874761826519</v>
      </c>
      <c r="H174" s="252">
        <v>0</v>
      </c>
      <c r="J174" s="252">
        <f t="shared" si="54"/>
        <v>37447.874761826519</v>
      </c>
      <c r="L174" s="252">
        <v>0</v>
      </c>
      <c r="N174" s="299">
        <f>ROUND(F174+H174-J174-L174, 10)</f>
        <v>0</v>
      </c>
    </row>
    <row r="175" spans="5:42" x14ac:dyDescent="0.2">
      <c r="E175" s="204" t="s">
        <v>477</v>
      </c>
      <c r="F175" s="252">
        <v>1081571592.2511754</v>
      </c>
      <c r="H175" s="252">
        <v>0</v>
      </c>
      <c r="J175" s="252">
        <f t="shared" si="54"/>
        <v>1081571592.2511754</v>
      </c>
      <c r="L175" s="252">
        <v>0</v>
      </c>
      <c r="N175" s="299">
        <f t="shared" ref="N175:N190" si="55">F175+H175-J175-L175</f>
        <v>0</v>
      </c>
    </row>
    <row r="176" spans="5:42" x14ac:dyDescent="0.2">
      <c r="E176" s="204" t="s">
        <v>576</v>
      </c>
      <c r="F176" s="252">
        <v>116797.57129876292</v>
      </c>
      <c r="H176" s="252">
        <v>0</v>
      </c>
      <c r="J176" s="252">
        <f t="shared" si="54"/>
        <v>116797.57129876292</v>
      </c>
      <c r="L176" s="252">
        <v>0</v>
      </c>
      <c r="N176" s="299">
        <f t="shared" si="55"/>
        <v>0</v>
      </c>
    </row>
    <row r="177" spans="5:21" x14ac:dyDescent="0.2">
      <c r="E177" s="204" t="s">
        <v>577</v>
      </c>
      <c r="F177" s="252">
        <v>24.076233417548465</v>
      </c>
      <c r="H177" s="252">
        <v>0</v>
      </c>
      <c r="J177" s="252">
        <f t="shared" si="54"/>
        <v>24.076233417548465</v>
      </c>
      <c r="L177" s="252">
        <v>0</v>
      </c>
      <c r="N177" s="299">
        <f t="shared" si="55"/>
        <v>0</v>
      </c>
    </row>
    <row r="178" spans="5:21" x14ac:dyDescent="0.2">
      <c r="E178" s="204" t="s">
        <v>519</v>
      </c>
      <c r="F178" s="252">
        <v>206840.02835429934</v>
      </c>
      <c r="H178" s="252">
        <v>0</v>
      </c>
      <c r="J178" s="252">
        <f t="shared" si="54"/>
        <v>206840.02835429934</v>
      </c>
      <c r="L178" s="252">
        <v>0</v>
      </c>
      <c r="N178" s="299">
        <f t="shared" si="55"/>
        <v>0</v>
      </c>
    </row>
    <row r="179" spans="5:21" x14ac:dyDescent="0.2">
      <c r="E179" s="204" t="s">
        <v>569</v>
      </c>
      <c r="F179" s="252">
        <v>1259529.3337336415</v>
      </c>
      <c r="H179" s="252">
        <v>0</v>
      </c>
      <c r="J179" s="252">
        <f t="shared" si="54"/>
        <v>1259529.3337336415</v>
      </c>
      <c r="L179" s="252">
        <v>0</v>
      </c>
      <c r="N179" s="299">
        <f t="shared" si="55"/>
        <v>0</v>
      </c>
    </row>
    <row r="180" spans="5:21" ht="16" x14ac:dyDescent="0.2">
      <c r="E180" s="205" t="s">
        <v>551</v>
      </c>
      <c r="F180" s="252">
        <v>0</v>
      </c>
      <c r="H180" s="252">
        <v>109233.7126431732</v>
      </c>
      <c r="J180" s="252">
        <f t="shared" si="54"/>
        <v>109233.7126431732</v>
      </c>
      <c r="L180" s="252">
        <v>0</v>
      </c>
      <c r="N180" s="299">
        <f t="shared" si="55"/>
        <v>0</v>
      </c>
    </row>
    <row r="181" spans="5:21" x14ac:dyDescent="0.2">
      <c r="E181" s="204" t="s">
        <v>517</v>
      </c>
      <c r="F181" s="252">
        <v>0</v>
      </c>
      <c r="H181" s="252">
        <v>2418.6577581793781</v>
      </c>
      <c r="J181" s="252">
        <f t="shared" si="54"/>
        <v>0</v>
      </c>
      <c r="L181" s="252">
        <v>2418.6577581793781</v>
      </c>
      <c r="N181" s="299">
        <f t="shared" si="55"/>
        <v>0</v>
      </c>
    </row>
    <row r="182" spans="5:21" ht="16" x14ac:dyDescent="0.2">
      <c r="E182" s="205" t="s">
        <v>520</v>
      </c>
      <c r="F182" s="252">
        <v>0</v>
      </c>
      <c r="H182" s="252">
        <v>25394.240916408646</v>
      </c>
      <c r="J182" s="252">
        <f t="shared" si="54"/>
        <v>25394.240916408646</v>
      </c>
      <c r="L182" s="252">
        <v>0</v>
      </c>
      <c r="N182" s="299">
        <f t="shared" si="55"/>
        <v>0</v>
      </c>
    </row>
    <row r="183" spans="5:21" x14ac:dyDescent="0.2">
      <c r="E183" s="204" t="s">
        <v>546</v>
      </c>
      <c r="F183" s="252">
        <v>0</v>
      </c>
      <c r="H183" s="252">
        <v>7.2399197950896488</v>
      </c>
      <c r="J183" s="252">
        <f t="shared" si="54"/>
        <v>0</v>
      </c>
      <c r="L183" s="252">
        <v>7.2399197950896488</v>
      </c>
      <c r="N183" s="299">
        <f t="shared" si="55"/>
        <v>0</v>
      </c>
    </row>
    <row r="184" spans="5:21" x14ac:dyDescent="0.2">
      <c r="E184" s="206" t="s">
        <v>538</v>
      </c>
      <c r="F184" s="252">
        <v>0</v>
      </c>
      <c r="G184" s="259" t="s">
        <v>471</v>
      </c>
      <c r="H184" s="252">
        <v>8753719.7068998404</v>
      </c>
      <c r="I184" s="171" t="s">
        <v>473</v>
      </c>
      <c r="J184" s="252">
        <f t="shared" si="54"/>
        <v>8753719.7068998404</v>
      </c>
      <c r="K184" s="171" t="s">
        <v>473</v>
      </c>
      <c r="L184" s="252">
        <v>0</v>
      </c>
      <c r="M184" s="259" t="s">
        <v>474</v>
      </c>
      <c r="N184" s="299">
        <f t="shared" si="55"/>
        <v>0</v>
      </c>
    </row>
    <row r="185" spans="5:21" x14ac:dyDescent="0.2">
      <c r="E185" s="204" t="s">
        <v>524</v>
      </c>
      <c r="F185" s="252">
        <v>0</v>
      </c>
      <c r="H185" s="252">
        <v>575.29559740969785</v>
      </c>
      <c r="J185" s="252">
        <f t="shared" si="54"/>
        <v>0</v>
      </c>
      <c r="L185" s="252">
        <v>575.29559740969785</v>
      </c>
      <c r="N185" s="299">
        <f t="shared" si="55"/>
        <v>0</v>
      </c>
    </row>
    <row r="186" spans="5:21" ht="16" x14ac:dyDescent="0.2">
      <c r="E186" s="205" t="s">
        <v>550</v>
      </c>
      <c r="F186" s="252">
        <v>0</v>
      </c>
      <c r="H186" s="252">
        <v>109233.7126431732</v>
      </c>
      <c r="J186" s="252">
        <f t="shared" si="54"/>
        <v>109233.7126431732</v>
      </c>
      <c r="L186" s="252">
        <v>0</v>
      </c>
      <c r="N186" s="299">
        <f t="shared" si="55"/>
        <v>0</v>
      </c>
    </row>
    <row r="187" spans="5:21" ht="16" x14ac:dyDescent="0.2">
      <c r="E187" s="205" t="s">
        <v>545</v>
      </c>
      <c r="F187" s="252">
        <v>0</v>
      </c>
      <c r="H187" s="252">
        <v>25394.240916408646</v>
      </c>
      <c r="J187" s="252">
        <f t="shared" si="54"/>
        <v>25394.240916408646</v>
      </c>
      <c r="L187" s="252">
        <v>0</v>
      </c>
      <c r="N187" s="299">
        <f t="shared" si="55"/>
        <v>0</v>
      </c>
    </row>
    <row r="188" spans="5:21" ht="16" x14ac:dyDescent="0.2">
      <c r="E188" s="205" t="s">
        <v>542</v>
      </c>
      <c r="F188" s="252">
        <v>0</v>
      </c>
      <c r="H188" s="252">
        <v>8753719.7068998404</v>
      </c>
      <c r="J188" s="252">
        <f t="shared" si="54"/>
        <v>8753719.7068998404</v>
      </c>
      <c r="L188" s="252">
        <v>0</v>
      </c>
      <c r="N188" s="299">
        <f t="shared" si="55"/>
        <v>0</v>
      </c>
    </row>
    <row r="189" spans="5:21" ht="16" x14ac:dyDescent="0.2">
      <c r="E189" s="205" t="s">
        <v>548</v>
      </c>
      <c r="F189" s="252">
        <v>0</v>
      </c>
      <c r="H189" s="252">
        <v>88965.799815334409</v>
      </c>
      <c r="J189" s="252">
        <f t="shared" si="54"/>
        <v>88965.799815334409</v>
      </c>
      <c r="L189" s="252">
        <v>0</v>
      </c>
      <c r="N189" s="299">
        <f t="shared" si="55"/>
        <v>0</v>
      </c>
    </row>
    <row r="190" spans="5:21" x14ac:dyDescent="0.2">
      <c r="E190" s="206" t="s">
        <v>547</v>
      </c>
      <c r="F190" s="252">
        <v>0</v>
      </c>
      <c r="H190" s="252">
        <v>21743.416787545681</v>
      </c>
      <c r="J190" s="252">
        <f t="shared" si="54"/>
        <v>0</v>
      </c>
      <c r="L190" s="252">
        <v>21743.416787545681</v>
      </c>
      <c r="N190" s="299">
        <f t="shared" si="55"/>
        <v>0</v>
      </c>
    </row>
    <row r="191" spans="5:21" x14ac:dyDescent="0.2">
      <c r="E191" s="206" t="s">
        <v>532</v>
      </c>
      <c r="F191" s="252">
        <v>0</v>
      </c>
      <c r="H191" s="252">
        <v>25394.240916408646</v>
      </c>
      <c r="J191" s="252">
        <f t="shared" si="54"/>
        <v>25394.240916408646</v>
      </c>
      <c r="L191" s="252">
        <v>0</v>
      </c>
      <c r="N191" s="299">
        <f t="shared" ref="N191:N197" si="56">F191+H191-J191-L191</f>
        <v>0</v>
      </c>
      <c r="Q191" s="25"/>
      <c r="S191" s="25"/>
      <c r="T191" s="25"/>
      <c r="U191" s="25"/>
    </row>
    <row r="192" spans="5:21" x14ac:dyDescent="0.2">
      <c r="E192" s="206" t="s">
        <v>566</v>
      </c>
      <c r="F192" s="252">
        <v>0</v>
      </c>
      <c r="H192" s="252">
        <v>8753719.7068998404</v>
      </c>
      <c r="J192" s="252">
        <f t="shared" si="54"/>
        <v>8753719.7068998404</v>
      </c>
      <c r="L192" s="252">
        <v>0</v>
      </c>
      <c r="N192" s="299">
        <f t="shared" si="56"/>
        <v>0</v>
      </c>
      <c r="Q192" s="25"/>
      <c r="S192" s="25"/>
      <c r="T192" s="25"/>
      <c r="U192" s="25"/>
    </row>
    <row r="193" spans="5:22" x14ac:dyDescent="0.2">
      <c r="E193" s="206" t="s">
        <v>533</v>
      </c>
      <c r="F193" s="252">
        <v>0</v>
      </c>
      <c r="H193" s="252">
        <v>242016.07607977447</v>
      </c>
      <c r="J193" s="252">
        <f t="shared" si="54"/>
        <v>242016.07607977447</v>
      </c>
      <c r="L193" s="252">
        <v>0</v>
      </c>
      <c r="N193" s="299">
        <f t="shared" si="56"/>
        <v>0</v>
      </c>
      <c r="Q193" s="25"/>
      <c r="S193" s="25"/>
      <c r="T193" s="25"/>
      <c r="U193" s="25"/>
    </row>
    <row r="194" spans="5:22" x14ac:dyDescent="0.2">
      <c r="E194" s="206" t="s">
        <v>535</v>
      </c>
      <c r="F194" s="252">
        <v>0</v>
      </c>
      <c r="H194" s="252">
        <v>7739.2511800711582</v>
      </c>
      <c r="J194" s="252">
        <f t="shared" si="54"/>
        <v>0</v>
      </c>
      <c r="L194" s="252">
        <v>7739.2511800711582</v>
      </c>
      <c r="N194" s="299">
        <f t="shared" si="56"/>
        <v>0</v>
      </c>
      <c r="Q194" s="25"/>
      <c r="S194" s="25"/>
      <c r="T194" s="25"/>
      <c r="U194" s="25"/>
    </row>
    <row r="195" spans="5:22" x14ac:dyDescent="0.2">
      <c r="E195" s="206" t="s">
        <v>534</v>
      </c>
      <c r="F195" s="252">
        <v>0</v>
      </c>
      <c r="H195" s="252">
        <v>1133973033.3846123</v>
      </c>
      <c r="J195" s="252">
        <f t="shared" si="54"/>
        <v>0</v>
      </c>
      <c r="L195" s="252">
        <v>1133973033.3846123</v>
      </c>
      <c r="N195" s="299">
        <f t="shared" si="56"/>
        <v>0</v>
      </c>
      <c r="Q195" s="25"/>
      <c r="S195" s="25"/>
      <c r="T195" s="25"/>
      <c r="U195" s="25"/>
    </row>
    <row r="196" spans="5:22" x14ac:dyDescent="0.2">
      <c r="E196" s="206" t="s">
        <v>632</v>
      </c>
      <c r="F196" s="252">
        <v>0</v>
      </c>
      <c r="H196" s="252">
        <v>6791339.3350291392</v>
      </c>
      <c r="J196" s="252">
        <f t="shared" si="54"/>
        <v>6791339.3350291392</v>
      </c>
      <c r="L196" s="252">
        <v>0</v>
      </c>
      <c r="N196" s="299">
        <f t="shared" si="56"/>
        <v>0</v>
      </c>
    </row>
    <row r="197" spans="5:22" ht="16" x14ac:dyDescent="0.2">
      <c r="E197" s="253" t="s">
        <v>530</v>
      </c>
      <c r="F197" s="252">
        <v>0</v>
      </c>
      <c r="H197" s="252">
        <v>5935408.0537775028</v>
      </c>
      <c r="J197" s="252">
        <f t="shared" si="54"/>
        <v>5935408.0537775028</v>
      </c>
      <c r="L197" s="252">
        <v>0</v>
      </c>
      <c r="N197" s="299">
        <f t="shared" si="56"/>
        <v>0</v>
      </c>
    </row>
    <row r="198" spans="5:22" x14ac:dyDescent="0.2">
      <c r="E198" s="206" t="s">
        <v>529</v>
      </c>
      <c r="F198" s="252">
        <v>0</v>
      </c>
      <c r="H198" s="252">
        <v>5366.0434241372932</v>
      </c>
      <c r="J198" s="252">
        <f t="shared" si="54"/>
        <v>0</v>
      </c>
      <c r="L198" s="252">
        <v>5366.0434241372932</v>
      </c>
      <c r="N198" s="299">
        <f t="shared" ref="N198:N205" si="57">F198+H198-J198-L198</f>
        <v>0</v>
      </c>
      <c r="O198" s="25"/>
    </row>
    <row r="199" spans="5:22" x14ac:dyDescent="0.2">
      <c r="E199" s="204" t="s">
        <v>531</v>
      </c>
      <c r="F199" s="252">
        <v>0</v>
      </c>
      <c r="H199" s="252">
        <v>50611.612737094903</v>
      </c>
      <c r="J199" s="252">
        <f t="shared" si="54"/>
        <v>0</v>
      </c>
      <c r="L199" s="252">
        <v>50611.612737094903</v>
      </c>
      <c r="N199" s="299">
        <f t="shared" si="57"/>
        <v>0</v>
      </c>
    </row>
    <row r="200" spans="5:22" x14ac:dyDescent="0.2">
      <c r="E200" s="206" t="s">
        <v>673</v>
      </c>
      <c r="F200" s="252">
        <v>0</v>
      </c>
      <c r="H200" s="252">
        <v>5944558.1059355522</v>
      </c>
      <c r="J200" s="252">
        <f t="shared" si="54"/>
        <v>5944558.1059355522</v>
      </c>
      <c r="L200" s="252">
        <v>0</v>
      </c>
      <c r="N200" s="299">
        <f t="shared" si="57"/>
        <v>0</v>
      </c>
    </row>
    <row r="201" spans="5:22" x14ac:dyDescent="0.2">
      <c r="E201" s="206" t="s">
        <v>676</v>
      </c>
      <c r="F201" s="252">
        <v>0</v>
      </c>
      <c r="H201" s="252">
        <v>5944558.1059355522</v>
      </c>
      <c r="J201" s="252">
        <f t="shared" ref="J201:J205" si="58">BI115</f>
        <v>5052874.3900452191</v>
      </c>
      <c r="L201" s="252">
        <v>891683.71589033271</v>
      </c>
      <c r="N201" s="299">
        <f t="shared" si="57"/>
        <v>0</v>
      </c>
    </row>
    <row r="202" spans="5:22" x14ac:dyDescent="0.2">
      <c r="E202" s="206" t="s">
        <v>554</v>
      </c>
      <c r="F202" s="252">
        <v>0</v>
      </c>
      <c r="H202" s="252">
        <v>7072531.8830895294</v>
      </c>
      <c r="J202" s="252">
        <f t="shared" si="58"/>
        <v>7072531.8830895294</v>
      </c>
      <c r="L202" s="252">
        <v>0</v>
      </c>
      <c r="N202" s="299">
        <f t="shared" si="57"/>
        <v>0</v>
      </c>
      <c r="S202" s="245"/>
      <c r="T202" s="245"/>
      <c r="U202" s="245"/>
      <c r="V202" s="245"/>
    </row>
    <row r="203" spans="5:22" x14ac:dyDescent="0.2">
      <c r="E203" s="206" t="s">
        <v>555</v>
      </c>
      <c r="F203" s="252">
        <v>0</v>
      </c>
      <c r="H203" s="252">
        <v>4157895.2984628798</v>
      </c>
      <c r="J203" s="252">
        <f t="shared" si="58"/>
        <v>0</v>
      </c>
      <c r="L203" s="252">
        <v>4157895.2984628798</v>
      </c>
      <c r="N203" s="299">
        <f t="shared" si="57"/>
        <v>0</v>
      </c>
    </row>
    <row r="204" spans="5:22" x14ac:dyDescent="0.2">
      <c r="E204" s="206" t="s">
        <v>556</v>
      </c>
      <c r="F204" s="252">
        <v>0</v>
      </c>
      <c r="H204" s="252">
        <v>432711.9695416363</v>
      </c>
      <c r="J204" s="252">
        <f t="shared" si="58"/>
        <v>0</v>
      </c>
      <c r="L204" s="252">
        <v>432711.9695416363</v>
      </c>
      <c r="N204" s="299">
        <f t="shared" si="57"/>
        <v>0</v>
      </c>
    </row>
    <row r="205" spans="5:22" x14ac:dyDescent="0.2">
      <c r="E205" s="206" t="s">
        <v>567</v>
      </c>
      <c r="F205" s="252">
        <v>0</v>
      </c>
      <c r="H205" s="252">
        <v>67875.356217847453</v>
      </c>
      <c r="J205" s="252">
        <f t="shared" si="58"/>
        <v>0</v>
      </c>
      <c r="L205" s="252">
        <v>67875.356217847453</v>
      </c>
      <c r="N205" s="299">
        <f t="shared" si="57"/>
        <v>0</v>
      </c>
    </row>
    <row r="206" spans="5:22" ht="17" x14ac:dyDescent="0.2">
      <c r="E206" s="206"/>
      <c r="F206" s="3" t="s">
        <v>470</v>
      </c>
      <c r="H206" s="3" t="s">
        <v>472</v>
      </c>
      <c r="J206" s="25" t="s">
        <v>469</v>
      </c>
      <c r="L206" s="25" t="s">
        <v>39</v>
      </c>
      <c r="N206" s="25">
        <v>0</v>
      </c>
    </row>
    <row r="207" spans="5:22" x14ac:dyDescent="0.2">
      <c r="E207" s="206"/>
      <c r="J207" s="25"/>
      <c r="L207" s="25"/>
    </row>
    <row r="208" spans="5:22" x14ac:dyDescent="0.2">
      <c r="E208" s="206"/>
    </row>
    <row r="209" spans="5:18" x14ac:dyDescent="0.2">
      <c r="F209" s="394" t="s">
        <v>638</v>
      </c>
      <c r="G209" s="394"/>
      <c r="H209" s="394"/>
      <c r="I209" s="394"/>
      <c r="J209" s="394"/>
      <c r="O209" s="245"/>
      <c r="P209" s="245"/>
    </row>
    <row r="212" spans="5:18" x14ac:dyDescent="0.2">
      <c r="E212" s="204" t="s">
        <v>415</v>
      </c>
      <c r="F212" s="252" cm="1">
        <f t="array" ref="F212:F226">TRANSPOSE((AT121:BH121))</f>
        <v>203615.93865263887</v>
      </c>
      <c r="H212" s="252">
        <f>AO124</f>
        <v>111652.37040135259</v>
      </c>
      <c r="J212" s="252">
        <f>F212-H212</f>
        <v>91963.568251286284</v>
      </c>
    </row>
    <row r="213" spans="5:18" x14ac:dyDescent="0.2">
      <c r="E213" s="204" t="s">
        <v>416</v>
      </c>
      <c r="F213" s="252">
        <v>25677.018753453132</v>
      </c>
      <c r="H213" s="252">
        <f t="shared" ref="H213:H226" si="59">AO125</f>
        <v>25401.480836203737</v>
      </c>
      <c r="J213" s="252">
        <f t="shared" ref="J213:J226" si="60">F213-H213</f>
        <v>275.53791724939583</v>
      </c>
      <c r="Q213" s="245"/>
      <c r="R213" s="245"/>
    </row>
    <row r="214" spans="5:18" x14ac:dyDescent="0.2">
      <c r="E214" s="204" t="s">
        <v>417</v>
      </c>
      <c r="F214" s="252">
        <v>8853618.6437956225</v>
      </c>
      <c r="H214" s="252">
        <f t="shared" si="59"/>
        <v>8754295.0024972502</v>
      </c>
      <c r="J214" s="252">
        <f t="shared" si="60"/>
        <v>99323.641298372298</v>
      </c>
    </row>
    <row r="215" spans="5:18" x14ac:dyDescent="0.2">
      <c r="E215" s="204" t="s">
        <v>565</v>
      </c>
      <c r="F215" s="252">
        <v>719025.96440252138</v>
      </c>
      <c r="G215" s="254"/>
      <c r="H215" s="252">
        <f t="shared" si="59"/>
        <v>109233.7126431732</v>
      </c>
      <c r="I215" s="254"/>
      <c r="J215" s="252">
        <f t="shared" si="60"/>
        <v>609792.2517593482</v>
      </c>
    </row>
    <row r="216" spans="5:18" x14ac:dyDescent="0.2">
      <c r="E216" s="204" t="s">
        <v>544</v>
      </c>
      <c r="F216" s="252">
        <v>28219.126564153565</v>
      </c>
      <c r="H216" s="252">
        <f t="shared" si="59"/>
        <v>25394.240916408646</v>
      </c>
      <c r="J216" s="252">
        <f t="shared" si="60"/>
        <v>2824.885647744919</v>
      </c>
      <c r="K216" s="245"/>
      <c r="L216" s="245"/>
      <c r="M216" s="245"/>
      <c r="N216" s="245"/>
    </row>
    <row r="217" spans="5:18" x14ac:dyDescent="0.2">
      <c r="E217" s="204" t="s">
        <v>543</v>
      </c>
      <c r="F217" s="252">
        <v>8913973.1401357558</v>
      </c>
      <c r="H217" s="252">
        <f t="shared" si="59"/>
        <v>8753719.7068998404</v>
      </c>
      <c r="J217" s="252">
        <f t="shared" si="60"/>
        <v>160253.43323591538</v>
      </c>
    </row>
    <row r="218" spans="5:18" x14ac:dyDescent="0.2">
      <c r="E218" s="204" t="s">
        <v>443</v>
      </c>
      <c r="F218" s="252">
        <v>121859.81146951189</v>
      </c>
      <c r="H218" s="252">
        <f t="shared" si="59"/>
        <v>110709.21660288009</v>
      </c>
      <c r="J218" s="252">
        <f t="shared" si="60"/>
        <v>11150.5948666318</v>
      </c>
    </row>
    <row r="219" spans="5:18" x14ac:dyDescent="0.2">
      <c r="E219" s="204" t="s">
        <v>440</v>
      </c>
      <c r="F219" s="252">
        <v>25428.919011572762</v>
      </c>
      <c r="G219" s="171" t="s">
        <v>478</v>
      </c>
      <c r="H219" s="252">
        <f t="shared" si="59"/>
        <v>25394.240916408646</v>
      </c>
      <c r="I219" s="171" t="s">
        <v>474</v>
      </c>
      <c r="J219" s="252">
        <f t="shared" si="60"/>
        <v>34.678095164115803</v>
      </c>
    </row>
    <row r="220" spans="5:18" x14ac:dyDescent="0.2">
      <c r="E220" s="204" t="s">
        <v>458</v>
      </c>
      <c r="F220" s="252">
        <v>8782323.8646656219</v>
      </c>
      <c r="H220" s="252">
        <f t="shared" si="59"/>
        <v>8753719.7068998404</v>
      </c>
      <c r="J220" s="252">
        <f t="shared" si="60"/>
        <v>28604.157765781507</v>
      </c>
    </row>
    <row r="221" spans="5:18" x14ac:dyDescent="0.2">
      <c r="E221" s="204" t="s">
        <v>441</v>
      </c>
      <c r="F221" s="252">
        <v>1078405110.5281579</v>
      </c>
      <c r="H221" s="252">
        <f t="shared" si="59"/>
        <v>1134222788.7118721</v>
      </c>
      <c r="J221" s="252">
        <f t="shared" si="60"/>
        <v>-55817678.183714151</v>
      </c>
    </row>
    <row r="222" spans="5:18" x14ac:dyDescent="0.2">
      <c r="E222" s="204" t="s">
        <v>436</v>
      </c>
      <c r="F222" s="252">
        <v>10529304.246781096</v>
      </c>
      <c r="H222" s="252">
        <f t="shared" si="59"/>
        <v>12782725.044967873</v>
      </c>
      <c r="J222" s="252">
        <f t="shared" si="60"/>
        <v>-2253420.7981867772</v>
      </c>
    </row>
    <row r="223" spans="5:18" x14ac:dyDescent="0.2">
      <c r="E223" s="204" t="s">
        <v>672</v>
      </c>
      <c r="F223" s="252">
        <v>5985507.580323359</v>
      </c>
      <c r="H223" s="252">
        <f t="shared" si="59"/>
        <v>5944558.1059355522</v>
      </c>
      <c r="J223" s="252">
        <f t="shared" si="60"/>
        <v>40949.47438780684</v>
      </c>
    </row>
    <row r="224" spans="5:18" x14ac:dyDescent="0.2">
      <c r="E224" s="204" t="s">
        <v>675</v>
      </c>
      <c r="F224" s="252">
        <v>5944558.1059355522</v>
      </c>
      <c r="H224" s="252">
        <f t="shared" si="59"/>
        <v>5944558.1059355522</v>
      </c>
      <c r="J224" s="252">
        <f t="shared" si="60"/>
        <v>0</v>
      </c>
    </row>
    <row r="225" spans="5:14" x14ac:dyDescent="0.2">
      <c r="E225" s="204" t="s">
        <v>81</v>
      </c>
      <c r="F225" s="252">
        <v>7122321.2109242482</v>
      </c>
      <c r="H225" s="252">
        <f t="shared" si="59"/>
        <v>7072531.8830895294</v>
      </c>
      <c r="J225" s="252">
        <f t="shared" si="60"/>
        <v>49789.327834718861</v>
      </c>
    </row>
    <row r="226" spans="5:14" x14ac:dyDescent="0.2">
      <c r="E226" s="204" t="s">
        <v>427</v>
      </c>
      <c r="F226" s="252">
        <v>14103537.608950807</v>
      </c>
      <c r="G226" s="171"/>
      <c r="H226" s="252">
        <f t="shared" si="59"/>
        <v>4658482.6242223633</v>
      </c>
      <c r="J226" s="252">
        <f t="shared" si="60"/>
        <v>9445054.9847284444</v>
      </c>
    </row>
    <row r="227" spans="5:14" x14ac:dyDescent="0.2">
      <c r="E227" s="206"/>
      <c r="F227" s="171" t="s">
        <v>468</v>
      </c>
      <c r="G227" s="171"/>
      <c r="H227" s="171" t="s">
        <v>465</v>
      </c>
      <c r="I227" s="171"/>
      <c r="J227" s="171" t="s">
        <v>479</v>
      </c>
    </row>
    <row r="228" spans="5:14" x14ac:dyDescent="0.2">
      <c r="E228" s="206"/>
    </row>
    <row r="229" spans="5:14" x14ac:dyDescent="0.2">
      <c r="E229" s="206"/>
    </row>
    <row r="234" spans="5:14" x14ac:dyDescent="0.2">
      <c r="K234" s="171"/>
      <c r="L234" s="171"/>
      <c r="M234" s="171"/>
      <c r="N234" s="171"/>
    </row>
  </sheetData>
  <mergeCells count="13">
    <mergeCell ref="AT37:BH37"/>
    <mergeCell ref="BN37:CB37"/>
    <mergeCell ref="AT76:BH76"/>
    <mergeCell ref="BN120:BO120"/>
    <mergeCell ref="F122:G122"/>
    <mergeCell ref="AT122:BH122"/>
    <mergeCell ref="F209:J209"/>
    <mergeCell ref="AT120:BH120"/>
    <mergeCell ref="F139:AN139"/>
    <mergeCell ref="F141:AN141"/>
    <mergeCell ref="F162:AN162"/>
    <mergeCell ref="F164:AN164"/>
    <mergeCell ref="F168:N168"/>
  </mergeCells>
  <pageMargins left="0.7" right="0.7" top="0.75" bottom="0.75" header="0.3" footer="0.3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859C0-083D-E14E-8C3D-27EB9D3A2160}">
  <dimension ref="B1:BX231"/>
  <sheetViews>
    <sheetView topLeftCell="A125" workbookViewId="0">
      <selection activeCell="AF149" sqref="AF149:AG149"/>
    </sheetView>
  </sheetViews>
  <sheetFormatPr baseColWidth="10" defaultRowHeight="15" x14ac:dyDescent="0.2"/>
  <cols>
    <col min="1" max="1" width="10.83203125" style="3"/>
    <col min="2" max="2" width="17" style="3" bestFit="1" customWidth="1"/>
    <col min="3" max="10" width="10.83203125" style="3"/>
    <col min="11" max="11" width="12.6640625" style="3" bestFit="1" customWidth="1"/>
    <col min="12" max="43" width="10.83203125" style="3"/>
    <col min="44" max="44" width="16" style="3" customWidth="1"/>
    <col min="45" max="16384" width="10.83203125" style="3"/>
  </cols>
  <sheetData>
    <row r="1" spans="2:76" ht="112" x14ac:dyDescent="0.2">
      <c r="C1" s="207" t="s">
        <v>588</v>
      </c>
      <c r="AP1" s="260"/>
      <c r="AQ1" s="207" t="s">
        <v>415</v>
      </c>
      <c r="AR1" s="207" t="s">
        <v>416</v>
      </c>
      <c r="AS1" s="207" t="s">
        <v>417</v>
      </c>
      <c r="AT1" s="207" t="s">
        <v>565</v>
      </c>
      <c r="AU1" s="207" t="s">
        <v>544</v>
      </c>
      <c r="AV1" s="207" t="s">
        <v>543</v>
      </c>
      <c r="AW1" s="207" t="s">
        <v>443</v>
      </c>
      <c r="AX1" s="207" t="s">
        <v>440</v>
      </c>
      <c r="AY1" s="207" t="s">
        <v>458</v>
      </c>
      <c r="AZ1" s="207" t="s">
        <v>441</v>
      </c>
      <c r="BA1" s="207" t="s">
        <v>436</v>
      </c>
      <c r="BB1" s="207" t="s">
        <v>456</v>
      </c>
      <c r="BC1" s="207" t="s">
        <v>675</v>
      </c>
      <c r="BD1" s="207" t="s">
        <v>81</v>
      </c>
      <c r="BE1" s="207" t="s">
        <v>427</v>
      </c>
      <c r="BJ1" s="260"/>
      <c r="BK1" s="207" t="s">
        <v>415</v>
      </c>
      <c r="BL1" s="207" t="s">
        <v>416</v>
      </c>
      <c r="BM1" s="207" t="s">
        <v>417</v>
      </c>
      <c r="BN1" s="207" t="s">
        <v>565</v>
      </c>
      <c r="BO1" s="207" t="s">
        <v>544</v>
      </c>
      <c r="BP1" s="207" t="s">
        <v>543</v>
      </c>
      <c r="BQ1" s="207" t="s">
        <v>443</v>
      </c>
      <c r="BR1" s="207" t="s">
        <v>440</v>
      </c>
      <c r="BS1" s="207" t="s">
        <v>458</v>
      </c>
      <c r="BT1" s="207" t="s">
        <v>441</v>
      </c>
      <c r="BU1" s="207" t="s">
        <v>436</v>
      </c>
      <c r="BV1" s="207" t="s">
        <v>675</v>
      </c>
      <c r="BW1" s="207" t="s">
        <v>81</v>
      </c>
      <c r="BX1" s="207" t="s">
        <v>427</v>
      </c>
    </row>
    <row r="2" spans="2:76" x14ac:dyDescent="0.2">
      <c r="B2" s="204" t="s">
        <v>423</v>
      </c>
      <c r="C2" s="284">
        <v>1</v>
      </c>
      <c r="AP2" s="204" t="s">
        <v>423</v>
      </c>
      <c r="AQ2" s="284">
        <v>0</v>
      </c>
      <c r="AR2" s="284">
        <v>0</v>
      </c>
      <c r="AS2" s="284">
        <v>0</v>
      </c>
      <c r="AT2" s="284">
        <v>0</v>
      </c>
      <c r="AU2" s="284">
        <v>0</v>
      </c>
      <c r="AV2" s="284">
        <v>0</v>
      </c>
      <c r="AW2" s="284">
        <v>0</v>
      </c>
      <c r="AX2" s="284">
        <v>0</v>
      </c>
      <c r="AY2" s="284">
        <v>0</v>
      </c>
      <c r="AZ2" s="284">
        <v>0</v>
      </c>
      <c r="BA2" s="284">
        <v>0</v>
      </c>
      <c r="BB2" s="284">
        <v>0</v>
      </c>
      <c r="BC2" s="284">
        <v>0</v>
      </c>
      <c r="BD2" s="284">
        <v>0</v>
      </c>
      <c r="BE2" s="284">
        <v>0</v>
      </c>
      <c r="BJ2" s="204" t="s">
        <v>423</v>
      </c>
      <c r="BK2" s="284">
        <v>0</v>
      </c>
      <c r="BL2" s="284">
        <v>0</v>
      </c>
      <c r="BM2" s="284">
        <v>0</v>
      </c>
      <c r="BN2" s="284">
        <v>0</v>
      </c>
      <c r="BO2" s="284">
        <v>0</v>
      </c>
      <c r="BP2" s="284">
        <v>0</v>
      </c>
      <c r="BQ2" s="284">
        <v>0</v>
      </c>
      <c r="BR2" s="284">
        <v>0</v>
      </c>
      <c r="BS2" s="284">
        <v>0</v>
      </c>
      <c r="BT2" s="284">
        <v>0</v>
      </c>
      <c r="BU2" s="284">
        <v>0</v>
      </c>
      <c r="BV2" s="284">
        <v>0</v>
      </c>
      <c r="BW2" s="284">
        <v>0</v>
      </c>
      <c r="BX2" s="284">
        <v>0</v>
      </c>
    </row>
    <row r="3" spans="2:76" x14ac:dyDescent="0.2">
      <c r="B3" s="204" t="s">
        <v>425</v>
      </c>
      <c r="C3" s="284">
        <v>1</v>
      </c>
      <c r="AP3" s="204" t="s">
        <v>425</v>
      </c>
      <c r="AQ3" s="284">
        <v>0</v>
      </c>
      <c r="AR3" s="284">
        <v>0</v>
      </c>
      <c r="AS3" s="284">
        <v>0</v>
      </c>
      <c r="AT3" s="284">
        <v>0</v>
      </c>
      <c r="AU3" s="284">
        <v>0</v>
      </c>
      <c r="AV3" s="284">
        <v>0</v>
      </c>
      <c r="AW3" s="284">
        <v>0</v>
      </c>
      <c r="AX3" s="284">
        <v>0</v>
      </c>
      <c r="AY3" s="284">
        <v>0</v>
      </c>
      <c r="AZ3" s="284">
        <v>0</v>
      </c>
      <c r="BA3" s="284">
        <v>0</v>
      </c>
      <c r="BB3" s="284">
        <v>0</v>
      </c>
      <c r="BC3" s="284">
        <v>0</v>
      </c>
      <c r="BD3" s="284">
        <v>0</v>
      </c>
      <c r="BE3" s="284">
        <v>0</v>
      </c>
      <c r="BJ3" s="204" t="s">
        <v>425</v>
      </c>
      <c r="BK3" s="284">
        <v>0</v>
      </c>
      <c r="BL3" s="284">
        <v>0</v>
      </c>
      <c r="BM3" s="284">
        <v>0</v>
      </c>
      <c r="BN3" s="284">
        <v>0</v>
      </c>
      <c r="BO3" s="284">
        <v>0</v>
      </c>
      <c r="BP3" s="284">
        <v>0</v>
      </c>
      <c r="BQ3" s="284">
        <v>0</v>
      </c>
      <c r="BR3" s="284">
        <v>0</v>
      </c>
      <c r="BS3" s="284">
        <v>0</v>
      </c>
      <c r="BT3" s="284">
        <v>0</v>
      </c>
      <c r="BU3" s="284">
        <v>0</v>
      </c>
      <c r="BV3" s="284">
        <v>0</v>
      </c>
      <c r="BW3" s="284">
        <v>0</v>
      </c>
      <c r="BX3" s="284">
        <v>0</v>
      </c>
    </row>
    <row r="4" spans="2:76" x14ac:dyDescent="0.2">
      <c r="B4" s="204" t="s">
        <v>426</v>
      </c>
      <c r="C4" s="284">
        <v>1</v>
      </c>
      <c r="AP4" s="204" t="s">
        <v>426</v>
      </c>
      <c r="AQ4" s="284">
        <v>0</v>
      </c>
      <c r="AR4" s="284">
        <v>0</v>
      </c>
      <c r="AS4" s="284">
        <v>0</v>
      </c>
      <c r="AT4" s="284">
        <v>0</v>
      </c>
      <c r="AU4" s="284">
        <v>0</v>
      </c>
      <c r="AV4" s="284">
        <v>0</v>
      </c>
      <c r="AW4" s="284">
        <v>0</v>
      </c>
      <c r="AX4" s="284">
        <v>0</v>
      </c>
      <c r="AY4" s="284">
        <v>0</v>
      </c>
      <c r="AZ4" s="284">
        <v>0</v>
      </c>
      <c r="BA4" s="284">
        <v>0</v>
      </c>
      <c r="BB4" s="284">
        <v>0</v>
      </c>
      <c r="BC4" s="284">
        <v>0</v>
      </c>
      <c r="BD4" s="284">
        <v>0</v>
      </c>
      <c r="BE4" s="284">
        <v>0</v>
      </c>
      <c r="BJ4" s="204" t="s">
        <v>426</v>
      </c>
      <c r="BK4" s="284">
        <v>0</v>
      </c>
      <c r="BL4" s="284">
        <v>0</v>
      </c>
      <c r="BM4" s="284">
        <v>0</v>
      </c>
      <c r="BN4" s="284">
        <v>0</v>
      </c>
      <c r="BO4" s="284">
        <v>0</v>
      </c>
      <c r="BP4" s="284">
        <v>0</v>
      </c>
      <c r="BQ4" s="284">
        <v>0</v>
      </c>
      <c r="BR4" s="284">
        <v>0</v>
      </c>
      <c r="BS4" s="284">
        <v>0</v>
      </c>
      <c r="BT4" s="284">
        <v>0</v>
      </c>
      <c r="BU4" s="284">
        <v>0</v>
      </c>
      <c r="BV4" s="284">
        <v>0</v>
      </c>
      <c r="BW4" s="284">
        <v>0</v>
      </c>
      <c r="BX4" s="284">
        <v>0</v>
      </c>
    </row>
    <row r="5" spans="2:76" x14ac:dyDescent="0.2">
      <c r="B5" s="204" t="s">
        <v>447</v>
      </c>
      <c r="C5" s="284">
        <v>1</v>
      </c>
      <c r="AP5" s="204" t="s">
        <v>447</v>
      </c>
      <c r="AQ5" s="284">
        <v>0</v>
      </c>
      <c r="AR5" s="284">
        <v>0</v>
      </c>
      <c r="AS5" s="284">
        <v>0</v>
      </c>
      <c r="AT5" s="284">
        <v>0</v>
      </c>
      <c r="AU5" s="284">
        <v>0</v>
      </c>
      <c r="AV5" s="284">
        <v>0</v>
      </c>
      <c r="AW5" s="284">
        <v>0</v>
      </c>
      <c r="AX5" s="284">
        <v>0</v>
      </c>
      <c r="AY5" s="284">
        <v>0</v>
      </c>
      <c r="AZ5" s="284">
        <v>0</v>
      </c>
      <c r="BA5" s="284">
        <v>0</v>
      </c>
      <c r="BB5" s="284">
        <v>0</v>
      </c>
      <c r="BC5" s="284">
        <v>0</v>
      </c>
      <c r="BD5" s="284">
        <v>0</v>
      </c>
      <c r="BE5" s="284">
        <v>0</v>
      </c>
      <c r="BJ5" s="204" t="s">
        <v>447</v>
      </c>
      <c r="BK5" s="284">
        <v>0</v>
      </c>
      <c r="BL5" s="284">
        <v>0</v>
      </c>
      <c r="BM5" s="284">
        <v>0</v>
      </c>
      <c r="BN5" s="284">
        <v>0</v>
      </c>
      <c r="BO5" s="284">
        <v>0</v>
      </c>
      <c r="BP5" s="284">
        <v>0</v>
      </c>
      <c r="BQ5" s="284">
        <v>0</v>
      </c>
      <c r="BR5" s="284">
        <v>0</v>
      </c>
      <c r="BS5" s="284">
        <v>0</v>
      </c>
      <c r="BT5" s="284">
        <v>0</v>
      </c>
      <c r="BU5" s="284">
        <v>0</v>
      </c>
      <c r="BV5" s="284">
        <v>0</v>
      </c>
      <c r="BW5" s="284">
        <v>0</v>
      </c>
      <c r="BX5" s="284">
        <v>0</v>
      </c>
    </row>
    <row r="6" spans="2:76" x14ac:dyDescent="0.2">
      <c r="B6" s="204" t="s">
        <v>477</v>
      </c>
      <c r="C6" s="284">
        <v>1</v>
      </c>
      <c r="AP6" s="204" t="s">
        <v>477</v>
      </c>
      <c r="AQ6" s="284">
        <v>0</v>
      </c>
      <c r="AR6" s="284">
        <v>0</v>
      </c>
      <c r="AS6" s="284">
        <v>0</v>
      </c>
      <c r="AT6" s="284">
        <v>0</v>
      </c>
      <c r="AU6" s="284">
        <v>0</v>
      </c>
      <c r="AV6" s="284">
        <v>0</v>
      </c>
      <c r="AW6" s="284">
        <v>0</v>
      </c>
      <c r="AX6" s="284">
        <v>0</v>
      </c>
      <c r="AY6" s="284">
        <v>0</v>
      </c>
      <c r="AZ6" s="284">
        <v>0</v>
      </c>
      <c r="BA6" s="284">
        <v>0</v>
      </c>
      <c r="BB6" s="284">
        <v>0</v>
      </c>
      <c r="BC6" s="284">
        <v>0</v>
      </c>
      <c r="BD6" s="284">
        <v>0</v>
      </c>
      <c r="BE6" s="284">
        <v>0</v>
      </c>
      <c r="BJ6" s="204" t="s">
        <v>477</v>
      </c>
      <c r="BK6" s="284">
        <v>0</v>
      </c>
      <c r="BL6" s="284">
        <v>0</v>
      </c>
      <c r="BM6" s="284">
        <v>0</v>
      </c>
      <c r="BN6" s="284">
        <v>0</v>
      </c>
      <c r="BO6" s="284">
        <v>0</v>
      </c>
      <c r="BP6" s="284">
        <v>0</v>
      </c>
      <c r="BQ6" s="284">
        <v>0</v>
      </c>
      <c r="BR6" s="284">
        <v>0</v>
      </c>
      <c r="BS6" s="284">
        <v>0</v>
      </c>
      <c r="BT6" s="284">
        <v>0</v>
      </c>
      <c r="BU6" s="284">
        <v>0</v>
      </c>
      <c r="BV6" s="284">
        <v>0</v>
      </c>
      <c r="BW6" s="284">
        <v>0</v>
      </c>
      <c r="BX6" s="284">
        <v>0</v>
      </c>
    </row>
    <row r="7" spans="2:76" x14ac:dyDescent="0.2">
      <c r="B7" s="204" t="s">
        <v>576</v>
      </c>
      <c r="C7" s="284">
        <v>1</v>
      </c>
      <c r="AP7" s="204" t="s">
        <v>576</v>
      </c>
      <c r="AQ7" s="284">
        <v>0</v>
      </c>
      <c r="AR7" s="284">
        <v>0</v>
      </c>
      <c r="AS7" s="284">
        <v>0</v>
      </c>
      <c r="AT7" s="284">
        <v>0</v>
      </c>
      <c r="AU7" s="284">
        <v>0</v>
      </c>
      <c r="AV7" s="284">
        <v>0</v>
      </c>
      <c r="AW7" s="284">
        <v>0</v>
      </c>
      <c r="AX7" s="284">
        <v>0</v>
      </c>
      <c r="AY7" s="284">
        <v>0</v>
      </c>
      <c r="AZ7" s="284">
        <v>0</v>
      </c>
      <c r="BA7" s="284">
        <v>0</v>
      </c>
      <c r="BB7" s="284">
        <v>0</v>
      </c>
      <c r="BC7" s="284">
        <v>0</v>
      </c>
      <c r="BD7" s="284">
        <v>0</v>
      </c>
      <c r="BE7" s="284">
        <v>0</v>
      </c>
      <c r="BJ7" s="204" t="s">
        <v>576</v>
      </c>
      <c r="BK7" s="284">
        <v>0</v>
      </c>
      <c r="BL7" s="284">
        <v>0</v>
      </c>
      <c r="BM7" s="284">
        <v>0</v>
      </c>
      <c r="BN7" s="284">
        <v>0</v>
      </c>
      <c r="BO7" s="284">
        <v>0</v>
      </c>
      <c r="BP7" s="284">
        <v>0</v>
      </c>
      <c r="BQ7" s="284">
        <v>0</v>
      </c>
      <c r="BR7" s="284">
        <v>0</v>
      </c>
      <c r="BS7" s="284">
        <v>0</v>
      </c>
      <c r="BT7" s="284">
        <v>0</v>
      </c>
      <c r="BU7" s="284">
        <v>0</v>
      </c>
      <c r="BV7" s="284">
        <v>0</v>
      </c>
      <c r="BW7" s="284">
        <v>0</v>
      </c>
      <c r="BX7" s="284">
        <v>0</v>
      </c>
    </row>
    <row r="8" spans="2:76" x14ac:dyDescent="0.2">
      <c r="B8" s="204" t="s">
        <v>577</v>
      </c>
      <c r="C8" s="284">
        <v>1</v>
      </c>
      <c r="AP8" s="204" t="s">
        <v>577</v>
      </c>
      <c r="AQ8" s="284">
        <v>0</v>
      </c>
      <c r="AR8" s="284">
        <v>0</v>
      </c>
      <c r="AS8" s="284">
        <v>0</v>
      </c>
      <c r="AT8" s="284">
        <v>0</v>
      </c>
      <c r="AU8" s="284">
        <v>0</v>
      </c>
      <c r="AV8" s="284">
        <v>0</v>
      </c>
      <c r="AW8" s="284">
        <v>0</v>
      </c>
      <c r="AX8" s="284">
        <v>0</v>
      </c>
      <c r="AY8" s="284">
        <v>0</v>
      </c>
      <c r="AZ8" s="284">
        <v>0</v>
      </c>
      <c r="BA8" s="284">
        <v>0</v>
      </c>
      <c r="BB8" s="284">
        <v>0</v>
      </c>
      <c r="BC8" s="284">
        <v>0</v>
      </c>
      <c r="BD8" s="284">
        <v>0</v>
      </c>
      <c r="BE8" s="284">
        <v>0</v>
      </c>
      <c r="BJ8" s="204" t="s">
        <v>577</v>
      </c>
      <c r="BK8" s="284">
        <v>0</v>
      </c>
      <c r="BL8" s="284">
        <v>0</v>
      </c>
      <c r="BM8" s="284">
        <v>0</v>
      </c>
      <c r="BN8" s="284">
        <v>0</v>
      </c>
      <c r="BO8" s="284">
        <v>0</v>
      </c>
      <c r="BP8" s="284">
        <v>0</v>
      </c>
      <c r="BQ8" s="284">
        <v>0</v>
      </c>
      <c r="BR8" s="284">
        <v>0</v>
      </c>
      <c r="BS8" s="284">
        <v>0</v>
      </c>
      <c r="BT8" s="284">
        <v>0</v>
      </c>
      <c r="BU8" s="284">
        <v>0</v>
      </c>
      <c r="BV8" s="284">
        <v>0</v>
      </c>
      <c r="BW8" s="284">
        <v>0</v>
      </c>
      <c r="BX8" s="284">
        <v>0</v>
      </c>
    </row>
    <row r="9" spans="2:76" x14ac:dyDescent="0.2">
      <c r="B9" s="204" t="s">
        <v>519</v>
      </c>
      <c r="C9" s="284">
        <v>1</v>
      </c>
      <c r="AP9" s="204" t="s">
        <v>519</v>
      </c>
      <c r="AQ9" s="284">
        <v>0</v>
      </c>
      <c r="AR9" s="284">
        <v>0</v>
      </c>
      <c r="AS9" s="284">
        <v>0</v>
      </c>
      <c r="AT9" s="284">
        <v>0</v>
      </c>
      <c r="AU9" s="284">
        <v>0</v>
      </c>
      <c r="AV9" s="284">
        <v>0</v>
      </c>
      <c r="AW9" s="284">
        <v>0</v>
      </c>
      <c r="AX9" s="284">
        <v>0</v>
      </c>
      <c r="AY9" s="284">
        <v>0</v>
      </c>
      <c r="AZ9" s="284">
        <v>0</v>
      </c>
      <c r="BA9" s="284">
        <v>0</v>
      </c>
      <c r="BB9" s="284">
        <v>0</v>
      </c>
      <c r="BC9" s="284">
        <v>0</v>
      </c>
      <c r="BD9" s="284">
        <v>0</v>
      </c>
      <c r="BE9" s="284">
        <v>0</v>
      </c>
      <c r="BJ9" s="204" t="s">
        <v>519</v>
      </c>
      <c r="BK9" s="284">
        <v>0</v>
      </c>
      <c r="BL9" s="284">
        <v>0</v>
      </c>
      <c r="BM9" s="284">
        <v>0</v>
      </c>
      <c r="BN9" s="284">
        <v>0</v>
      </c>
      <c r="BO9" s="284">
        <v>0</v>
      </c>
      <c r="BP9" s="284">
        <v>0</v>
      </c>
      <c r="BQ9" s="284">
        <v>0</v>
      </c>
      <c r="BR9" s="284">
        <v>0</v>
      </c>
      <c r="BS9" s="284">
        <v>0</v>
      </c>
      <c r="BT9" s="284">
        <v>0</v>
      </c>
      <c r="BU9" s="284">
        <v>0</v>
      </c>
      <c r="BV9" s="284">
        <v>0</v>
      </c>
      <c r="BW9" s="284">
        <v>0</v>
      </c>
      <c r="BX9" s="284">
        <v>0</v>
      </c>
    </row>
    <row r="10" spans="2:76" x14ac:dyDescent="0.2">
      <c r="B10" s="204" t="s">
        <v>569</v>
      </c>
      <c r="C10" s="284">
        <v>1</v>
      </c>
      <c r="AP10" s="204" t="s">
        <v>569</v>
      </c>
      <c r="AQ10" s="284">
        <v>0</v>
      </c>
      <c r="AR10" s="284">
        <v>0</v>
      </c>
      <c r="AS10" s="284">
        <v>0</v>
      </c>
      <c r="AT10" s="284">
        <v>0</v>
      </c>
      <c r="AU10" s="284">
        <v>0</v>
      </c>
      <c r="AV10" s="284">
        <v>0</v>
      </c>
      <c r="AW10" s="284">
        <v>0</v>
      </c>
      <c r="AX10" s="284">
        <v>0</v>
      </c>
      <c r="AY10" s="284">
        <v>0</v>
      </c>
      <c r="AZ10" s="284">
        <v>0</v>
      </c>
      <c r="BA10" s="284">
        <v>0</v>
      </c>
      <c r="BB10" s="284">
        <v>0</v>
      </c>
      <c r="BC10" s="284">
        <v>0</v>
      </c>
      <c r="BD10" s="284">
        <v>0</v>
      </c>
      <c r="BE10" s="284">
        <v>0</v>
      </c>
      <c r="BJ10" s="204" t="s">
        <v>569</v>
      </c>
      <c r="BK10" s="284">
        <v>0</v>
      </c>
      <c r="BL10" s="284">
        <v>0</v>
      </c>
      <c r="BM10" s="284">
        <v>0</v>
      </c>
      <c r="BN10" s="284">
        <v>0</v>
      </c>
      <c r="BO10" s="284">
        <v>0</v>
      </c>
      <c r="BP10" s="284">
        <v>0</v>
      </c>
      <c r="BQ10" s="284">
        <v>0</v>
      </c>
      <c r="BR10" s="284">
        <v>0</v>
      </c>
      <c r="BS10" s="284">
        <v>0</v>
      </c>
      <c r="BT10" s="284">
        <v>0</v>
      </c>
      <c r="BU10" s="284">
        <v>0</v>
      </c>
      <c r="BV10" s="284">
        <v>0</v>
      </c>
      <c r="BW10" s="284">
        <v>0</v>
      </c>
      <c r="BX10" s="284">
        <v>0</v>
      </c>
    </row>
    <row r="11" spans="2:76" ht="16" x14ac:dyDescent="0.2">
      <c r="B11" s="205" t="s">
        <v>551</v>
      </c>
      <c r="C11" s="284">
        <v>1</v>
      </c>
      <c r="AP11" s="205" t="s">
        <v>551</v>
      </c>
      <c r="AQ11" s="284">
        <v>0</v>
      </c>
      <c r="AR11" s="284">
        <v>0</v>
      </c>
      <c r="AS11" s="284">
        <v>0</v>
      </c>
      <c r="AT11" s="284">
        <v>0</v>
      </c>
      <c r="AU11" s="284">
        <v>0</v>
      </c>
      <c r="AV11" s="284">
        <v>0</v>
      </c>
      <c r="AW11" s="284">
        <v>0</v>
      </c>
      <c r="AX11" s="284">
        <v>0</v>
      </c>
      <c r="AY11" s="284">
        <v>0</v>
      </c>
      <c r="AZ11" s="284">
        <v>0</v>
      </c>
      <c r="BA11" s="284">
        <v>0</v>
      </c>
      <c r="BB11" s="284">
        <v>0</v>
      </c>
      <c r="BC11" s="284">
        <v>0</v>
      </c>
      <c r="BD11" s="284">
        <v>0</v>
      </c>
      <c r="BE11" s="284">
        <v>0</v>
      </c>
      <c r="BJ11" s="205" t="s">
        <v>551</v>
      </c>
      <c r="BK11" s="284">
        <v>0</v>
      </c>
      <c r="BL11" s="284">
        <v>0</v>
      </c>
      <c r="BM11" s="284">
        <v>0</v>
      </c>
      <c r="BN11" s="284">
        <v>0</v>
      </c>
      <c r="BO11" s="284">
        <v>0</v>
      </c>
      <c r="BP11" s="284">
        <v>0</v>
      </c>
      <c r="BQ11" s="284">
        <v>0</v>
      </c>
      <c r="BR11" s="284">
        <v>0</v>
      </c>
      <c r="BS11" s="284">
        <v>0</v>
      </c>
      <c r="BT11" s="284">
        <v>0</v>
      </c>
      <c r="BU11" s="284">
        <v>0</v>
      </c>
      <c r="BV11" s="284">
        <v>0</v>
      </c>
      <c r="BW11" s="284">
        <v>0</v>
      </c>
      <c r="BX11" s="284">
        <v>0</v>
      </c>
    </row>
    <row r="12" spans="2:76" x14ac:dyDescent="0.2">
      <c r="B12" s="204" t="s">
        <v>517</v>
      </c>
      <c r="C12" s="284">
        <v>1</v>
      </c>
      <c r="AP12" s="204" t="s">
        <v>517</v>
      </c>
      <c r="AQ12" s="284">
        <v>0</v>
      </c>
      <c r="AR12" s="284">
        <v>0</v>
      </c>
      <c r="AS12" s="284">
        <v>0</v>
      </c>
      <c r="AT12" s="284">
        <v>0</v>
      </c>
      <c r="AU12" s="284">
        <v>0</v>
      </c>
      <c r="AV12" s="284">
        <v>0</v>
      </c>
      <c r="AW12" s="284">
        <v>0</v>
      </c>
      <c r="AX12" s="284">
        <v>0</v>
      </c>
      <c r="AY12" s="284">
        <v>0</v>
      </c>
      <c r="AZ12" s="284">
        <v>0</v>
      </c>
      <c r="BA12" s="284">
        <v>0</v>
      </c>
      <c r="BB12" s="284">
        <v>0</v>
      </c>
      <c r="BC12" s="284">
        <v>0</v>
      </c>
      <c r="BD12" s="284">
        <v>0</v>
      </c>
      <c r="BE12" s="284">
        <v>0</v>
      </c>
      <c r="BJ12" s="204" t="s">
        <v>517</v>
      </c>
      <c r="BK12" s="284">
        <v>0</v>
      </c>
      <c r="BL12" s="284">
        <v>0</v>
      </c>
      <c r="BM12" s="284">
        <v>0</v>
      </c>
      <c r="BN12" s="284">
        <v>0</v>
      </c>
      <c r="BO12" s="284">
        <v>0</v>
      </c>
      <c r="BP12" s="284">
        <v>0</v>
      </c>
      <c r="BQ12" s="284">
        <v>0</v>
      </c>
      <c r="BR12" s="284">
        <v>0</v>
      </c>
      <c r="BS12" s="284">
        <v>0</v>
      </c>
      <c r="BT12" s="284">
        <v>0</v>
      </c>
      <c r="BU12" s="284">
        <v>0</v>
      </c>
      <c r="BV12" s="284">
        <v>0</v>
      </c>
      <c r="BW12" s="284">
        <v>0</v>
      </c>
      <c r="BX12" s="284">
        <v>0</v>
      </c>
    </row>
    <row r="13" spans="2:76" ht="16" x14ac:dyDescent="0.2">
      <c r="B13" s="205" t="s">
        <v>520</v>
      </c>
      <c r="C13" s="284">
        <v>1</v>
      </c>
      <c r="AP13" s="205" t="s">
        <v>520</v>
      </c>
      <c r="AQ13" s="284">
        <v>0</v>
      </c>
      <c r="AR13" s="284">
        <v>0</v>
      </c>
      <c r="AS13" s="284">
        <v>0</v>
      </c>
      <c r="AT13" s="284">
        <v>0</v>
      </c>
      <c r="AU13" s="284">
        <v>0</v>
      </c>
      <c r="AV13" s="284">
        <v>0</v>
      </c>
      <c r="AW13" s="284">
        <v>0</v>
      </c>
      <c r="AX13" s="284">
        <v>0</v>
      </c>
      <c r="AY13" s="284">
        <v>0</v>
      </c>
      <c r="AZ13" s="284">
        <v>0</v>
      </c>
      <c r="BA13" s="284">
        <v>0</v>
      </c>
      <c r="BB13" s="284">
        <v>0</v>
      </c>
      <c r="BC13" s="284">
        <v>0</v>
      </c>
      <c r="BD13" s="284">
        <v>0</v>
      </c>
      <c r="BE13" s="284">
        <v>0</v>
      </c>
      <c r="BJ13" s="205" t="s">
        <v>520</v>
      </c>
      <c r="BK13" s="284">
        <v>0</v>
      </c>
      <c r="BL13" s="284">
        <v>0</v>
      </c>
      <c r="BM13" s="284">
        <v>0</v>
      </c>
      <c r="BN13" s="284">
        <v>0</v>
      </c>
      <c r="BO13" s="284">
        <v>0</v>
      </c>
      <c r="BP13" s="284">
        <v>0</v>
      </c>
      <c r="BQ13" s="284">
        <v>0</v>
      </c>
      <c r="BR13" s="284">
        <v>0</v>
      </c>
      <c r="BS13" s="284">
        <v>0</v>
      </c>
      <c r="BT13" s="284">
        <v>0</v>
      </c>
      <c r="BU13" s="284">
        <v>0</v>
      </c>
      <c r="BV13" s="284">
        <v>0</v>
      </c>
      <c r="BW13" s="284">
        <v>0</v>
      </c>
      <c r="BX13" s="284">
        <v>0</v>
      </c>
    </row>
    <row r="14" spans="2:76" x14ac:dyDescent="0.2">
      <c r="B14" s="204" t="s">
        <v>546</v>
      </c>
      <c r="C14" s="284">
        <v>1</v>
      </c>
      <c r="AP14" s="204" t="s">
        <v>546</v>
      </c>
      <c r="AQ14" s="284">
        <v>0</v>
      </c>
      <c r="AR14" s="284">
        <v>0</v>
      </c>
      <c r="AS14" s="284">
        <v>0</v>
      </c>
      <c r="AT14" s="284">
        <v>0</v>
      </c>
      <c r="AU14" s="284">
        <v>0</v>
      </c>
      <c r="AV14" s="284">
        <v>0</v>
      </c>
      <c r="AW14" s="284">
        <v>0</v>
      </c>
      <c r="AX14" s="284">
        <v>0</v>
      </c>
      <c r="AY14" s="284">
        <v>0</v>
      </c>
      <c r="AZ14" s="284">
        <v>0</v>
      </c>
      <c r="BA14" s="284">
        <v>0</v>
      </c>
      <c r="BB14" s="284">
        <v>0</v>
      </c>
      <c r="BC14" s="284">
        <v>0</v>
      </c>
      <c r="BD14" s="284">
        <v>0</v>
      </c>
      <c r="BE14" s="284">
        <v>0</v>
      </c>
      <c r="BJ14" s="204" t="s">
        <v>546</v>
      </c>
      <c r="BK14" s="284">
        <v>0</v>
      </c>
      <c r="BL14" s="284">
        <v>0</v>
      </c>
      <c r="BM14" s="284">
        <v>0</v>
      </c>
      <c r="BN14" s="284">
        <v>0</v>
      </c>
      <c r="BO14" s="284">
        <v>0</v>
      </c>
      <c r="BP14" s="284">
        <v>0</v>
      </c>
      <c r="BQ14" s="284">
        <v>0</v>
      </c>
      <c r="BR14" s="284">
        <v>0</v>
      </c>
      <c r="BS14" s="284">
        <v>0</v>
      </c>
      <c r="BT14" s="284">
        <v>0</v>
      </c>
      <c r="BU14" s="284">
        <v>0</v>
      </c>
      <c r="BV14" s="284">
        <v>0</v>
      </c>
      <c r="BW14" s="284">
        <v>0</v>
      </c>
      <c r="BX14" s="284">
        <v>0</v>
      </c>
    </row>
    <row r="15" spans="2:76" x14ac:dyDescent="0.2">
      <c r="B15" s="206" t="s">
        <v>538</v>
      </c>
      <c r="C15" s="284">
        <v>1</v>
      </c>
      <c r="AP15" s="206" t="s">
        <v>538</v>
      </c>
      <c r="AQ15" s="284">
        <v>0</v>
      </c>
      <c r="AR15" s="284">
        <v>0</v>
      </c>
      <c r="AS15" s="284">
        <v>0</v>
      </c>
      <c r="AT15" s="284">
        <v>0</v>
      </c>
      <c r="AU15" s="284">
        <v>0</v>
      </c>
      <c r="AV15" s="284">
        <v>0</v>
      </c>
      <c r="AW15" s="284">
        <v>0</v>
      </c>
      <c r="AX15" s="284">
        <v>0</v>
      </c>
      <c r="AY15" s="284">
        <v>0</v>
      </c>
      <c r="AZ15" s="284">
        <v>0</v>
      </c>
      <c r="BA15" s="284">
        <v>0</v>
      </c>
      <c r="BB15" s="284">
        <v>0</v>
      </c>
      <c r="BC15" s="284">
        <v>0</v>
      </c>
      <c r="BD15" s="284">
        <v>0</v>
      </c>
      <c r="BE15" s="284">
        <v>0</v>
      </c>
      <c r="BJ15" s="206" t="s">
        <v>538</v>
      </c>
      <c r="BK15" s="284">
        <v>0</v>
      </c>
      <c r="BL15" s="284">
        <v>0</v>
      </c>
      <c r="BM15" s="284">
        <v>0</v>
      </c>
      <c r="BN15" s="284">
        <v>0</v>
      </c>
      <c r="BO15" s="284">
        <v>0</v>
      </c>
      <c r="BP15" s="284">
        <v>0</v>
      </c>
      <c r="BQ15" s="284">
        <v>0</v>
      </c>
      <c r="BR15" s="284">
        <v>0</v>
      </c>
      <c r="BS15" s="284">
        <v>0</v>
      </c>
      <c r="BT15" s="284">
        <v>0</v>
      </c>
      <c r="BU15" s="284">
        <v>0</v>
      </c>
      <c r="BV15" s="284">
        <v>0</v>
      </c>
      <c r="BW15" s="284">
        <v>0</v>
      </c>
      <c r="BX15" s="284">
        <v>0</v>
      </c>
    </row>
    <row r="16" spans="2:76" x14ac:dyDescent="0.2">
      <c r="B16" s="204" t="s">
        <v>524</v>
      </c>
      <c r="C16" s="284">
        <v>1</v>
      </c>
      <c r="AP16" s="204" t="s">
        <v>524</v>
      </c>
      <c r="AQ16" s="284">
        <v>0</v>
      </c>
      <c r="AR16" s="284">
        <v>0</v>
      </c>
      <c r="AS16" s="284">
        <v>0</v>
      </c>
      <c r="AT16" s="284">
        <v>0</v>
      </c>
      <c r="AU16" s="284">
        <v>0</v>
      </c>
      <c r="AV16" s="284">
        <v>0</v>
      </c>
      <c r="AW16" s="284">
        <v>0</v>
      </c>
      <c r="AX16" s="284">
        <v>0</v>
      </c>
      <c r="AY16" s="284">
        <v>0</v>
      </c>
      <c r="AZ16" s="284">
        <v>0</v>
      </c>
      <c r="BA16" s="284">
        <v>0</v>
      </c>
      <c r="BB16" s="284">
        <v>0</v>
      </c>
      <c r="BC16" s="284">
        <v>0</v>
      </c>
      <c r="BD16" s="284">
        <v>0</v>
      </c>
      <c r="BE16" s="284">
        <v>0</v>
      </c>
      <c r="BJ16" s="204" t="s">
        <v>524</v>
      </c>
      <c r="BK16" s="284">
        <v>0</v>
      </c>
      <c r="BL16" s="284">
        <v>0</v>
      </c>
      <c r="BM16" s="284">
        <v>0</v>
      </c>
      <c r="BN16" s="284">
        <v>0</v>
      </c>
      <c r="BO16" s="284">
        <v>0</v>
      </c>
      <c r="BP16" s="284">
        <v>0</v>
      </c>
      <c r="BQ16" s="284">
        <v>0</v>
      </c>
      <c r="BR16" s="284">
        <v>0</v>
      </c>
      <c r="BS16" s="284">
        <v>0</v>
      </c>
      <c r="BT16" s="284">
        <v>0</v>
      </c>
      <c r="BU16" s="284">
        <v>0</v>
      </c>
      <c r="BV16" s="284">
        <v>0</v>
      </c>
      <c r="BW16" s="284">
        <v>0</v>
      </c>
      <c r="BX16" s="284">
        <v>0</v>
      </c>
    </row>
    <row r="17" spans="2:76" ht="16" x14ac:dyDescent="0.2">
      <c r="B17" s="205" t="s">
        <v>550</v>
      </c>
      <c r="C17" s="284">
        <v>1</v>
      </c>
      <c r="AP17" s="205" t="s">
        <v>550</v>
      </c>
      <c r="AQ17" s="284">
        <v>0</v>
      </c>
      <c r="AR17" s="284">
        <v>0</v>
      </c>
      <c r="AS17" s="284">
        <v>0</v>
      </c>
      <c r="AT17" s="284">
        <v>0</v>
      </c>
      <c r="AU17" s="284">
        <v>0</v>
      </c>
      <c r="AV17" s="284">
        <v>0</v>
      </c>
      <c r="AW17" s="284">
        <v>0</v>
      </c>
      <c r="AX17" s="284">
        <v>0</v>
      </c>
      <c r="AY17" s="284">
        <v>0</v>
      </c>
      <c r="AZ17" s="284">
        <v>0</v>
      </c>
      <c r="BA17" s="284">
        <v>0</v>
      </c>
      <c r="BB17" s="284">
        <v>0</v>
      </c>
      <c r="BC17" s="284">
        <v>0</v>
      </c>
      <c r="BD17" s="284">
        <v>0</v>
      </c>
      <c r="BE17" s="284">
        <v>0</v>
      </c>
      <c r="BJ17" s="205" t="s">
        <v>550</v>
      </c>
      <c r="BK17" s="284">
        <v>0</v>
      </c>
      <c r="BL17" s="284">
        <v>0</v>
      </c>
      <c r="BM17" s="284">
        <v>0</v>
      </c>
      <c r="BN17" s="284">
        <v>0</v>
      </c>
      <c r="BO17" s="284">
        <v>0</v>
      </c>
      <c r="BP17" s="284">
        <v>0</v>
      </c>
      <c r="BQ17" s="284">
        <v>0</v>
      </c>
      <c r="BR17" s="284">
        <v>0</v>
      </c>
      <c r="BS17" s="284">
        <v>0</v>
      </c>
      <c r="BT17" s="284">
        <v>0</v>
      </c>
      <c r="BU17" s="284">
        <v>0</v>
      </c>
      <c r="BV17" s="284">
        <v>0</v>
      </c>
      <c r="BW17" s="284">
        <v>0</v>
      </c>
      <c r="BX17" s="284">
        <v>0</v>
      </c>
    </row>
    <row r="18" spans="2:76" ht="16" x14ac:dyDescent="0.2">
      <c r="B18" s="205" t="s">
        <v>545</v>
      </c>
      <c r="C18" s="284">
        <v>1</v>
      </c>
      <c r="AP18" s="205" t="s">
        <v>545</v>
      </c>
      <c r="AQ18" s="284">
        <v>0</v>
      </c>
      <c r="AR18" s="284">
        <v>0</v>
      </c>
      <c r="AS18" s="284">
        <v>0</v>
      </c>
      <c r="AT18" s="284">
        <v>0</v>
      </c>
      <c r="AU18" s="284">
        <v>0</v>
      </c>
      <c r="AV18" s="284">
        <v>0</v>
      </c>
      <c r="AW18" s="284">
        <v>0</v>
      </c>
      <c r="AX18" s="284">
        <v>0</v>
      </c>
      <c r="AY18" s="284">
        <v>0</v>
      </c>
      <c r="AZ18" s="284">
        <v>0</v>
      </c>
      <c r="BA18" s="284">
        <v>0</v>
      </c>
      <c r="BB18" s="284">
        <v>0</v>
      </c>
      <c r="BC18" s="284">
        <v>0</v>
      </c>
      <c r="BD18" s="284">
        <v>0</v>
      </c>
      <c r="BE18" s="284">
        <v>0</v>
      </c>
      <c r="BJ18" s="205" t="s">
        <v>545</v>
      </c>
      <c r="BK18" s="284">
        <v>0</v>
      </c>
      <c r="BL18" s="284">
        <v>0</v>
      </c>
      <c r="BM18" s="284">
        <v>0</v>
      </c>
      <c r="BN18" s="284">
        <v>0</v>
      </c>
      <c r="BO18" s="284">
        <v>0</v>
      </c>
      <c r="BP18" s="284">
        <v>0</v>
      </c>
      <c r="BQ18" s="284">
        <v>0</v>
      </c>
      <c r="BR18" s="284">
        <v>0</v>
      </c>
      <c r="BS18" s="284">
        <v>0</v>
      </c>
      <c r="BT18" s="284">
        <v>0</v>
      </c>
      <c r="BU18" s="284">
        <v>0</v>
      </c>
      <c r="BV18" s="284">
        <v>0</v>
      </c>
      <c r="BW18" s="284">
        <v>0</v>
      </c>
      <c r="BX18" s="284">
        <v>0</v>
      </c>
    </row>
    <row r="19" spans="2:76" ht="16" x14ac:dyDescent="0.2">
      <c r="B19" s="205" t="s">
        <v>542</v>
      </c>
      <c r="C19" s="284">
        <v>1</v>
      </c>
      <c r="AP19" s="205" t="s">
        <v>542</v>
      </c>
      <c r="AQ19" s="284">
        <v>0</v>
      </c>
      <c r="AR19" s="284">
        <v>0</v>
      </c>
      <c r="AS19" s="284">
        <v>0</v>
      </c>
      <c r="AT19" s="284">
        <v>0</v>
      </c>
      <c r="AU19" s="284">
        <v>0</v>
      </c>
      <c r="AV19" s="284">
        <v>0</v>
      </c>
      <c r="AW19" s="284">
        <v>0</v>
      </c>
      <c r="AX19" s="284">
        <v>0</v>
      </c>
      <c r="AY19" s="284">
        <v>0</v>
      </c>
      <c r="AZ19" s="284">
        <v>0</v>
      </c>
      <c r="BA19" s="284">
        <v>0</v>
      </c>
      <c r="BB19" s="284">
        <v>0</v>
      </c>
      <c r="BC19" s="284">
        <v>0</v>
      </c>
      <c r="BD19" s="284">
        <v>0</v>
      </c>
      <c r="BE19" s="284">
        <v>0</v>
      </c>
      <c r="BJ19" s="205" t="s">
        <v>542</v>
      </c>
      <c r="BK19" s="284">
        <v>0</v>
      </c>
      <c r="BL19" s="284">
        <v>0</v>
      </c>
      <c r="BM19" s="284">
        <v>0</v>
      </c>
      <c r="BN19" s="284">
        <v>0</v>
      </c>
      <c r="BO19" s="284">
        <v>0</v>
      </c>
      <c r="BP19" s="284">
        <v>0</v>
      </c>
      <c r="BQ19" s="284">
        <v>0</v>
      </c>
      <c r="BR19" s="284">
        <v>0</v>
      </c>
      <c r="BS19" s="284">
        <v>0</v>
      </c>
      <c r="BT19" s="284">
        <v>0</v>
      </c>
      <c r="BU19" s="284">
        <v>0</v>
      </c>
      <c r="BV19" s="284">
        <v>0</v>
      </c>
      <c r="BW19" s="284">
        <v>0</v>
      </c>
      <c r="BX19" s="284">
        <v>0</v>
      </c>
    </row>
    <row r="20" spans="2:76" ht="16" x14ac:dyDescent="0.2">
      <c r="B20" s="205" t="s">
        <v>548</v>
      </c>
      <c r="C20" s="284">
        <v>1</v>
      </c>
      <c r="AP20" s="205" t="s">
        <v>548</v>
      </c>
      <c r="AQ20" s="284">
        <v>0</v>
      </c>
      <c r="AR20" s="284">
        <v>0</v>
      </c>
      <c r="AS20" s="284">
        <v>0</v>
      </c>
      <c r="AT20" s="284">
        <v>0</v>
      </c>
      <c r="AU20" s="284">
        <v>0</v>
      </c>
      <c r="AV20" s="284">
        <v>0</v>
      </c>
      <c r="AW20" s="284">
        <v>0</v>
      </c>
      <c r="AX20" s="284">
        <v>0</v>
      </c>
      <c r="AY20" s="284">
        <v>0</v>
      </c>
      <c r="AZ20" s="284">
        <v>0</v>
      </c>
      <c r="BA20" s="284">
        <v>0</v>
      </c>
      <c r="BB20" s="284">
        <v>0</v>
      </c>
      <c r="BC20" s="284">
        <v>0</v>
      </c>
      <c r="BD20" s="284">
        <v>0</v>
      </c>
      <c r="BE20" s="284">
        <v>0</v>
      </c>
      <c r="BJ20" s="205" t="s">
        <v>548</v>
      </c>
      <c r="BK20" s="284">
        <v>0</v>
      </c>
      <c r="BL20" s="284">
        <v>0</v>
      </c>
      <c r="BM20" s="284">
        <v>0</v>
      </c>
      <c r="BN20" s="284">
        <v>0</v>
      </c>
      <c r="BO20" s="284">
        <v>0</v>
      </c>
      <c r="BP20" s="284">
        <v>0</v>
      </c>
      <c r="BQ20" s="284">
        <v>0</v>
      </c>
      <c r="BR20" s="284">
        <v>0</v>
      </c>
      <c r="BS20" s="284">
        <v>0</v>
      </c>
      <c r="BT20" s="284">
        <v>0</v>
      </c>
      <c r="BU20" s="284">
        <v>0</v>
      </c>
      <c r="BV20" s="284">
        <v>0</v>
      </c>
      <c r="BW20" s="284">
        <v>0</v>
      </c>
      <c r="BX20" s="284">
        <v>0</v>
      </c>
    </row>
    <row r="21" spans="2:76" x14ac:dyDescent="0.2">
      <c r="B21" s="206" t="s">
        <v>547</v>
      </c>
      <c r="C21" s="284">
        <v>1</v>
      </c>
      <c r="AP21" s="206" t="s">
        <v>547</v>
      </c>
      <c r="AQ21" s="284">
        <v>0</v>
      </c>
      <c r="AR21" s="284">
        <v>0</v>
      </c>
      <c r="AS21" s="284">
        <v>0</v>
      </c>
      <c r="AT21" s="284">
        <v>0</v>
      </c>
      <c r="AU21" s="284">
        <v>0</v>
      </c>
      <c r="AV21" s="284">
        <v>0</v>
      </c>
      <c r="AW21" s="284">
        <v>0</v>
      </c>
      <c r="AX21" s="284">
        <v>0</v>
      </c>
      <c r="AY21" s="284">
        <v>0</v>
      </c>
      <c r="AZ21" s="284">
        <v>0</v>
      </c>
      <c r="BA21" s="284">
        <v>0</v>
      </c>
      <c r="BB21" s="284">
        <v>0</v>
      </c>
      <c r="BC21" s="284">
        <v>0</v>
      </c>
      <c r="BD21" s="284">
        <v>0</v>
      </c>
      <c r="BE21" s="284">
        <v>0</v>
      </c>
      <c r="BJ21" s="206" t="s">
        <v>547</v>
      </c>
      <c r="BK21" s="284">
        <v>0</v>
      </c>
      <c r="BL21" s="284">
        <v>0</v>
      </c>
      <c r="BM21" s="284">
        <v>0</v>
      </c>
      <c r="BN21" s="284">
        <v>0</v>
      </c>
      <c r="BO21" s="284">
        <v>0</v>
      </c>
      <c r="BP21" s="284">
        <v>0</v>
      </c>
      <c r="BQ21" s="284">
        <v>0</v>
      </c>
      <c r="BR21" s="284">
        <v>0</v>
      </c>
      <c r="BS21" s="284">
        <v>0</v>
      </c>
      <c r="BT21" s="284">
        <v>0</v>
      </c>
      <c r="BU21" s="284">
        <v>0</v>
      </c>
      <c r="BV21" s="284">
        <v>0</v>
      </c>
      <c r="BW21" s="284">
        <v>0</v>
      </c>
      <c r="BX21" s="284">
        <v>0</v>
      </c>
    </row>
    <row r="22" spans="2:76" x14ac:dyDescent="0.2">
      <c r="B22" s="206" t="s">
        <v>532</v>
      </c>
      <c r="C22" s="284">
        <v>1</v>
      </c>
      <c r="AP22" s="206" t="s">
        <v>532</v>
      </c>
      <c r="AQ22" s="284">
        <v>0</v>
      </c>
      <c r="AR22" s="284">
        <v>0</v>
      </c>
      <c r="AS22" s="284">
        <v>0</v>
      </c>
      <c r="AT22" s="284">
        <v>0</v>
      </c>
      <c r="AU22" s="284">
        <v>0</v>
      </c>
      <c r="AV22" s="284">
        <v>0</v>
      </c>
      <c r="AW22" s="284">
        <v>0</v>
      </c>
      <c r="AX22" s="284">
        <v>0</v>
      </c>
      <c r="AY22" s="284">
        <v>0</v>
      </c>
      <c r="AZ22" s="284">
        <v>0</v>
      </c>
      <c r="BA22" s="284">
        <v>0</v>
      </c>
      <c r="BB22" s="284">
        <v>0</v>
      </c>
      <c r="BC22" s="284">
        <v>0</v>
      </c>
      <c r="BD22" s="284">
        <v>0</v>
      </c>
      <c r="BE22" s="284">
        <v>0</v>
      </c>
      <c r="BJ22" s="206" t="s">
        <v>532</v>
      </c>
      <c r="BK22" s="284">
        <v>0</v>
      </c>
      <c r="BL22" s="284">
        <v>0</v>
      </c>
      <c r="BM22" s="284">
        <v>0</v>
      </c>
      <c r="BN22" s="284">
        <v>0</v>
      </c>
      <c r="BO22" s="284">
        <v>0</v>
      </c>
      <c r="BP22" s="284">
        <v>0</v>
      </c>
      <c r="BQ22" s="284">
        <v>0</v>
      </c>
      <c r="BR22" s="284">
        <v>0</v>
      </c>
      <c r="BS22" s="284">
        <v>0</v>
      </c>
      <c r="BT22" s="284">
        <v>0</v>
      </c>
      <c r="BU22" s="284">
        <v>0</v>
      </c>
      <c r="BV22" s="284">
        <v>0</v>
      </c>
      <c r="BW22" s="284">
        <v>0</v>
      </c>
      <c r="BX22" s="284">
        <v>0</v>
      </c>
    </row>
    <row r="23" spans="2:76" x14ac:dyDescent="0.2">
      <c r="B23" s="206" t="s">
        <v>566</v>
      </c>
      <c r="C23" s="284">
        <v>1</v>
      </c>
      <c r="AP23" s="206" t="s">
        <v>566</v>
      </c>
      <c r="AQ23" s="284">
        <v>0</v>
      </c>
      <c r="AR23" s="284">
        <v>0</v>
      </c>
      <c r="AS23" s="284">
        <v>0</v>
      </c>
      <c r="AT23" s="284">
        <v>0</v>
      </c>
      <c r="AU23" s="284">
        <v>0</v>
      </c>
      <c r="AV23" s="284">
        <v>0</v>
      </c>
      <c r="AW23" s="284">
        <v>0</v>
      </c>
      <c r="AX23" s="284">
        <v>0</v>
      </c>
      <c r="AY23" s="284">
        <v>0</v>
      </c>
      <c r="AZ23" s="284">
        <v>0</v>
      </c>
      <c r="BA23" s="284">
        <v>0</v>
      </c>
      <c r="BB23" s="284">
        <v>0</v>
      </c>
      <c r="BC23" s="284">
        <v>0</v>
      </c>
      <c r="BD23" s="284">
        <v>0</v>
      </c>
      <c r="BE23" s="284">
        <v>0</v>
      </c>
      <c r="BJ23" s="206" t="s">
        <v>566</v>
      </c>
      <c r="BK23" s="284">
        <v>0</v>
      </c>
      <c r="BL23" s="284">
        <v>0</v>
      </c>
      <c r="BM23" s="284">
        <v>0</v>
      </c>
      <c r="BN23" s="284">
        <v>0</v>
      </c>
      <c r="BO23" s="284">
        <v>0</v>
      </c>
      <c r="BP23" s="284">
        <v>0</v>
      </c>
      <c r="BQ23" s="284">
        <v>0</v>
      </c>
      <c r="BR23" s="284">
        <v>0</v>
      </c>
      <c r="BS23" s="284">
        <v>0</v>
      </c>
      <c r="BT23" s="284">
        <v>0</v>
      </c>
      <c r="BU23" s="284">
        <v>0</v>
      </c>
      <c r="BV23" s="284">
        <v>0</v>
      </c>
      <c r="BW23" s="284">
        <v>0</v>
      </c>
      <c r="BX23" s="284">
        <v>0</v>
      </c>
    </row>
    <row r="24" spans="2:76" x14ac:dyDescent="0.2">
      <c r="B24" s="206" t="s">
        <v>533</v>
      </c>
      <c r="C24" s="284">
        <v>1</v>
      </c>
      <c r="AP24" s="206" t="s">
        <v>533</v>
      </c>
      <c r="AQ24" s="284">
        <v>0</v>
      </c>
      <c r="AR24" s="284">
        <v>0</v>
      </c>
      <c r="AS24" s="284">
        <v>0</v>
      </c>
      <c r="AT24" s="284">
        <v>0</v>
      </c>
      <c r="AU24" s="284">
        <v>0</v>
      </c>
      <c r="AV24" s="284">
        <v>0</v>
      </c>
      <c r="AW24" s="284">
        <v>0</v>
      </c>
      <c r="AX24" s="284">
        <v>0</v>
      </c>
      <c r="AY24" s="284">
        <v>0</v>
      </c>
      <c r="AZ24" s="284">
        <v>0</v>
      </c>
      <c r="BA24" s="284">
        <v>0</v>
      </c>
      <c r="BB24" s="284">
        <v>0</v>
      </c>
      <c r="BC24" s="284">
        <v>0</v>
      </c>
      <c r="BD24" s="284">
        <v>0</v>
      </c>
      <c r="BE24" s="284">
        <v>0</v>
      </c>
      <c r="BJ24" s="206" t="s">
        <v>533</v>
      </c>
      <c r="BK24" s="284">
        <v>0</v>
      </c>
      <c r="BL24" s="284">
        <v>0</v>
      </c>
      <c r="BM24" s="284">
        <v>0</v>
      </c>
      <c r="BN24" s="284">
        <v>0</v>
      </c>
      <c r="BO24" s="284">
        <v>0</v>
      </c>
      <c r="BP24" s="284">
        <v>0</v>
      </c>
      <c r="BQ24" s="284">
        <v>0</v>
      </c>
      <c r="BR24" s="284">
        <v>0</v>
      </c>
      <c r="BS24" s="284">
        <v>0</v>
      </c>
      <c r="BT24" s="284">
        <v>0</v>
      </c>
      <c r="BU24" s="284">
        <v>0</v>
      </c>
      <c r="BV24" s="284">
        <v>0</v>
      </c>
      <c r="BW24" s="284">
        <v>0</v>
      </c>
      <c r="BX24" s="284">
        <v>0</v>
      </c>
    </row>
    <row r="25" spans="2:76" x14ac:dyDescent="0.2">
      <c r="B25" s="206" t="s">
        <v>535</v>
      </c>
      <c r="C25" s="284">
        <v>1</v>
      </c>
      <c r="AP25" s="206" t="s">
        <v>535</v>
      </c>
      <c r="AQ25" s="284">
        <v>0</v>
      </c>
      <c r="AR25" s="284">
        <v>0</v>
      </c>
      <c r="AS25" s="284">
        <v>0</v>
      </c>
      <c r="AT25" s="284">
        <v>0</v>
      </c>
      <c r="AU25" s="284">
        <v>0</v>
      </c>
      <c r="AV25" s="284">
        <v>0</v>
      </c>
      <c r="AW25" s="284">
        <v>0</v>
      </c>
      <c r="AX25" s="284">
        <v>0</v>
      </c>
      <c r="AY25" s="284">
        <v>0</v>
      </c>
      <c r="AZ25" s="284">
        <v>0</v>
      </c>
      <c r="BA25" s="284">
        <v>0</v>
      </c>
      <c r="BB25" s="284">
        <v>0</v>
      </c>
      <c r="BC25" s="284">
        <v>0</v>
      </c>
      <c r="BD25" s="284">
        <v>0</v>
      </c>
      <c r="BE25" s="284">
        <v>0</v>
      </c>
      <c r="BJ25" s="206" t="s">
        <v>535</v>
      </c>
      <c r="BK25" s="284">
        <v>0</v>
      </c>
      <c r="BL25" s="284">
        <v>0</v>
      </c>
      <c r="BM25" s="284">
        <v>0</v>
      </c>
      <c r="BN25" s="284">
        <v>0</v>
      </c>
      <c r="BO25" s="284">
        <v>0</v>
      </c>
      <c r="BP25" s="284">
        <v>0</v>
      </c>
      <c r="BQ25" s="284">
        <v>0</v>
      </c>
      <c r="BR25" s="284">
        <v>0</v>
      </c>
      <c r="BS25" s="284">
        <v>0</v>
      </c>
      <c r="BT25" s="284">
        <v>0</v>
      </c>
      <c r="BU25" s="284">
        <v>0</v>
      </c>
      <c r="BV25" s="284">
        <v>0</v>
      </c>
      <c r="BW25" s="284">
        <v>0</v>
      </c>
      <c r="BX25" s="284">
        <v>0</v>
      </c>
    </row>
    <row r="26" spans="2:76" x14ac:dyDescent="0.2">
      <c r="B26" s="206" t="s">
        <v>534</v>
      </c>
      <c r="C26" s="284">
        <v>1</v>
      </c>
      <c r="AP26" s="206" t="s">
        <v>534</v>
      </c>
      <c r="AQ26" s="284">
        <v>0</v>
      </c>
      <c r="AR26" s="284">
        <v>0</v>
      </c>
      <c r="AS26" s="284">
        <v>0</v>
      </c>
      <c r="AT26" s="284">
        <v>0</v>
      </c>
      <c r="AU26" s="284">
        <v>0</v>
      </c>
      <c r="AV26" s="284">
        <v>0</v>
      </c>
      <c r="AW26" s="284">
        <v>0</v>
      </c>
      <c r="AX26" s="284">
        <v>0</v>
      </c>
      <c r="AY26" s="284">
        <v>0</v>
      </c>
      <c r="AZ26" s="284">
        <v>0</v>
      </c>
      <c r="BA26" s="284">
        <v>0</v>
      </c>
      <c r="BB26" s="284">
        <v>0</v>
      </c>
      <c r="BC26" s="284">
        <v>0</v>
      </c>
      <c r="BD26" s="284">
        <v>0</v>
      </c>
      <c r="BE26" s="284">
        <v>0</v>
      </c>
      <c r="BJ26" s="206" t="s">
        <v>534</v>
      </c>
      <c r="BK26" s="284">
        <v>0</v>
      </c>
      <c r="BL26" s="284">
        <v>0</v>
      </c>
      <c r="BM26" s="284">
        <v>0</v>
      </c>
      <c r="BN26" s="284">
        <v>0</v>
      </c>
      <c r="BO26" s="284">
        <v>0</v>
      </c>
      <c r="BP26" s="284">
        <v>0</v>
      </c>
      <c r="BQ26" s="284">
        <v>0</v>
      </c>
      <c r="BR26" s="284">
        <v>0</v>
      </c>
      <c r="BS26" s="284">
        <v>0</v>
      </c>
      <c r="BT26" s="284">
        <v>0</v>
      </c>
      <c r="BU26" s="284">
        <v>0</v>
      </c>
      <c r="BV26" s="284">
        <v>0</v>
      </c>
      <c r="BW26" s="284">
        <v>0</v>
      </c>
      <c r="BX26" s="284">
        <v>0</v>
      </c>
    </row>
    <row r="27" spans="2:76" x14ac:dyDescent="0.2">
      <c r="B27" s="206" t="s">
        <v>632</v>
      </c>
      <c r="C27" s="284">
        <v>1</v>
      </c>
      <c r="AP27" s="206" t="s">
        <v>632</v>
      </c>
      <c r="AQ27" s="284">
        <v>0</v>
      </c>
      <c r="AR27" s="284">
        <v>0</v>
      </c>
      <c r="AS27" s="284">
        <v>0</v>
      </c>
      <c r="AT27" s="284">
        <v>0</v>
      </c>
      <c r="AU27" s="284">
        <v>0</v>
      </c>
      <c r="AV27" s="284">
        <v>0</v>
      </c>
      <c r="AW27" s="284">
        <v>0</v>
      </c>
      <c r="AX27" s="284">
        <v>0</v>
      </c>
      <c r="AY27" s="284">
        <v>0</v>
      </c>
      <c r="AZ27" s="284">
        <v>0</v>
      </c>
      <c r="BA27" s="284">
        <v>0</v>
      </c>
      <c r="BB27" s="284">
        <v>0</v>
      </c>
      <c r="BC27" s="284">
        <v>0</v>
      </c>
      <c r="BD27" s="284">
        <v>0</v>
      </c>
      <c r="BE27" s="284">
        <v>0</v>
      </c>
      <c r="BJ27" s="206" t="s">
        <v>632</v>
      </c>
      <c r="BK27" s="284">
        <v>0</v>
      </c>
      <c r="BL27" s="284">
        <v>0</v>
      </c>
      <c r="BM27" s="284">
        <v>0</v>
      </c>
      <c r="BN27" s="284">
        <v>0</v>
      </c>
      <c r="BO27" s="284">
        <v>0</v>
      </c>
      <c r="BP27" s="284">
        <v>0</v>
      </c>
      <c r="BQ27" s="284">
        <v>0</v>
      </c>
      <c r="BR27" s="284">
        <v>0</v>
      </c>
      <c r="BS27" s="284">
        <v>0</v>
      </c>
      <c r="BT27" s="284">
        <v>0</v>
      </c>
      <c r="BU27" s="284">
        <v>0</v>
      </c>
      <c r="BV27" s="284">
        <v>0</v>
      </c>
      <c r="BW27" s="284">
        <v>0</v>
      </c>
      <c r="BX27" s="284">
        <v>0</v>
      </c>
    </row>
    <row r="28" spans="2:76" ht="16" x14ac:dyDescent="0.2">
      <c r="B28" s="253" t="s">
        <v>530</v>
      </c>
      <c r="C28" s="284">
        <v>1</v>
      </c>
      <c r="AP28" s="253" t="s">
        <v>530</v>
      </c>
      <c r="AQ28" s="284">
        <v>0</v>
      </c>
      <c r="AR28" s="284">
        <v>0</v>
      </c>
      <c r="AS28" s="284">
        <v>0</v>
      </c>
      <c r="AT28" s="284">
        <v>0</v>
      </c>
      <c r="AU28" s="284">
        <v>0</v>
      </c>
      <c r="AV28" s="284">
        <v>0</v>
      </c>
      <c r="AW28" s="284">
        <v>0</v>
      </c>
      <c r="AX28" s="284">
        <v>0</v>
      </c>
      <c r="AY28" s="284">
        <v>0</v>
      </c>
      <c r="AZ28" s="284">
        <v>0</v>
      </c>
      <c r="BA28" s="284">
        <v>0</v>
      </c>
      <c r="BB28" s="284">
        <v>0</v>
      </c>
      <c r="BC28" s="284">
        <v>0</v>
      </c>
      <c r="BD28" s="284">
        <v>0</v>
      </c>
      <c r="BE28" s="284">
        <v>0</v>
      </c>
      <c r="BJ28" s="253" t="s">
        <v>530</v>
      </c>
      <c r="BK28" s="284">
        <v>0</v>
      </c>
      <c r="BL28" s="284">
        <v>0</v>
      </c>
      <c r="BM28" s="284">
        <v>0</v>
      </c>
      <c r="BN28" s="284">
        <v>0</v>
      </c>
      <c r="BO28" s="284">
        <v>0</v>
      </c>
      <c r="BP28" s="284">
        <v>0</v>
      </c>
      <c r="BQ28" s="284">
        <v>0</v>
      </c>
      <c r="BR28" s="284">
        <v>0</v>
      </c>
      <c r="BS28" s="284">
        <v>0</v>
      </c>
      <c r="BT28" s="284">
        <v>0</v>
      </c>
      <c r="BU28" s="284">
        <v>0</v>
      </c>
      <c r="BV28" s="284">
        <v>0</v>
      </c>
      <c r="BW28" s="284">
        <v>0</v>
      </c>
      <c r="BX28" s="284">
        <v>0</v>
      </c>
    </row>
    <row r="29" spans="2:76" x14ac:dyDescent="0.2">
      <c r="B29" s="206" t="s">
        <v>529</v>
      </c>
      <c r="C29" s="284">
        <v>1</v>
      </c>
      <c r="AP29" s="206" t="s">
        <v>529</v>
      </c>
      <c r="AQ29" s="284">
        <v>0</v>
      </c>
      <c r="AR29" s="284">
        <v>0</v>
      </c>
      <c r="AS29" s="284">
        <v>0</v>
      </c>
      <c r="AT29" s="284">
        <v>0</v>
      </c>
      <c r="AU29" s="284">
        <v>0</v>
      </c>
      <c r="AV29" s="284">
        <v>0</v>
      </c>
      <c r="AW29" s="284">
        <v>0</v>
      </c>
      <c r="AX29" s="284">
        <v>0</v>
      </c>
      <c r="AY29" s="284">
        <v>0</v>
      </c>
      <c r="AZ29" s="284">
        <v>0</v>
      </c>
      <c r="BA29" s="284">
        <v>0</v>
      </c>
      <c r="BB29" s="284">
        <v>0</v>
      </c>
      <c r="BC29" s="284">
        <v>0</v>
      </c>
      <c r="BD29" s="284">
        <v>0</v>
      </c>
      <c r="BE29" s="284">
        <v>0</v>
      </c>
      <c r="BJ29" s="206" t="s">
        <v>529</v>
      </c>
      <c r="BK29" s="284">
        <v>0</v>
      </c>
      <c r="BL29" s="284">
        <v>0</v>
      </c>
      <c r="BM29" s="284">
        <v>0</v>
      </c>
      <c r="BN29" s="284">
        <v>0</v>
      </c>
      <c r="BO29" s="284">
        <v>0</v>
      </c>
      <c r="BP29" s="284">
        <v>0</v>
      </c>
      <c r="BQ29" s="284">
        <v>0</v>
      </c>
      <c r="BR29" s="284">
        <v>0</v>
      </c>
      <c r="BS29" s="284">
        <v>0</v>
      </c>
      <c r="BT29" s="284">
        <v>0</v>
      </c>
      <c r="BU29" s="284">
        <v>0</v>
      </c>
      <c r="BV29" s="284">
        <v>0</v>
      </c>
      <c r="BW29" s="284">
        <v>0</v>
      </c>
      <c r="BX29" s="284">
        <v>0</v>
      </c>
    </row>
    <row r="30" spans="2:76" x14ac:dyDescent="0.2">
      <c r="B30" s="204" t="s">
        <v>531</v>
      </c>
      <c r="C30" s="284">
        <v>1</v>
      </c>
      <c r="AP30" s="204" t="s">
        <v>531</v>
      </c>
      <c r="AQ30" s="284">
        <v>0</v>
      </c>
      <c r="AR30" s="284">
        <v>0</v>
      </c>
      <c r="AS30" s="284">
        <v>0</v>
      </c>
      <c r="AT30" s="284">
        <v>0</v>
      </c>
      <c r="AU30" s="284">
        <v>0</v>
      </c>
      <c r="AV30" s="284">
        <v>0</v>
      </c>
      <c r="AW30" s="284">
        <v>0</v>
      </c>
      <c r="AX30" s="284">
        <v>0</v>
      </c>
      <c r="AY30" s="284">
        <v>0</v>
      </c>
      <c r="AZ30" s="284">
        <v>0</v>
      </c>
      <c r="BA30" s="284">
        <v>0</v>
      </c>
      <c r="BB30" s="284">
        <v>0</v>
      </c>
      <c r="BC30" s="284">
        <v>0</v>
      </c>
      <c r="BD30" s="284">
        <v>0</v>
      </c>
      <c r="BE30" s="284">
        <v>0</v>
      </c>
      <c r="BJ30" s="204" t="s">
        <v>531</v>
      </c>
      <c r="BK30" s="284">
        <v>0</v>
      </c>
      <c r="BL30" s="284">
        <v>0</v>
      </c>
      <c r="BM30" s="284">
        <v>0</v>
      </c>
      <c r="BN30" s="284">
        <v>0</v>
      </c>
      <c r="BO30" s="284">
        <v>0</v>
      </c>
      <c r="BP30" s="284">
        <v>0</v>
      </c>
      <c r="BQ30" s="284">
        <v>0</v>
      </c>
      <c r="BR30" s="284">
        <v>0</v>
      </c>
      <c r="BS30" s="284">
        <v>0</v>
      </c>
      <c r="BT30" s="284">
        <v>0</v>
      </c>
      <c r="BU30" s="284">
        <v>0</v>
      </c>
      <c r="BV30" s="284">
        <v>0</v>
      </c>
      <c r="BW30" s="284">
        <v>0</v>
      </c>
      <c r="BX30" s="284">
        <v>0</v>
      </c>
    </row>
    <row r="31" spans="2:76" x14ac:dyDescent="0.2">
      <c r="B31" s="206" t="s">
        <v>527</v>
      </c>
      <c r="C31" s="284">
        <v>1</v>
      </c>
      <c r="AP31" s="206" t="s">
        <v>673</v>
      </c>
      <c r="AQ31" s="284">
        <v>0</v>
      </c>
      <c r="AR31" s="284">
        <v>0</v>
      </c>
      <c r="AS31" s="284">
        <v>0</v>
      </c>
      <c r="AT31" s="284">
        <v>0</v>
      </c>
      <c r="AU31" s="284">
        <v>0</v>
      </c>
      <c r="AV31" s="284">
        <v>0</v>
      </c>
      <c r="AW31" s="284">
        <v>0</v>
      </c>
      <c r="AX31" s="284">
        <v>0</v>
      </c>
      <c r="AY31" s="284">
        <v>0</v>
      </c>
      <c r="AZ31" s="284">
        <v>0</v>
      </c>
      <c r="BA31" s="284">
        <v>0</v>
      </c>
      <c r="BB31" s="284">
        <v>0</v>
      </c>
      <c r="BC31" s="284">
        <v>0</v>
      </c>
      <c r="BD31" s="284">
        <v>0</v>
      </c>
      <c r="BE31" s="284">
        <v>0</v>
      </c>
      <c r="BJ31" s="206" t="s">
        <v>673</v>
      </c>
      <c r="BK31" s="284">
        <v>0</v>
      </c>
      <c r="BL31" s="284">
        <v>0</v>
      </c>
      <c r="BM31" s="284">
        <v>0</v>
      </c>
      <c r="BN31" s="284">
        <v>0</v>
      </c>
      <c r="BO31" s="284">
        <v>0</v>
      </c>
      <c r="BP31" s="284">
        <v>0</v>
      </c>
      <c r="BQ31" s="284">
        <v>0</v>
      </c>
      <c r="BR31" s="284">
        <v>0</v>
      </c>
      <c r="BS31" s="284">
        <v>0</v>
      </c>
      <c r="BT31" s="284">
        <v>0</v>
      </c>
      <c r="BU31" s="284">
        <v>0</v>
      </c>
      <c r="BV31" s="284">
        <v>0</v>
      </c>
      <c r="BW31" s="284">
        <v>0</v>
      </c>
      <c r="BX31" s="284">
        <v>0</v>
      </c>
    </row>
    <row r="32" spans="2:76" x14ac:dyDescent="0.2">
      <c r="B32" s="206" t="s">
        <v>554</v>
      </c>
      <c r="C32" s="284">
        <v>1</v>
      </c>
      <c r="AP32" s="206" t="s">
        <v>676</v>
      </c>
      <c r="AQ32" s="284">
        <v>0</v>
      </c>
      <c r="AR32" s="284">
        <v>0</v>
      </c>
      <c r="AS32" s="284">
        <v>0</v>
      </c>
      <c r="AT32" s="284">
        <v>0</v>
      </c>
      <c r="AU32" s="284">
        <v>0</v>
      </c>
      <c r="AV32" s="284">
        <v>0</v>
      </c>
      <c r="AW32" s="284">
        <v>0</v>
      </c>
      <c r="AX32" s="284">
        <v>0</v>
      </c>
      <c r="AY32" s="284">
        <v>0</v>
      </c>
      <c r="AZ32" s="284">
        <v>0</v>
      </c>
      <c r="BA32" s="284">
        <v>0</v>
      </c>
      <c r="BB32" s="284">
        <v>0</v>
      </c>
      <c r="BC32" s="284">
        <v>0</v>
      </c>
      <c r="BD32" s="284">
        <v>0</v>
      </c>
      <c r="BE32" s="284">
        <v>0</v>
      </c>
      <c r="BJ32" s="206" t="s">
        <v>676</v>
      </c>
      <c r="BK32" s="284">
        <v>0</v>
      </c>
      <c r="BL32" s="284">
        <v>0</v>
      </c>
      <c r="BM32" s="284">
        <v>0</v>
      </c>
      <c r="BN32" s="284">
        <v>0</v>
      </c>
      <c r="BO32" s="284">
        <v>0</v>
      </c>
      <c r="BP32" s="284">
        <v>0</v>
      </c>
      <c r="BQ32" s="284">
        <v>0</v>
      </c>
      <c r="BR32" s="284">
        <v>0</v>
      </c>
      <c r="BS32" s="284">
        <v>0</v>
      </c>
      <c r="BT32" s="284">
        <v>0</v>
      </c>
      <c r="BU32" s="284">
        <v>0</v>
      </c>
      <c r="BV32" s="284">
        <v>0</v>
      </c>
      <c r="BW32" s="284">
        <v>0</v>
      </c>
      <c r="BX32" s="284">
        <v>0</v>
      </c>
    </row>
    <row r="33" spans="2:76" x14ac:dyDescent="0.2">
      <c r="B33" s="206" t="s">
        <v>555</v>
      </c>
      <c r="C33" s="284">
        <v>1</v>
      </c>
      <c r="AP33" s="206" t="s">
        <v>554</v>
      </c>
      <c r="AQ33" s="284">
        <v>0</v>
      </c>
      <c r="AR33" s="284">
        <v>0</v>
      </c>
      <c r="AS33" s="284">
        <v>0</v>
      </c>
      <c r="AT33" s="284">
        <v>0</v>
      </c>
      <c r="AU33" s="284">
        <v>0</v>
      </c>
      <c r="AV33" s="284">
        <v>0</v>
      </c>
      <c r="AW33" s="284">
        <v>0</v>
      </c>
      <c r="AX33" s="284">
        <v>0</v>
      </c>
      <c r="AY33" s="284">
        <v>0</v>
      </c>
      <c r="AZ33" s="284">
        <v>0</v>
      </c>
      <c r="BA33" s="284">
        <v>0</v>
      </c>
      <c r="BB33" s="284">
        <v>0</v>
      </c>
      <c r="BC33" s="284">
        <v>0</v>
      </c>
      <c r="BD33" s="284">
        <v>0</v>
      </c>
      <c r="BE33" s="284">
        <v>0</v>
      </c>
      <c r="BJ33" s="206" t="s">
        <v>554</v>
      </c>
      <c r="BK33" s="284">
        <v>0</v>
      </c>
      <c r="BL33" s="284">
        <v>0</v>
      </c>
      <c r="BM33" s="284">
        <v>0</v>
      </c>
      <c r="BN33" s="284">
        <v>0</v>
      </c>
      <c r="BO33" s="284">
        <v>0</v>
      </c>
      <c r="BP33" s="284">
        <v>0</v>
      </c>
      <c r="BQ33" s="284">
        <v>0</v>
      </c>
      <c r="BR33" s="284">
        <v>0</v>
      </c>
      <c r="BS33" s="284">
        <v>0</v>
      </c>
      <c r="BT33" s="284">
        <v>0</v>
      </c>
      <c r="BU33" s="284">
        <v>0</v>
      </c>
      <c r="BV33" s="284">
        <v>0</v>
      </c>
      <c r="BW33" s="284">
        <v>0</v>
      </c>
      <c r="BX33" s="284">
        <v>0</v>
      </c>
    </row>
    <row r="34" spans="2:76" x14ac:dyDescent="0.2">
      <c r="B34" s="206" t="s">
        <v>556</v>
      </c>
      <c r="C34" s="284">
        <v>1</v>
      </c>
      <c r="AP34" s="206" t="s">
        <v>555</v>
      </c>
      <c r="AQ34" s="284">
        <v>0</v>
      </c>
      <c r="AR34" s="284">
        <v>0</v>
      </c>
      <c r="AS34" s="284">
        <v>0</v>
      </c>
      <c r="AT34" s="284">
        <v>0</v>
      </c>
      <c r="AU34" s="284">
        <v>0</v>
      </c>
      <c r="AV34" s="284">
        <v>0</v>
      </c>
      <c r="AW34" s="284">
        <v>0</v>
      </c>
      <c r="AX34" s="284">
        <v>0</v>
      </c>
      <c r="AY34" s="284">
        <v>0</v>
      </c>
      <c r="AZ34" s="284">
        <v>0</v>
      </c>
      <c r="BA34" s="284">
        <v>0</v>
      </c>
      <c r="BB34" s="284">
        <v>0</v>
      </c>
      <c r="BC34" s="284">
        <v>0</v>
      </c>
      <c r="BD34" s="284">
        <v>0</v>
      </c>
      <c r="BE34" s="284">
        <v>0</v>
      </c>
      <c r="BJ34" s="206" t="s">
        <v>555</v>
      </c>
      <c r="BK34" s="284">
        <v>0</v>
      </c>
      <c r="BL34" s="284">
        <v>0</v>
      </c>
      <c r="BM34" s="284">
        <v>0</v>
      </c>
      <c r="BN34" s="284">
        <v>0</v>
      </c>
      <c r="BO34" s="284">
        <v>0</v>
      </c>
      <c r="BP34" s="284">
        <v>0</v>
      </c>
      <c r="BQ34" s="284">
        <v>0</v>
      </c>
      <c r="BR34" s="284">
        <v>0</v>
      </c>
      <c r="BS34" s="284">
        <v>0</v>
      </c>
      <c r="BT34" s="284">
        <v>0</v>
      </c>
      <c r="BU34" s="284">
        <v>0</v>
      </c>
      <c r="BV34" s="284">
        <v>0</v>
      </c>
      <c r="BW34" s="284">
        <v>0</v>
      </c>
      <c r="BX34" s="284">
        <v>0</v>
      </c>
    </row>
    <row r="35" spans="2:76" x14ac:dyDescent="0.2">
      <c r="B35" s="206" t="s">
        <v>567</v>
      </c>
      <c r="C35" s="284">
        <v>1</v>
      </c>
      <c r="AP35" s="206" t="s">
        <v>556</v>
      </c>
      <c r="AQ35" s="284">
        <v>0</v>
      </c>
      <c r="AR35" s="284">
        <v>0</v>
      </c>
      <c r="AS35" s="284">
        <v>0</v>
      </c>
      <c r="AT35" s="284">
        <v>0</v>
      </c>
      <c r="AU35" s="284">
        <v>0</v>
      </c>
      <c r="AV35" s="284">
        <v>0</v>
      </c>
      <c r="AW35" s="284">
        <v>0</v>
      </c>
      <c r="AX35" s="284">
        <v>0</v>
      </c>
      <c r="AY35" s="284">
        <v>0</v>
      </c>
      <c r="AZ35" s="284">
        <v>0</v>
      </c>
      <c r="BA35" s="284">
        <v>0</v>
      </c>
      <c r="BB35" s="284">
        <v>0</v>
      </c>
      <c r="BC35" s="284">
        <v>0</v>
      </c>
      <c r="BD35" s="284">
        <v>0</v>
      </c>
      <c r="BE35" s="284">
        <v>0</v>
      </c>
      <c r="BJ35" s="206" t="s">
        <v>556</v>
      </c>
      <c r="BK35" s="284">
        <v>0</v>
      </c>
      <c r="BL35" s="284">
        <v>0</v>
      </c>
      <c r="BM35" s="284">
        <v>0</v>
      </c>
      <c r="BN35" s="284">
        <v>0</v>
      </c>
      <c r="BO35" s="284">
        <v>0</v>
      </c>
      <c r="BP35" s="284">
        <v>0</v>
      </c>
      <c r="BQ35" s="284">
        <v>0</v>
      </c>
      <c r="BR35" s="284">
        <v>0</v>
      </c>
      <c r="BS35" s="284">
        <v>0</v>
      </c>
      <c r="BT35" s="284">
        <v>0</v>
      </c>
      <c r="BU35" s="284">
        <v>0</v>
      </c>
      <c r="BV35" s="284">
        <v>0</v>
      </c>
      <c r="BW35" s="284">
        <v>0</v>
      </c>
      <c r="BX35" s="284">
        <v>0</v>
      </c>
    </row>
    <row r="36" spans="2:76" x14ac:dyDescent="0.2">
      <c r="C36" s="171" t="s">
        <v>583</v>
      </c>
      <c r="AP36" s="206" t="s">
        <v>567</v>
      </c>
      <c r="AQ36" s="284">
        <v>0</v>
      </c>
      <c r="AR36" s="284">
        <v>0</v>
      </c>
      <c r="AS36" s="284">
        <v>0</v>
      </c>
      <c r="AT36" s="284">
        <v>0</v>
      </c>
      <c r="AU36" s="284">
        <v>0</v>
      </c>
      <c r="AV36" s="284">
        <v>0</v>
      </c>
      <c r="AW36" s="284">
        <v>0</v>
      </c>
      <c r="AX36" s="284">
        <v>0</v>
      </c>
      <c r="AY36" s="284">
        <v>0</v>
      </c>
      <c r="AZ36" s="284">
        <v>0</v>
      </c>
      <c r="BA36" s="284">
        <v>0</v>
      </c>
      <c r="BB36" s="284">
        <v>0</v>
      </c>
      <c r="BC36" s="284">
        <v>0</v>
      </c>
      <c r="BD36" s="284">
        <v>0</v>
      </c>
      <c r="BE36" s="284">
        <v>0</v>
      </c>
      <c r="BJ36" s="206" t="s">
        <v>567</v>
      </c>
      <c r="BK36" s="284">
        <v>0</v>
      </c>
      <c r="BL36" s="284">
        <v>0</v>
      </c>
      <c r="BM36" s="284">
        <v>0</v>
      </c>
      <c r="BN36" s="284">
        <v>0</v>
      </c>
      <c r="BO36" s="284">
        <v>0</v>
      </c>
      <c r="BP36" s="284">
        <v>0</v>
      </c>
      <c r="BQ36" s="284">
        <v>0</v>
      </c>
      <c r="BR36" s="284">
        <v>0</v>
      </c>
      <c r="BS36" s="284">
        <v>0</v>
      </c>
      <c r="BT36" s="284">
        <v>0</v>
      </c>
      <c r="BU36" s="284">
        <v>0</v>
      </c>
      <c r="BV36" s="284">
        <v>0</v>
      </c>
      <c r="BW36" s="284">
        <v>0</v>
      </c>
      <c r="BX36" s="284">
        <v>0</v>
      </c>
    </row>
    <row r="37" spans="2:76" x14ac:dyDescent="0.2">
      <c r="AP37" s="206"/>
      <c r="AQ37" s="394" t="s">
        <v>580</v>
      </c>
      <c r="AR37" s="394"/>
      <c r="AS37" s="394"/>
      <c r="AT37" s="394"/>
      <c r="AU37" s="394"/>
      <c r="AV37" s="394"/>
      <c r="AW37" s="394"/>
      <c r="AX37" s="394"/>
      <c r="AY37" s="394"/>
      <c r="AZ37" s="394"/>
      <c r="BA37" s="394"/>
      <c r="BB37" s="394"/>
      <c r="BC37" s="394"/>
      <c r="BD37" s="394"/>
      <c r="BE37" s="394"/>
      <c r="BJ37" s="206"/>
      <c r="BK37" s="394" t="s">
        <v>581</v>
      </c>
      <c r="BL37" s="394"/>
      <c r="BM37" s="394"/>
      <c r="BN37" s="394"/>
      <c r="BO37" s="394"/>
      <c r="BP37" s="394"/>
      <c r="BQ37" s="394"/>
      <c r="BR37" s="394"/>
      <c r="BS37" s="394"/>
      <c r="BT37" s="394"/>
      <c r="BU37" s="394"/>
      <c r="BV37" s="394"/>
      <c r="BW37" s="394"/>
      <c r="BX37" s="394"/>
    </row>
    <row r="38" spans="2:76" x14ac:dyDescent="0.2">
      <c r="AP38" s="206"/>
      <c r="BJ38" s="206"/>
    </row>
    <row r="39" spans="2:76" x14ac:dyDescent="0.2">
      <c r="AP39" s="206"/>
    </row>
    <row r="40" spans="2:76" ht="112" x14ac:dyDescent="0.2">
      <c r="AP40" s="260"/>
      <c r="AQ40" s="207" t="s">
        <v>415</v>
      </c>
      <c r="AR40" s="207" t="s">
        <v>416</v>
      </c>
      <c r="AS40" s="207" t="s">
        <v>417</v>
      </c>
      <c r="AT40" s="207" t="s">
        <v>565</v>
      </c>
      <c r="AU40" s="207" t="s">
        <v>544</v>
      </c>
      <c r="AV40" s="207" t="s">
        <v>543</v>
      </c>
      <c r="AW40" s="207" t="s">
        <v>443</v>
      </c>
      <c r="AX40" s="207" t="s">
        <v>440</v>
      </c>
      <c r="AY40" s="207" t="s">
        <v>458</v>
      </c>
      <c r="AZ40" s="207" t="s">
        <v>441</v>
      </c>
      <c r="BA40" s="207" t="s">
        <v>436</v>
      </c>
      <c r="BB40" s="207" t="s">
        <v>672</v>
      </c>
      <c r="BC40" s="207" t="s">
        <v>675</v>
      </c>
      <c r="BD40" s="207" t="s">
        <v>81</v>
      </c>
      <c r="BE40" s="207" t="s">
        <v>427</v>
      </c>
    </row>
    <row r="41" spans="2:76" x14ac:dyDescent="0.2">
      <c r="AP41" s="204" t="s">
        <v>423</v>
      </c>
      <c r="AQ41" s="284">
        <f>AQ81</f>
        <v>1011.7674660019052</v>
      </c>
      <c r="AR41" s="284">
        <f t="shared" ref="AR41:BE41" si="0">AR81</f>
        <v>0</v>
      </c>
      <c r="AS41" s="284">
        <f t="shared" si="0"/>
        <v>0</v>
      </c>
      <c r="AT41" s="284">
        <f t="shared" si="0"/>
        <v>0</v>
      </c>
      <c r="AU41" s="284">
        <f t="shared" si="0"/>
        <v>0</v>
      </c>
      <c r="AV41" s="284">
        <f t="shared" si="0"/>
        <v>0</v>
      </c>
      <c r="AW41" s="284">
        <f t="shared" si="0"/>
        <v>0</v>
      </c>
      <c r="AX41" s="284">
        <f t="shared" si="0"/>
        <v>0</v>
      </c>
      <c r="AY41" s="284">
        <f t="shared" si="0"/>
        <v>0</v>
      </c>
      <c r="AZ41" s="284">
        <f t="shared" si="0"/>
        <v>0</v>
      </c>
      <c r="BA41" s="284">
        <f t="shared" si="0"/>
        <v>0</v>
      </c>
      <c r="BB41" s="284">
        <f t="shared" si="0"/>
        <v>0</v>
      </c>
      <c r="BC41" s="284">
        <f t="shared" si="0"/>
        <v>0</v>
      </c>
      <c r="BD41" s="284">
        <f t="shared" si="0"/>
        <v>0</v>
      </c>
      <c r="BE41" s="284">
        <f t="shared" si="0"/>
        <v>0</v>
      </c>
    </row>
    <row r="42" spans="2:76" x14ac:dyDescent="0.2">
      <c r="AP42" s="204" t="s">
        <v>425</v>
      </c>
      <c r="AQ42" s="284">
        <f t="shared" ref="AQ42:AX75" si="1">AQ82</f>
        <v>0</v>
      </c>
      <c r="AR42" s="284">
        <f t="shared" si="1"/>
        <v>208.55560337725498</v>
      </c>
      <c r="AS42" s="284">
        <f t="shared" si="1"/>
        <v>0</v>
      </c>
      <c r="AT42" s="284">
        <f t="shared" si="1"/>
        <v>0</v>
      </c>
      <c r="AU42" s="284">
        <f t="shared" si="1"/>
        <v>0</v>
      </c>
      <c r="AV42" s="284">
        <f t="shared" si="1"/>
        <v>0</v>
      </c>
      <c r="AW42" s="284">
        <f t="shared" si="1"/>
        <v>0</v>
      </c>
      <c r="AX42" s="284">
        <f t="shared" si="1"/>
        <v>0</v>
      </c>
      <c r="AY42" s="284">
        <f t="shared" ref="AY42:BB42" si="2">AY82</f>
        <v>0</v>
      </c>
      <c r="AZ42" s="284">
        <f t="shared" si="2"/>
        <v>0</v>
      </c>
      <c r="BA42" s="284">
        <f t="shared" si="2"/>
        <v>0</v>
      </c>
      <c r="BB42" s="284">
        <f t="shared" si="2"/>
        <v>0</v>
      </c>
      <c r="BC42" s="284">
        <f t="shared" ref="BC42:BE42" si="3">BC82</f>
        <v>0</v>
      </c>
      <c r="BD42" s="284">
        <f t="shared" si="3"/>
        <v>0</v>
      </c>
      <c r="BE42" s="284">
        <f t="shared" si="3"/>
        <v>0</v>
      </c>
    </row>
    <row r="43" spans="2:76" x14ac:dyDescent="0.2">
      <c r="AP43" s="204" t="s">
        <v>426</v>
      </c>
      <c r="AQ43" s="284">
        <f t="shared" si="1"/>
        <v>0</v>
      </c>
      <c r="AR43" s="284">
        <f t="shared" si="1"/>
        <v>0</v>
      </c>
      <c r="AS43" s="284">
        <f t="shared" si="1"/>
        <v>286.88405520213911</v>
      </c>
      <c r="AT43" s="284">
        <f t="shared" si="1"/>
        <v>0</v>
      </c>
      <c r="AU43" s="284">
        <f t="shared" si="1"/>
        <v>0</v>
      </c>
      <c r="AV43" s="284">
        <f t="shared" si="1"/>
        <v>0</v>
      </c>
      <c r="AW43" s="284">
        <f t="shared" si="1"/>
        <v>0</v>
      </c>
      <c r="AX43" s="284">
        <f t="shared" si="1"/>
        <v>0</v>
      </c>
      <c r="AY43" s="284">
        <f t="shared" ref="AY43:BB43" si="4">AY83</f>
        <v>0</v>
      </c>
      <c r="AZ43" s="284">
        <f t="shared" si="4"/>
        <v>0</v>
      </c>
      <c r="BA43" s="284">
        <f t="shared" si="4"/>
        <v>0</v>
      </c>
      <c r="BB43" s="284">
        <f t="shared" si="4"/>
        <v>0</v>
      </c>
      <c r="BC43" s="284">
        <f t="shared" ref="BC43:BE43" si="5">BC83</f>
        <v>0</v>
      </c>
      <c r="BD43" s="284">
        <f t="shared" si="5"/>
        <v>0</v>
      </c>
      <c r="BE43" s="284">
        <f t="shared" si="5"/>
        <v>0</v>
      </c>
    </row>
    <row r="44" spans="2:76" x14ac:dyDescent="0.2">
      <c r="AP44" s="204" t="s">
        <v>447</v>
      </c>
      <c r="AQ44" s="284">
        <f t="shared" si="1"/>
        <v>30.150427560669065</v>
      </c>
      <c r="AR44" s="284">
        <f t="shared" si="1"/>
        <v>9.0394269236644703E-2</v>
      </c>
      <c r="AS44" s="284">
        <f t="shared" si="1"/>
        <v>7.1715017046188141</v>
      </c>
      <c r="AT44" s="284">
        <f t="shared" si="1"/>
        <v>0</v>
      </c>
      <c r="AU44" s="284">
        <f t="shared" si="1"/>
        <v>0</v>
      </c>
      <c r="AV44" s="284">
        <f t="shared" si="1"/>
        <v>0</v>
      </c>
      <c r="AW44" s="284">
        <f t="shared" si="1"/>
        <v>0</v>
      </c>
      <c r="AX44" s="284">
        <f t="shared" si="1"/>
        <v>0</v>
      </c>
      <c r="AY44" s="284">
        <f t="shared" ref="AY44:BB44" si="6">AY84</f>
        <v>0</v>
      </c>
      <c r="AZ44" s="284">
        <f t="shared" si="6"/>
        <v>1173.1885157382469</v>
      </c>
      <c r="BA44" s="284">
        <f t="shared" si="6"/>
        <v>556.96479760636817</v>
      </c>
      <c r="BB44" s="284">
        <f t="shared" si="6"/>
        <v>0</v>
      </c>
      <c r="BC44" s="284">
        <f t="shared" ref="BC44:BE44" si="7">BC84</f>
        <v>0</v>
      </c>
      <c r="BD44" s="284">
        <f t="shared" si="7"/>
        <v>0</v>
      </c>
      <c r="BE44" s="284">
        <f t="shared" si="7"/>
        <v>2870.841834451006</v>
      </c>
    </row>
    <row r="45" spans="2:76" x14ac:dyDescent="0.2">
      <c r="AP45" s="204" t="s">
        <v>477</v>
      </c>
      <c r="AQ45" s="284">
        <f t="shared" si="1"/>
        <v>0</v>
      </c>
      <c r="AR45" s="284">
        <f t="shared" si="1"/>
        <v>0</v>
      </c>
      <c r="AS45" s="284">
        <f t="shared" si="1"/>
        <v>0</v>
      </c>
      <c r="AT45" s="284">
        <f t="shared" si="1"/>
        <v>0</v>
      </c>
      <c r="AU45" s="284">
        <f t="shared" si="1"/>
        <v>0</v>
      </c>
      <c r="AV45" s="284">
        <f t="shared" si="1"/>
        <v>0</v>
      </c>
      <c r="AW45" s="284">
        <f t="shared" si="1"/>
        <v>0</v>
      </c>
      <c r="AX45" s="284">
        <f t="shared" si="1"/>
        <v>0</v>
      </c>
      <c r="AY45" s="284">
        <f t="shared" ref="AY45:BB45" si="8">AY85</f>
        <v>0</v>
      </c>
      <c r="AZ45" s="284">
        <f t="shared" si="8"/>
        <v>20798.316475388398</v>
      </c>
      <c r="BA45" s="284">
        <f t="shared" si="8"/>
        <v>16.963528773956838</v>
      </c>
      <c r="BB45" s="284">
        <f t="shared" si="8"/>
        <v>0</v>
      </c>
      <c r="BC45" s="284">
        <f t="shared" ref="BC45:BE45" si="9">BC85</f>
        <v>0</v>
      </c>
      <c r="BD45" s="284">
        <f t="shared" si="9"/>
        <v>0</v>
      </c>
      <c r="BE45" s="284">
        <f t="shared" si="9"/>
        <v>44.774669200794314</v>
      </c>
    </row>
    <row r="46" spans="2:76" x14ac:dyDescent="0.2">
      <c r="AP46" s="204" t="s">
        <v>576</v>
      </c>
      <c r="AQ46" s="284">
        <f t="shared" si="1"/>
        <v>2.0694989883749622</v>
      </c>
      <c r="AR46" s="284">
        <f t="shared" si="1"/>
        <v>5.671161105764883E-3</v>
      </c>
      <c r="AS46" s="284">
        <f t="shared" si="1"/>
        <v>0.49224560722974403</v>
      </c>
      <c r="AT46" s="284">
        <f t="shared" si="1"/>
        <v>0</v>
      </c>
      <c r="AU46" s="284">
        <f t="shared" si="1"/>
        <v>0</v>
      </c>
      <c r="AV46" s="284">
        <f t="shared" si="1"/>
        <v>0</v>
      </c>
      <c r="AW46" s="284">
        <f t="shared" si="1"/>
        <v>0</v>
      </c>
      <c r="AX46" s="284">
        <f t="shared" si="1"/>
        <v>0</v>
      </c>
      <c r="AY46" s="284">
        <f t="shared" ref="AY46:BB46" si="10">AY86</f>
        <v>0</v>
      </c>
      <c r="AZ46" s="284">
        <f t="shared" si="10"/>
        <v>0</v>
      </c>
      <c r="BA46" s="284">
        <f t="shared" si="10"/>
        <v>0</v>
      </c>
      <c r="BB46" s="284">
        <f t="shared" si="10"/>
        <v>0</v>
      </c>
      <c r="BC46" s="284">
        <f t="shared" ref="BC46:BE46" si="11">BC86</f>
        <v>0</v>
      </c>
      <c r="BD46" s="284">
        <f t="shared" si="11"/>
        <v>0</v>
      </c>
      <c r="BE46" s="284">
        <f t="shared" si="11"/>
        <v>0</v>
      </c>
    </row>
    <row r="47" spans="2:76" x14ac:dyDescent="0.2">
      <c r="AP47" s="204" t="s">
        <v>577</v>
      </c>
      <c r="AQ47" s="284">
        <f t="shared" si="1"/>
        <v>0</v>
      </c>
      <c r="AR47" s="284">
        <f t="shared" si="1"/>
        <v>5.1714158616864253E-4</v>
      </c>
      <c r="AS47" s="284">
        <f t="shared" si="1"/>
        <v>0</v>
      </c>
      <c r="AT47" s="284">
        <f t="shared" si="1"/>
        <v>0</v>
      </c>
      <c r="AU47" s="284">
        <f t="shared" si="1"/>
        <v>0</v>
      </c>
      <c r="AV47" s="284">
        <f t="shared" si="1"/>
        <v>0</v>
      </c>
      <c r="AW47" s="284">
        <f t="shared" si="1"/>
        <v>0</v>
      </c>
      <c r="AX47" s="284">
        <f t="shared" si="1"/>
        <v>0</v>
      </c>
      <c r="AY47" s="284">
        <f t="shared" ref="AY47:BB47" si="12">AY87</f>
        <v>0</v>
      </c>
      <c r="AZ47" s="284">
        <f t="shared" si="12"/>
        <v>0</v>
      </c>
      <c r="BA47" s="284">
        <f t="shared" si="12"/>
        <v>0</v>
      </c>
      <c r="BB47" s="284">
        <f t="shared" si="12"/>
        <v>0</v>
      </c>
      <c r="BC47" s="284">
        <f t="shared" ref="BC47:BE47" si="13">BC87</f>
        <v>0</v>
      </c>
      <c r="BD47" s="284">
        <f t="shared" si="13"/>
        <v>0</v>
      </c>
      <c r="BE47" s="284">
        <f t="shared" si="13"/>
        <v>0</v>
      </c>
    </row>
    <row r="48" spans="2:76" x14ac:dyDescent="0.2">
      <c r="AP48" s="204" t="s">
        <v>519</v>
      </c>
      <c r="AQ48" s="284">
        <f t="shared" si="1"/>
        <v>0</v>
      </c>
      <c r="AR48" s="284">
        <f t="shared" si="1"/>
        <v>0</v>
      </c>
      <c r="AS48" s="284">
        <f t="shared" si="1"/>
        <v>0</v>
      </c>
      <c r="AT48" s="284">
        <f t="shared" si="1"/>
        <v>0</v>
      </c>
      <c r="AU48" s="284">
        <f t="shared" si="1"/>
        <v>0</v>
      </c>
      <c r="AV48" s="284">
        <f t="shared" si="1"/>
        <v>0</v>
      </c>
      <c r="AW48" s="284">
        <f t="shared" si="1"/>
        <v>0</v>
      </c>
      <c r="AX48" s="284">
        <f t="shared" si="1"/>
        <v>0</v>
      </c>
      <c r="AY48" s="284">
        <f t="shared" ref="AY48:BB48" si="14">AY88</f>
        <v>0</v>
      </c>
      <c r="AZ48" s="284">
        <f t="shared" si="14"/>
        <v>0</v>
      </c>
      <c r="BA48" s="284">
        <f t="shared" si="14"/>
        <v>0</v>
      </c>
      <c r="BB48" s="284">
        <f t="shared" si="14"/>
        <v>0</v>
      </c>
      <c r="BC48" s="284">
        <f t="shared" ref="BC48:BE48" si="15">BC88</f>
        <v>0</v>
      </c>
      <c r="BD48" s="284">
        <f t="shared" si="15"/>
        <v>0</v>
      </c>
      <c r="BE48" s="284">
        <f t="shared" si="15"/>
        <v>4.8979947555174279</v>
      </c>
    </row>
    <row r="49" spans="42:57" x14ac:dyDescent="0.2">
      <c r="AP49" s="204" t="s">
        <v>569</v>
      </c>
      <c r="AQ49" s="284">
        <f t="shared" si="1"/>
        <v>0</v>
      </c>
      <c r="AR49" s="284">
        <f t="shared" si="1"/>
        <v>0</v>
      </c>
      <c r="AS49" s="284">
        <f t="shared" si="1"/>
        <v>0</v>
      </c>
      <c r="AT49" s="284">
        <f t="shared" si="1"/>
        <v>0</v>
      </c>
      <c r="AU49" s="284">
        <f t="shared" si="1"/>
        <v>0</v>
      </c>
      <c r="AV49" s="284">
        <f t="shared" si="1"/>
        <v>0</v>
      </c>
      <c r="AW49" s="284">
        <f t="shared" si="1"/>
        <v>0</v>
      </c>
      <c r="AX49" s="284">
        <f t="shared" si="1"/>
        <v>0</v>
      </c>
      <c r="AY49" s="284">
        <f t="shared" ref="AY49:BB49" si="16">AY89</f>
        <v>0</v>
      </c>
      <c r="AZ49" s="284">
        <f t="shared" si="16"/>
        <v>0</v>
      </c>
      <c r="BA49" s="284">
        <f t="shared" si="16"/>
        <v>0</v>
      </c>
      <c r="BB49" s="284">
        <f t="shared" si="16"/>
        <v>0</v>
      </c>
      <c r="BC49" s="284">
        <f t="shared" ref="BC49:BE49" si="17">BC89</f>
        <v>0</v>
      </c>
      <c r="BD49" s="284">
        <f t="shared" si="17"/>
        <v>0</v>
      </c>
      <c r="BE49" s="284">
        <f t="shared" si="17"/>
        <v>0</v>
      </c>
    </row>
    <row r="50" spans="42:57" ht="16" x14ac:dyDescent="0.2">
      <c r="AP50" s="205" t="s">
        <v>551</v>
      </c>
      <c r="AQ50" s="284">
        <f t="shared" si="1"/>
        <v>0</v>
      </c>
      <c r="AR50" s="284">
        <f t="shared" si="1"/>
        <v>0</v>
      </c>
      <c r="AS50" s="284">
        <f t="shared" si="1"/>
        <v>0</v>
      </c>
      <c r="AT50" s="284">
        <f t="shared" si="1"/>
        <v>1011.7674660019052</v>
      </c>
      <c r="AU50" s="284">
        <f t="shared" si="1"/>
        <v>0</v>
      </c>
      <c r="AV50" s="284">
        <f t="shared" si="1"/>
        <v>0</v>
      </c>
      <c r="AW50" s="284">
        <f t="shared" si="1"/>
        <v>0</v>
      </c>
      <c r="AX50" s="284">
        <f t="shared" si="1"/>
        <v>0</v>
      </c>
      <c r="AY50" s="284">
        <f t="shared" ref="AY50:BB50" si="18">AY90</f>
        <v>0</v>
      </c>
      <c r="AZ50" s="284">
        <f t="shared" si="18"/>
        <v>0</v>
      </c>
      <c r="BA50" s="284">
        <f t="shared" si="18"/>
        <v>0</v>
      </c>
      <c r="BB50" s="284">
        <f t="shared" si="18"/>
        <v>0</v>
      </c>
      <c r="BC50" s="284">
        <f t="shared" ref="BC50:BE50" si="19">BC90</f>
        <v>0</v>
      </c>
      <c r="BD50" s="284">
        <f t="shared" si="19"/>
        <v>0</v>
      </c>
      <c r="BE50" s="284">
        <f t="shared" si="19"/>
        <v>0</v>
      </c>
    </row>
    <row r="51" spans="42:57" x14ac:dyDescent="0.2">
      <c r="AP51" s="204" t="s">
        <v>517</v>
      </c>
      <c r="AQ51" s="284">
        <f t="shared" si="1"/>
        <v>0</v>
      </c>
      <c r="AR51" s="284">
        <f t="shared" si="1"/>
        <v>0</v>
      </c>
      <c r="AS51" s="284">
        <f t="shared" si="1"/>
        <v>0</v>
      </c>
      <c r="AT51" s="284">
        <f t="shared" si="1"/>
        <v>0</v>
      </c>
      <c r="AU51" s="284">
        <f t="shared" si="1"/>
        <v>0</v>
      </c>
      <c r="AV51" s="284">
        <f t="shared" si="1"/>
        <v>0</v>
      </c>
      <c r="AW51" s="284">
        <f t="shared" si="1"/>
        <v>0</v>
      </c>
      <c r="AX51" s="284">
        <f t="shared" si="1"/>
        <v>0</v>
      </c>
      <c r="AY51" s="284">
        <f t="shared" ref="AY51:BB51" si="20">AY91</f>
        <v>0</v>
      </c>
      <c r="AZ51" s="284">
        <f t="shared" si="20"/>
        <v>0</v>
      </c>
      <c r="BA51" s="284">
        <f t="shared" si="20"/>
        <v>0</v>
      </c>
      <c r="BB51" s="284">
        <f t="shared" si="20"/>
        <v>0</v>
      </c>
      <c r="BC51" s="284">
        <f t="shared" ref="BC51:BE51" si="21">BC91</f>
        <v>0</v>
      </c>
      <c r="BD51" s="284">
        <f t="shared" si="21"/>
        <v>0</v>
      </c>
      <c r="BE51" s="284">
        <f t="shared" si="21"/>
        <v>0</v>
      </c>
    </row>
    <row r="52" spans="42:57" ht="16" x14ac:dyDescent="0.2">
      <c r="AP52" s="205" t="s">
        <v>520</v>
      </c>
      <c r="AQ52" s="284">
        <f t="shared" si="1"/>
        <v>0</v>
      </c>
      <c r="AR52" s="284">
        <f t="shared" si="1"/>
        <v>0</v>
      </c>
      <c r="AS52" s="284">
        <f t="shared" si="1"/>
        <v>0</v>
      </c>
      <c r="AT52" s="284">
        <f t="shared" si="1"/>
        <v>0</v>
      </c>
      <c r="AU52" s="284">
        <f t="shared" si="1"/>
        <v>208.55560337725498</v>
      </c>
      <c r="AV52" s="284">
        <f t="shared" si="1"/>
        <v>0</v>
      </c>
      <c r="AW52" s="284">
        <f t="shared" si="1"/>
        <v>0</v>
      </c>
      <c r="AX52" s="284">
        <f t="shared" si="1"/>
        <v>0</v>
      </c>
      <c r="AY52" s="284">
        <f t="shared" ref="AY52:BB52" si="22">AY92</f>
        <v>0</v>
      </c>
      <c r="AZ52" s="284">
        <f t="shared" si="22"/>
        <v>0</v>
      </c>
      <c r="BA52" s="284">
        <f t="shared" si="22"/>
        <v>0</v>
      </c>
      <c r="BB52" s="284">
        <f t="shared" si="22"/>
        <v>0</v>
      </c>
      <c r="BC52" s="284">
        <f t="shared" ref="BC52:BE52" si="23">BC92</f>
        <v>0</v>
      </c>
      <c r="BD52" s="284">
        <f t="shared" si="23"/>
        <v>0</v>
      </c>
      <c r="BE52" s="284">
        <f t="shared" si="23"/>
        <v>0</v>
      </c>
    </row>
    <row r="53" spans="42:57" x14ac:dyDescent="0.2">
      <c r="AP53" s="204" t="s">
        <v>546</v>
      </c>
      <c r="AQ53" s="284">
        <f t="shared" si="1"/>
        <v>0</v>
      </c>
      <c r="AR53" s="284">
        <f t="shared" si="1"/>
        <v>0</v>
      </c>
      <c r="AS53" s="284">
        <f t="shared" si="1"/>
        <v>0</v>
      </c>
      <c r="AT53" s="284">
        <f t="shared" si="1"/>
        <v>0</v>
      </c>
      <c r="AU53" s="284">
        <f t="shared" si="1"/>
        <v>0</v>
      </c>
      <c r="AV53" s="284">
        <f t="shared" si="1"/>
        <v>0</v>
      </c>
      <c r="AW53" s="284">
        <f t="shared" si="1"/>
        <v>0</v>
      </c>
      <c r="AX53" s="284">
        <f t="shared" si="1"/>
        <v>0</v>
      </c>
      <c r="AY53" s="284">
        <f t="shared" ref="AY53:BB53" si="24">AY93</f>
        <v>0</v>
      </c>
      <c r="AZ53" s="284">
        <f t="shared" si="24"/>
        <v>0</v>
      </c>
      <c r="BA53" s="284">
        <f t="shared" si="24"/>
        <v>0</v>
      </c>
      <c r="BB53" s="284">
        <f t="shared" si="24"/>
        <v>0</v>
      </c>
      <c r="BC53" s="284">
        <f t="shared" ref="BC53:BE53" si="25">BC93</f>
        <v>0</v>
      </c>
      <c r="BD53" s="284">
        <f t="shared" si="25"/>
        <v>0</v>
      </c>
      <c r="BE53" s="284">
        <f t="shared" si="25"/>
        <v>0</v>
      </c>
    </row>
    <row r="54" spans="42:57" x14ac:dyDescent="0.2">
      <c r="AP54" s="206" t="s">
        <v>538</v>
      </c>
      <c r="AQ54" s="284">
        <f t="shared" si="1"/>
        <v>0</v>
      </c>
      <c r="AR54" s="284">
        <f t="shared" si="1"/>
        <v>0</v>
      </c>
      <c r="AS54" s="284">
        <f t="shared" si="1"/>
        <v>0</v>
      </c>
      <c r="AT54" s="284">
        <f t="shared" si="1"/>
        <v>0</v>
      </c>
      <c r="AU54" s="284">
        <f t="shared" si="1"/>
        <v>0</v>
      </c>
      <c r="AV54" s="284">
        <f t="shared" si="1"/>
        <v>286.88405520213911</v>
      </c>
      <c r="AW54" s="284">
        <f t="shared" si="1"/>
        <v>0</v>
      </c>
      <c r="AX54" s="284">
        <f t="shared" si="1"/>
        <v>0</v>
      </c>
      <c r="AY54" s="284">
        <f t="shared" ref="AY54:BB54" si="26">AY94</f>
        <v>0</v>
      </c>
      <c r="AZ54" s="284">
        <f t="shared" si="26"/>
        <v>0</v>
      </c>
      <c r="BA54" s="284">
        <f t="shared" si="26"/>
        <v>0</v>
      </c>
      <c r="BB54" s="284">
        <f t="shared" si="26"/>
        <v>0</v>
      </c>
      <c r="BC54" s="284">
        <f t="shared" ref="BC54:BE54" si="27">BC94</f>
        <v>0</v>
      </c>
      <c r="BD54" s="284">
        <f t="shared" si="27"/>
        <v>0</v>
      </c>
      <c r="BE54" s="284">
        <f t="shared" si="27"/>
        <v>0</v>
      </c>
    </row>
    <row r="55" spans="42:57" x14ac:dyDescent="0.2">
      <c r="AP55" s="204" t="s">
        <v>524</v>
      </c>
      <c r="AQ55" s="284">
        <f t="shared" si="1"/>
        <v>0</v>
      </c>
      <c r="AR55" s="284">
        <f t="shared" si="1"/>
        <v>0</v>
      </c>
      <c r="AS55" s="284">
        <f t="shared" si="1"/>
        <v>0</v>
      </c>
      <c r="AT55" s="284">
        <f t="shared" si="1"/>
        <v>0</v>
      </c>
      <c r="AU55" s="284">
        <f t="shared" si="1"/>
        <v>0</v>
      </c>
      <c r="AV55" s="284">
        <f t="shared" si="1"/>
        <v>0</v>
      </c>
      <c r="AW55" s="284">
        <f t="shared" si="1"/>
        <v>0</v>
      </c>
      <c r="AX55" s="284">
        <f t="shared" si="1"/>
        <v>0</v>
      </c>
      <c r="AY55" s="284">
        <f t="shared" ref="AY55:BB55" si="28">AY95</f>
        <v>0</v>
      </c>
      <c r="AZ55" s="284">
        <f t="shared" si="28"/>
        <v>0</v>
      </c>
      <c r="BA55" s="284">
        <f t="shared" si="28"/>
        <v>0</v>
      </c>
      <c r="BB55" s="284">
        <f t="shared" si="28"/>
        <v>0</v>
      </c>
      <c r="BC55" s="284">
        <f t="shared" ref="BC55:BE55" si="29">BC95</f>
        <v>0</v>
      </c>
      <c r="BD55" s="284">
        <f t="shared" si="29"/>
        <v>0</v>
      </c>
      <c r="BE55" s="284">
        <f t="shared" si="29"/>
        <v>0</v>
      </c>
    </row>
    <row r="56" spans="42:57" ht="16" x14ac:dyDescent="0.2">
      <c r="AP56" s="205" t="s">
        <v>550</v>
      </c>
      <c r="AQ56" s="284">
        <f t="shared" si="1"/>
        <v>0</v>
      </c>
      <c r="AR56" s="284">
        <f t="shared" si="1"/>
        <v>0</v>
      </c>
      <c r="AS56" s="284">
        <f t="shared" si="1"/>
        <v>0</v>
      </c>
      <c r="AT56" s="284">
        <f t="shared" si="1"/>
        <v>0</v>
      </c>
      <c r="AU56" s="284">
        <f t="shared" si="1"/>
        <v>0</v>
      </c>
      <c r="AV56" s="284">
        <f t="shared" si="1"/>
        <v>0</v>
      </c>
      <c r="AW56" s="284">
        <f t="shared" si="1"/>
        <v>1011.7674660019052</v>
      </c>
      <c r="AX56" s="284">
        <f t="shared" si="1"/>
        <v>0</v>
      </c>
      <c r="AY56" s="284">
        <f t="shared" ref="AY56:BB56" si="30">AY96</f>
        <v>0</v>
      </c>
      <c r="AZ56" s="284">
        <f t="shared" si="30"/>
        <v>0</v>
      </c>
      <c r="BA56" s="284">
        <f t="shared" si="30"/>
        <v>0</v>
      </c>
      <c r="BB56" s="284">
        <f t="shared" si="30"/>
        <v>0</v>
      </c>
      <c r="BC56" s="284">
        <f t="shared" ref="BC56:BE56" si="31">BC96</f>
        <v>0</v>
      </c>
      <c r="BD56" s="284">
        <f t="shared" si="31"/>
        <v>0</v>
      </c>
      <c r="BE56" s="284">
        <f t="shared" si="31"/>
        <v>0</v>
      </c>
    </row>
    <row r="57" spans="42:57" ht="16" x14ac:dyDescent="0.2">
      <c r="AP57" s="205" t="s">
        <v>545</v>
      </c>
      <c r="AQ57" s="284">
        <f t="shared" si="1"/>
        <v>0</v>
      </c>
      <c r="AR57" s="284">
        <f t="shared" si="1"/>
        <v>0</v>
      </c>
      <c r="AS57" s="284">
        <f t="shared" si="1"/>
        <v>0</v>
      </c>
      <c r="AT57" s="284">
        <f t="shared" si="1"/>
        <v>0</v>
      </c>
      <c r="AU57" s="284">
        <f t="shared" si="1"/>
        <v>0</v>
      </c>
      <c r="AV57" s="284">
        <f t="shared" si="1"/>
        <v>0</v>
      </c>
      <c r="AW57" s="284">
        <f t="shared" si="1"/>
        <v>0</v>
      </c>
      <c r="AX57" s="284">
        <f t="shared" si="1"/>
        <v>208.55560337725498</v>
      </c>
      <c r="AY57" s="284">
        <f t="shared" ref="AY57:BB57" si="32">AY97</f>
        <v>0</v>
      </c>
      <c r="AZ57" s="284">
        <f t="shared" si="32"/>
        <v>0</v>
      </c>
      <c r="BA57" s="284">
        <f t="shared" si="32"/>
        <v>0</v>
      </c>
      <c r="BB57" s="284">
        <f t="shared" si="32"/>
        <v>0</v>
      </c>
      <c r="BC57" s="284">
        <f t="shared" ref="BC57:BE57" si="33">BC97</f>
        <v>0</v>
      </c>
      <c r="BD57" s="284">
        <f t="shared" si="33"/>
        <v>0</v>
      </c>
      <c r="BE57" s="284">
        <f t="shared" si="33"/>
        <v>0</v>
      </c>
    </row>
    <row r="58" spans="42:57" ht="16" x14ac:dyDescent="0.2">
      <c r="AP58" s="205" t="s">
        <v>542</v>
      </c>
      <c r="AQ58" s="284">
        <f t="shared" si="1"/>
        <v>0</v>
      </c>
      <c r="AR58" s="284">
        <f t="shared" si="1"/>
        <v>0</v>
      </c>
      <c r="AS58" s="284">
        <f t="shared" si="1"/>
        <v>0</v>
      </c>
      <c r="AT58" s="284">
        <f t="shared" si="1"/>
        <v>0</v>
      </c>
      <c r="AU58" s="284">
        <f t="shared" si="1"/>
        <v>0</v>
      </c>
      <c r="AV58" s="284">
        <f t="shared" si="1"/>
        <v>0</v>
      </c>
      <c r="AW58" s="284">
        <f t="shared" si="1"/>
        <v>0</v>
      </c>
      <c r="AX58" s="284">
        <f t="shared" si="1"/>
        <v>0</v>
      </c>
      <c r="AY58" s="284">
        <f t="shared" ref="AY58:BB58" si="34">AY98</f>
        <v>286.88405520213911</v>
      </c>
      <c r="AZ58" s="284">
        <f t="shared" si="34"/>
        <v>0</v>
      </c>
      <c r="BA58" s="284">
        <f t="shared" si="34"/>
        <v>0</v>
      </c>
      <c r="BB58" s="284">
        <f t="shared" si="34"/>
        <v>0</v>
      </c>
      <c r="BC58" s="284">
        <f t="shared" ref="BC58:BE58" si="35">BC98</f>
        <v>0</v>
      </c>
      <c r="BD58" s="284">
        <f t="shared" si="35"/>
        <v>0</v>
      </c>
      <c r="BE58" s="284">
        <f t="shared" si="35"/>
        <v>0</v>
      </c>
    </row>
    <row r="59" spans="42:57" ht="16" x14ac:dyDescent="0.2">
      <c r="AP59" s="205" t="s">
        <v>548</v>
      </c>
      <c r="AQ59" s="284">
        <f t="shared" si="1"/>
        <v>0</v>
      </c>
      <c r="AR59" s="284">
        <f t="shared" si="1"/>
        <v>0</v>
      </c>
      <c r="AS59" s="284">
        <f t="shared" si="1"/>
        <v>0</v>
      </c>
      <c r="AT59" s="284">
        <f t="shared" si="1"/>
        <v>0</v>
      </c>
      <c r="AU59" s="284">
        <f t="shared" si="1"/>
        <v>0</v>
      </c>
      <c r="AV59" s="284">
        <f t="shared" si="1"/>
        <v>0</v>
      </c>
      <c r="AW59" s="284">
        <f t="shared" si="1"/>
        <v>0</v>
      </c>
      <c r="AX59" s="284">
        <f t="shared" si="1"/>
        <v>0</v>
      </c>
      <c r="AY59" s="284">
        <f t="shared" ref="AY59:BB59" si="36">AY99</f>
        <v>0</v>
      </c>
      <c r="AZ59" s="284">
        <f t="shared" si="36"/>
        <v>0</v>
      </c>
      <c r="BA59" s="284">
        <f t="shared" si="36"/>
        <v>0</v>
      </c>
      <c r="BB59" s="284">
        <f t="shared" si="36"/>
        <v>0</v>
      </c>
      <c r="BC59" s="284">
        <f t="shared" ref="BC59:BE59" si="37">BC99</f>
        <v>0</v>
      </c>
      <c r="BD59" s="284">
        <f t="shared" si="37"/>
        <v>1000.0000000000001</v>
      </c>
      <c r="BE59" s="284">
        <f t="shared" si="37"/>
        <v>0</v>
      </c>
    </row>
    <row r="60" spans="42:57" x14ac:dyDescent="0.2">
      <c r="AP60" s="206" t="s">
        <v>547</v>
      </c>
      <c r="AQ60" s="284">
        <f t="shared" si="1"/>
        <v>0</v>
      </c>
      <c r="AR60" s="284">
        <f t="shared" si="1"/>
        <v>0</v>
      </c>
      <c r="AS60" s="284">
        <f t="shared" si="1"/>
        <v>0</v>
      </c>
      <c r="AT60" s="284">
        <f t="shared" si="1"/>
        <v>0</v>
      </c>
      <c r="AU60" s="284">
        <f t="shared" si="1"/>
        <v>0</v>
      </c>
      <c r="AV60" s="284">
        <f t="shared" si="1"/>
        <v>0</v>
      </c>
      <c r="AW60" s="284">
        <f t="shared" si="1"/>
        <v>0</v>
      </c>
      <c r="AX60" s="284">
        <f t="shared" si="1"/>
        <v>0</v>
      </c>
      <c r="AY60" s="284">
        <f t="shared" ref="AY60:BB60" si="38">AY100</f>
        <v>0</v>
      </c>
      <c r="AZ60" s="284">
        <f t="shared" si="38"/>
        <v>0</v>
      </c>
      <c r="BA60" s="284">
        <f t="shared" si="38"/>
        <v>0</v>
      </c>
      <c r="BB60" s="284">
        <f t="shared" si="38"/>
        <v>0</v>
      </c>
      <c r="BC60" s="284">
        <f t="shared" ref="BC60:BE60" si="39">BC100</f>
        <v>0</v>
      </c>
      <c r="BD60" s="284">
        <f t="shared" si="39"/>
        <v>0</v>
      </c>
      <c r="BE60" s="284">
        <f t="shared" si="39"/>
        <v>0</v>
      </c>
    </row>
    <row r="61" spans="42:57" x14ac:dyDescent="0.2">
      <c r="AP61" s="206" t="s">
        <v>532</v>
      </c>
      <c r="AQ61" s="284">
        <f t="shared" si="1"/>
        <v>0</v>
      </c>
      <c r="AR61" s="284">
        <f t="shared" si="1"/>
        <v>0</v>
      </c>
      <c r="AS61" s="284">
        <f t="shared" si="1"/>
        <v>0</v>
      </c>
      <c r="AT61" s="284">
        <f t="shared" si="1"/>
        <v>0</v>
      </c>
      <c r="AU61" s="284">
        <f t="shared" si="1"/>
        <v>0</v>
      </c>
      <c r="AV61" s="284">
        <f t="shared" si="1"/>
        <v>0</v>
      </c>
      <c r="AW61" s="284">
        <f t="shared" si="1"/>
        <v>0</v>
      </c>
      <c r="AX61" s="284">
        <f t="shared" si="1"/>
        <v>0</v>
      </c>
      <c r="AY61" s="284">
        <f t="shared" ref="AY61:BB61" si="40">AY101</f>
        <v>0</v>
      </c>
      <c r="AZ61" s="284">
        <f t="shared" si="40"/>
        <v>208.55560337725498</v>
      </c>
      <c r="BA61" s="284">
        <f t="shared" si="40"/>
        <v>0</v>
      </c>
      <c r="BB61" s="284">
        <f t="shared" si="40"/>
        <v>0</v>
      </c>
      <c r="BC61" s="284">
        <f t="shared" ref="BC61:BE61" si="41">BC101</f>
        <v>0</v>
      </c>
      <c r="BD61" s="284">
        <f t="shared" si="41"/>
        <v>0</v>
      </c>
      <c r="BE61" s="284">
        <f t="shared" si="41"/>
        <v>0</v>
      </c>
    </row>
    <row r="62" spans="42:57" x14ac:dyDescent="0.2">
      <c r="AP62" s="206" t="s">
        <v>566</v>
      </c>
      <c r="AQ62" s="284">
        <f t="shared" si="1"/>
        <v>0</v>
      </c>
      <c r="AR62" s="284">
        <f t="shared" si="1"/>
        <v>0</v>
      </c>
      <c r="AS62" s="284">
        <f t="shared" si="1"/>
        <v>0</v>
      </c>
      <c r="AT62" s="284">
        <f t="shared" si="1"/>
        <v>0</v>
      </c>
      <c r="AU62" s="284">
        <f t="shared" si="1"/>
        <v>0</v>
      </c>
      <c r="AV62" s="284">
        <f t="shared" si="1"/>
        <v>0</v>
      </c>
      <c r="AW62" s="284">
        <f t="shared" si="1"/>
        <v>0</v>
      </c>
      <c r="AX62" s="284">
        <f t="shared" si="1"/>
        <v>0</v>
      </c>
      <c r="AY62" s="284">
        <f t="shared" ref="AY62:BB62" si="42">AY102</f>
        <v>0</v>
      </c>
      <c r="AZ62" s="284">
        <f t="shared" si="42"/>
        <v>0</v>
      </c>
      <c r="BA62" s="284">
        <f t="shared" si="42"/>
        <v>286.88405520213911</v>
      </c>
      <c r="BB62" s="284">
        <f t="shared" si="42"/>
        <v>0</v>
      </c>
      <c r="BC62" s="284">
        <f t="shared" ref="BC62:BE62" si="43">BC102</f>
        <v>0</v>
      </c>
      <c r="BD62" s="284">
        <f t="shared" si="43"/>
        <v>0</v>
      </c>
      <c r="BE62" s="284">
        <f t="shared" si="43"/>
        <v>0</v>
      </c>
    </row>
    <row r="63" spans="42:57" x14ac:dyDescent="0.2">
      <c r="AP63" s="206" t="s">
        <v>533</v>
      </c>
      <c r="AQ63" s="284">
        <f t="shared" si="1"/>
        <v>0</v>
      </c>
      <c r="AR63" s="284">
        <f t="shared" si="1"/>
        <v>0</v>
      </c>
      <c r="AS63" s="284">
        <f t="shared" si="1"/>
        <v>0</v>
      </c>
      <c r="AT63" s="284">
        <f t="shared" si="1"/>
        <v>0</v>
      </c>
      <c r="AU63" s="284">
        <f t="shared" si="1"/>
        <v>0</v>
      </c>
      <c r="AV63" s="284">
        <f t="shared" si="1"/>
        <v>0</v>
      </c>
      <c r="AW63" s="284">
        <f t="shared" si="1"/>
        <v>0</v>
      </c>
      <c r="AX63" s="284">
        <f t="shared" si="1"/>
        <v>0</v>
      </c>
      <c r="AY63" s="284">
        <f t="shared" ref="AY63:BB63" si="44">AY103</f>
        <v>0</v>
      </c>
      <c r="AZ63" s="284">
        <f t="shared" si="44"/>
        <v>0</v>
      </c>
      <c r="BA63" s="284">
        <f t="shared" si="44"/>
        <v>0</v>
      </c>
      <c r="BB63" s="284">
        <f t="shared" si="44"/>
        <v>0</v>
      </c>
      <c r="BC63" s="284">
        <f t="shared" ref="BC63:BC69" si="45">BC103</f>
        <v>0</v>
      </c>
      <c r="BD63" s="284">
        <f t="shared" ref="BD63:BE63" si="46">BD103</f>
        <v>111.00813284002646</v>
      </c>
      <c r="BE63" s="284">
        <f t="shared" si="46"/>
        <v>0</v>
      </c>
    </row>
    <row r="64" spans="42:57" x14ac:dyDescent="0.2">
      <c r="AP64" s="206" t="s">
        <v>535</v>
      </c>
      <c r="AQ64" s="284">
        <f t="shared" si="1"/>
        <v>0</v>
      </c>
      <c r="AR64" s="284">
        <f t="shared" si="1"/>
        <v>0</v>
      </c>
      <c r="AS64" s="284">
        <f t="shared" si="1"/>
        <v>0</v>
      </c>
      <c r="AT64" s="284">
        <f t="shared" si="1"/>
        <v>0</v>
      </c>
      <c r="AU64" s="284">
        <f t="shared" si="1"/>
        <v>0</v>
      </c>
      <c r="AV64" s="284">
        <f t="shared" si="1"/>
        <v>0</v>
      </c>
      <c r="AW64" s="284">
        <f t="shared" si="1"/>
        <v>0</v>
      </c>
      <c r="AX64" s="284">
        <f t="shared" si="1"/>
        <v>0</v>
      </c>
      <c r="AY64" s="284">
        <f t="shared" ref="AY64:BB64" si="47">AY104</f>
        <v>0</v>
      </c>
      <c r="AZ64" s="284">
        <f t="shared" si="47"/>
        <v>0</v>
      </c>
      <c r="BA64" s="284">
        <f t="shared" si="47"/>
        <v>0</v>
      </c>
      <c r="BB64" s="284">
        <f t="shared" si="47"/>
        <v>0</v>
      </c>
      <c r="BC64" s="284">
        <f t="shared" si="45"/>
        <v>0</v>
      </c>
      <c r="BD64" s="284">
        <f t="shared" ref="BD64:BE64" si="48">BD104</f>
        <v>0</v>
      </c>
      <c r="BE64" s="284">
        <f t="shared" si="48"/>
        <v>0</v>
      </c>
    </row>
    <row r="65" spans="32:64" x14ac:dyDescent="0.2">
      <c r="AP65" s="206" t="s">
        <v>534</v>
      </c>
      <c r="AQ65" s="284">
        <f t="shared" si="1"/>
        <v>0</v>
      </c>
      <c r="AR65" s="284">
        <f t="shared" si="1"/>
        <v>0</v>
      </c>
      <c r="AS65" s="284">
        <f t="shared" si="1"/>
        <v>0</v>
      </c>
      <c r="AT65" s="284">
        <f t="shared" si="1"/>
        <v>0</v>
      </c>
      <c r="AU65" s="284">
        <f t="shared" si="1"/>
        <v>0</v>
      </c>
      <c r="AV65" s="284">
        <f t="shared" si="1"/>
        <v>0</v>
      </c>
      <c r="AW65" s="284">
        <f t="shared" si="1"/>
        <v>0</v>
      </c>
      <c r="AX65" s="284">
        <f t="shared" si="1"/>
        <v>0</v>
      </c>
      <c r="AY65" s="284">
        <f t="shared" ref="AY65:BB65" si="49">AY105</f>
        <v>0</v>
      </c>
      <c r="AZ65" s="284">
        <f t="shared" si="49"/>
        <v>0</v>
      </c>
      <c r="BA65" s="284">
        <f t="shared" si="49"/>
        <v>0</v>
      </c>
      <c r="BB65" s="284">
        <f t="shared" si="49"/>
        <v>0</v>
      </c>
      <c r="BC65" s="284">
        <f t="shared" si="45"/>
        <v>0</v>
      </c>
      <c r="BD65" s="284">
        <f t="shared" ref="BD65:BE65" si="50">BD105</f>
        <v>0</v>
      </c>
      <c r="BE65" s="284">
        <f t="shared" si="50"/>
        <v>0</v>
      </c>
    </row>
    <row r="66" spans="32:64" x14ac:dyDescent="0.2">
      <c r="AP66" s="206" t="s">
        <v>632</v>
      </c>
      <c r="AQ66" s="284">
        <f t="shared" si="1"/>
        <v>0</v>
      </c>
      <c r="AR66" s="284">
        <f t="shared" si="1"/>
        <v>0</v>
      </c>
      <c r="AS66" s="284">
        <f t="shared" si="1"/>
        <v>0</v>
      </c>
      <c r="AT66" s="284">
        <f t="shared" si="1"/>
        <v>0</v>
      </c>
      <c r="AU66" s="284">
        <f t="shared" si="1"/>
        <v>0</v>
      </c>
      <c r="AV66" s="284">
        <f t="shared" si="1"/>
        <v>0</v>
      </c>
      <c r="AW66" s="284">
        <f t="shared" si="1"/>
        <v>0</v>
      </c>
      <c r="AX66" s="284">
        <f t="shared" ref="AX66:BB66" si="51">AX106</f>
        <v>0</v>
      </c>
      <c r="AY66" s="284">
        <f t="shared" si="51"/>
        <v>0</v>
      </c>
      <c r="AZ66" s="284">
        <f t="shared" si="51"/>
        <v>0</v>
      </c>
      <c r="BA66" s="284">
        <f t="shared" si="51"/>
        <v>0</v>
      </c>
      <c r="BB66" s="284">
        <f t="shared" si="51"/>
        <v>0</v>
      </c>
      <c r="BC66" s="284">
        <f t="shared" si="45"/>
        <v>0</v>
      </c>
      <c r="BD66" s="284">
        <f t="shared" ref="BD66:BE66" si="52">BD106</f>
        <v>198.80764502323905</v>
      </c>
      <c r="BE66" s="284">
        <f t="shared" si="52"/>
        <v>0</v>
      </c>
    </row>
    <row r="67" spans="32:64" ht="16" x14ac:dyDescent="0.2">
      <c r="AP67" s="253" t="s">
        <v>530</v>
      </c>
      <c r="AQ67" s="284">
        <f t="shared" si="1"/>
        <v>0</v>
      </c>
      <c r="AR67" s="284">
        <f t="shared" si="1"/>
        <v>0</v>
      </c>
      <c r="AS67" s="284">
        <f t="shared" si="1"/>
        <v>0</v>
      </c>
      <c r="AT67" s="284">
        <f t="shared" si="1"/>
        <v>0</v>
      </c>
      <c r="AU67" s="284">
        <f t="shared" si="1"/>
        <v>0</v>
      </c>
      <c r="AV67" s="284">
        <f t="shared" si="1"/>
        <v>0</v>
      </c>
      <c r="AW67" s="284">
        <f t="shared" si="1"/>
        <v>0</v>
      </c>
      <c r="AX67" s="284">
        <f t="shared" ref="AX67:BB67" si="53">AX107</f>
        <v>0</v>
      </c>
      <c r="AY67" s="284">
        <f t="shared" si="53"/>
        <v>0</v>
      </c>
      <c r="AZ67" s="284">
        <f t="shared" si="53"/>
        <v>0</v>
      </c>
      <c r="BA67" s="284">
        <f t="shared" si="53"/>
        <v>0</v>
      </c>
      <c r="BB67" s="284">
        <f t="shared" si="53"/>
        <v>69.582675758133661</v>
      </c>
      <c r="BC67" s="284">
        <f t="shared" si="45"/>
        <v>0</v>
      </c>
      <c r="BD67" s="284">
        <f t="shared" ref="BD67:BE67" si="54">BD107</f>
        <v>0</v>
      </c>
      <c r="BE67" s="284">
        <f t="shared" si="54"/>
        <v>0</v>
      </c>
    </row>
    <row r="68" spans="32:64" x14ac:dyDescent="0.2">
      <c r="AP68" s="206" t="s">
        <v>529</v>
      </c>
      <c r="AQ68" s="284">
        <f t="shared" si="1"/>
        <v>0</v>
      </c>
      <c r="AR68" s="284">
        <f t="shared" si="1"/>
        <v>0</v>
      </c>
      <c r="AS68" s="284">
        <f t="shared" si="1"/>
        <v>0</v>
      </c>
      <c r="AT68" s="284">
        <f t="shared" si="1"/>
        <v>0</v>
      </c>
      <c r="AU68" s="284">
        <f t="shared" si="1"/>
        <v>0</v>
      </c>
      <c r="AV68" s="284">
        <f t="shared" si="1"/>
        <v>0</v>
      </c>
      <c r="AW68" s="284">
        <f t="shared" si="1"/>
        <v>0</v>
      </c>
      <c r="AX68" s="284">
        <f t="shared" ref="AX68:BB68" si="55">AX108</f>
        <v>0</v>
      </c>
      <c r="AY68" s="284">
        <f t="shared" si="55"/>
        <v>0</v>
      </c>
      <c r="AZ68" s="284">
        <f t="shared" si="55"/>
        <v>0</v>
      </c>
      <c r="BA68" s="284">
        <f t="shared" si="55"/>
        <v>0</v>
      </c>
      <c r="BB68" s="284">
        <f t="shared" si="55"/>
        <v>0</v>
      </c>
      <c r="BC68" s="284">
        <f t="shared" si="45"/>
        <v>0</v>
      </c>
      <c r="BD68" s="284">
        <f t="shared" ref="BD68:BE68" si="56">BD108</f>
        <v>0</v>
      </c>
      <c r="BE68" s="284">
        <f t="shared" si="56"/>
        <v>0</v>
      </c>
    </row>
    <row r="69" spans="32:64" x14ac:dyDescent="0.2">
      <c r="AP69" s="204" t="s">
        <v>531</v>
      </c>
      <c r="AQ69" s="284">
        <f t="shared" si="1"/>
        <v>0</v>
      </c>
      <c r="AR69" s="284">
        <f t="shared" si="1"/>
        <v>0</v>
      </c>
      <c r="AS69" s="284">
        <f t="shared" si="1"/>
        <v>0</v>
      </c>
      <c r="AT69" s="284">
        <f t="shared" si="1"/>
        <v>0</v>
      </c>
      <c r="AU69" s="284">
        <f t="shared" si="1"/>
        <v>0</v>
      </c>
      <c r="AV69" s="284">
        <f t="shared" si="1"/>
        <v>0</v>
      </c>
      <c r="AW69" s="284">
        <f t="shared" si="1"/>
        <v>0</v>
      </c>
      <c r="AX69" s="284">
        <f t="shared" ref="AX69:BB69" si="57">AX109</f>
        <v>0</v>
      </c>
      <c r="AY69" s="284">
        <f t="shared" si="57"/>
        <v>0</v>
      </c>
      <c r="AZ69" s="284">
        <f t="shared" si="57"/>
        <v>0</v>
      </c>
      <c r="BA69" s="284">
        <f t="shared" si="57"/>
        <v>0</v>
      </c>
      <c r="BB69" s="284">
        <f t="shared" si="57"/>
        <v>0</v>
      </c>
      <c r="BC69" s="284">
        <f t="shared" si="45"/>
        <v>0</v>
      </c>
      <c r="BD69" s="284">
        <f t="shared" ref="BD69:BE69" si="58">BD109</f>
        <v>0</v>
      </c>
      <c r="BE69" s="284">
        <f t="shared" si="58"/>
        <v>0</v>
      </c>
    </row>
    <row r="70" spans="32:64" x14ac:dyDescent="0.2">
      <c r="AP70" s="206" t="s">
        <v>673</v>
      </c>
      <c r="AQ70" s="284">
        <f>AQ110</f>
        <v>0</v>
      </c>
      <c r="AR70" s="284">
        <f t="shared" ref="AR70:BB70" si="59">AR110</f>
        <v>0</v>
      </c>
      <c r="AS70" s="284">
        <f t="shared" si="59"/>
        <v>0</v>
      </c>
      <c r="AT70" s="284">
        <f t="shared" si="59"/>
        <v>0</v>
      </c>
      <c r="AU70" s="284">
        <f t="shared" si="59"/>
        <v>0</v>
      </c>
      <c r="AV70" s="284">
        <f t="shared" si="59"/>
        <v>0</v>
      </c>
      <c r="AW70" s="284">
        <f t="shared" si="59"/>
        <v>0</v>
      </c>
      <c r="AX70" s="284">
        <f t="shared" si="59"/>
        <v>0</v>
      </c>
      <c r="AY70" s="284">
        <f t="shared" si="59"/>
        <v>0</v>
      </c>
      <c r="AZ70" s="284">
        <f t="shared" si="59"/>
        <v>0</v>
      </c>
      <c r="BA70" s="284">
        <f t="shared" si="59"/>
        <v>0</v>
      </c>
      <c r="BB70" s="284">
        <f t="shared" si="59"/>
        <v>0</v>
      </c>
      <c r="BC70" s="284"/>
      <c r="BD70" s="284">
        <f t="shared" ref="BD70:BE70" si="60">BD110</f>
        <v>0</v>
      </c>
      <c r="BE70" s="284">
        <f t="shared" si="60"/>
        <v>0</v>
      </c>
    </row>
    <row r="71" spans="32:64" x14ac:dyDescent="0.2">
      <c r="AP71" s="206" t="s">
        <v>676</v>
      </c>
      <c r="AQ71" s="284">
        <f t="shared" si="1"/>
        <v>0</v>
      </c>
      <c r="AR71" s="284">
        <f t="shared" si="1"/>
        <v>0</v>
      </c>
      <c r="AS71" s="284">
        <f t="shared" si="1"/>
        <v>0</v>
      </c>
      <c r="AT71" s="284">
        <f t="shared" si="1"/>
        <v>0</v>
      </c>
      <c r="AU71" s="284">
        <f t="shared" si="1"/>
        <v>0</v>
      </c>
      <c r="AV71" s="284">
        <f t="shared" si="1"/>
        <v>0</v>
      </c>
      <c r="AW71" s="284">
        <f t="shared" si="1"/>
        <v>0</v>
      </c>
      <c r="AX71" s="284">
        <f t="shared" ref="AX71:BB71" si="61">AX111</f>
        <v>0</v>
      </c>
      <c r="AY71" s="284">
        <f t="shared" si="61"/>
        <v>0</v>
      </c>
      <c r="AZ71" s="284">
        <f t="shared" si="61"/>
        <v>0</v>
      </c>
      <c r="BA71" s="284">
        <f t="shared" si="61"/>
        <v>10.437401363720047</v>
      </c>
      <c r="BB71" s="284">
        <f t="shared" si="61"/>
        <v>0</v>
      </c>
      <c r="BC71" s="284">
        <f t="shared" ref="BC71" si="62">BC110</f>
        <v>69.582675758133661</v>
      </c>
      <c r="BD71" s="284">
        <f t="shared" ref="BD71:BE71" si="63">BD111</f>
        <v>0</v>
      </c>
      <c r="BE71" s="284">
        <f t="shared" si="63"/>
        <v>48.707873030693563</v>
      </c>
    </row>
    <row r="72" spans="32:64" x14ac:dyDescent="0.2">
      <c r="AP72" s="206" t="s">
        <v>554</v>
      </c>
      <c r="AQ72" s="284">
        <f t="shared" si="1"/>
        <v>0</v>
      </c>
      <c r="AR72" s="284">
        <f t="shared" si="1"/>
        <v>0</v>
      </c>
      <c r="AS72" s="284">
        <f t="shared" si="1"/>
        <v>0</v>
      </c>
      <c r="AT72" s="284">
        <f t="shared" si="1"/>
        <v>0</v>
      </c>
      <c r="AU72" s="284">
        <f t="shared" si="1"/>
        <v>0</v>
      </c>
      <c r="AV72" s="284">
        <f t="shared" si="1"/>
        <v>0</v>
      </c>
      <c r="AW72" s="284">
        <f t="shared" si="1"/>
        <v>0</v>
      </c>
      <c r="AX72" s="284">
        <f t="shared" ref="AX72:BB72" si="64">AX112</f>
        <v>0</v>
      </c>
      <c r="AY72" s="284">
        <f t="shared" si="64"/>
        <v>0</v>
      </c>
      <c r="AZ72" s="284">
        <f t="shared" si="64"/>
        <v>0</v>
      </c>
      <c r="BA72" s="284">
        <f t="shared" si="64"/>
        <v>0</v>
      </c>
      <c r="BB72" s="284">
        <f t="shared" si="64"/>
        <v>0</v>
      </c>
      <c r="BC72" s="284">
        <f t="shared" ref="BC72" si="65">BC111</f>
        <v>0</v>
      </c>
      <c r="BD72" s="284">
        <f t="shared" ref="BD72:BE72" si="66">BD112</f>
        <v>0</v>
      </c>
      <c r="BE72" s="284">
        <f t="shared" si="66"/>
        <v>1309.8157778632656</v>
      </c>
    </row>
    <row r="73" spans="32:64" x14ac:dyDescent="0.2">
      <c r="AP73" s="206" t="s">
        <v>555</v>
      </c>
      <c r="AQ73" s="284">
        <f t="shared" si="1"/>
        <v>0</v>
      </c>
      <c r="AR73" s="284">
        <f t="shared" si="1"/>
        <v>0</v>
      </c>
      <c r="AS73" s="284">
        <f t="shared" si="1"/>
        <v>0</v>
      </c>
      <c r="AT73" s="284">
        <f t="shared" si="1"/>
        <v>0</v>
      </c>
      <c r="AU73" s="284">
        <f t="shared" si="1"/>
        <v>0</v>
      </c>
      <c r="AV73" s="284">
        <f t="shared" si="1"/>
        <v>0</v>
      </c>
      <c r="AW73" s="284">
        <f t="shared" si="1"/>
        <v>0</v>
      </c>
      <c r="AX73" s="284">
        <f t="shared" ref="AX73:BB73" si="67">AX113</f>
        <v>0</v>
      </c>
      <c r="AY73" s="284">
        <f t="shared" si="67"/>
        <v>0</v>
      </c>
      <c r="AZ73" s="284">
        <f t="shared" si="67"/>
        <v>0</v>
      </c>
      <c r="BA73" s="284">
        <f t="shared" si="67"/>
        <v>0</v>
      </c>
      <c r="BB73" s="284">
        <f t="shared" si="67"/>
        <v>0</v>
      </c>
      <c r="BC73" s="284">
        <f t="shared" ref="BC73" si="68">BC112</f>
        <v>0</v>
      </c>
      <c r="BD73" s="284">
        <f t="shared" ref="BD73:BE73" si="69">BD113</f>
        <v>0</v>
      </c>
      <c r="BE73" s="284">
        <f t="shared" si="69"/>
        <v>0</v>
      </c>
    </row>
    <row r="74" spans="32:64" x14ac:dyDescent="0.2">
      <c r="AP74" s="206" t="s">
        <v>556</v>
      </c>
      <c r="AQ74" s="284">
        <f t="shared" si="1"/>
        <v>0</v>
      </c>
      <c r="AR74" s="284">
        <f t="shared" si="1"/>
        <v>0</v>
      </c>
      <c r="AS74" s="284">
        <f t="shared" si="1"/>
        <v>0</v>
      </c>
      <c r="AT74" s="284">
        <f t="shared" si="1"/>
        <v>0</v>
      </c>
      <c r="AU74" s="284">
        <f t="shared" si="1"/>
        <v>0</v>
      </c>
      <c r="AV74" s="284">
        <f t="shared" si="1"/>
        <v>0</v>
      </c>
      <c r="AW74" s="284">
        <f t="shared" si="1"/>
        <v>0</v>
      </c>
      <c r="AX74" s="284">
        <f t="shared" ref="AX74:BB74" si="70">AX114</f>
        <v>0</v>
      </c>
      <c r="AY74" s="284">
        <f t="shared" si="70"/>
        <v>0</v>
      </c>
      <c r="AZ74" s="284">
        <f t="shared" si="70"/>
        <v>0</v>
      </c>
      <c r="BA74" s="284">
        <f t="shared" si="70"/>
        <v>0</v>
      </c>
      <c r="BB74" s="284">
        <f t="shared" si="70"/>
        <v>0</v>
      </c>
      <c r="BC74" s="284">
        <f t="shared" ref="BC74" si="71">BC113</f>
        <v>0</v>
      </c>
      <c r="BD74" s="284">
        <f t="shared" ref="BD74:BE74" si="72">BD114</f>
        <v>0</v>
      </c>
      <c r="BE74" s="284">
        <f t="shared" si="72"/>
        <v>0</v>
      </c>
    </row>
    <row r="75" spans="32:64" x14ac:dyDescent="0.2">
      <c r="AP75" s="206" t="s">
        <v>567</v>
      </c>
      <c r="AQ75" s="284">
        <f t="shared" si="1"/>
        <v>0</v>
      </c>
      <c r="AR75" s="284">
        <f t="shared" si="1"/>
        <v>0</v>
      </c>
      <c r="AS75" s="284">
        <f t="shared" si="1"/>
        <v>0</v>
      </c>
      <c r="AT75" s="284">
        <f t="shared" si="1"/>
        <v>0</v>
      </c>
      <c r="AU75" s="284">
        <f t="shared" si="1"/>
        <v>0</v>
      </c>
      <c r="AV75" s="284">
        <f t="shared" si="1"/>
        <v>0</v>
      </c>
      <c r="AW75" s="284">
        <f t="shared" si="1"/>
        <v>0</v>
      </c>
      <c r="AX75" s="284">
        <f t="shared" ref="AX75:BB75" si="73">AX115</f>
        <v>0</v>
      </c>
      <c r="AY75" s="284">
        <f t="shared" si="73"/>
        <v>0</v>
      </c>
      <c r="AZ75" s="284">
        <f t="shared" si="73"/>
        <v>0</v>
      </c>
      <c r="BA75" s="284">
        <f t="shared" si="73"/>
        <v>0</v>
      </c>
      <c r="BB75" s="284">
        <f t="shared" si="73"/>
        <v>0</v>
      </c>
      <c r="BC75" s="284">
        <f t="shared" ref="BC75" si="74">BC114</f>
        <v>0</v>
      </c>
      <c r="BD75" s="284">
        <f t="shared" ref="BD75:BE75" si="75">BD115</f>
        <v>0</v>
      </c>
      <c r="BE75" s="284">
        <f t="shared" si="75"/>
        <v>0</v>
      </c>
    </row>
    <row r="76" spans="32:64" x14ac:dyDescent="0.2">
      <c r="AP76" s="206"/>
      <c r="AQ76" s="394" t="s">
        <v>582</v>
      </c>
      <c r="AR76" s="394"/>
      <c r="AS76" s="394"/>
      <c r="AT76" s="394"/>
      <c r="AU76" s="394"/>
      <c r="AV76" s="394"/>
      <c r="AW76" s="394"/>
      <c r="AX76" s="394"/>
      <c r="AY76" s="394"/>
      <c r="AZ76" s="394"/>
      <c r="BA76" s="394"/>
      <c r="BB76" s="394"/>
      <c r="BC76" s="394"/>
      <c r="BD76" s="394"/>
      <c r="BE76" s="394"/>
    </row>
    <row r="80" spans="32:64" ht="112" x14ac:dyDescent="0.2">
      <c r="AF80" s="204"/>
      <c r="AG80" s="204"/>
      <c r="AP80" s="260"/>
      <c r="AQ80" s="207" t="s">
        <v>415</v>
      </c>
      <c r="AR80" s="207" t="s">
        <v>416</v>
      </c>
      <c r="AS80" s="207" t="s">
        <v>417</v>
      </c>
      <c r="AT80" s="207" t="s">
        <v>565</v>
      </c>
      <c r="AU80" s="207" t="s">
        <v>544</v>
      </c>
      <c r="AV80" s="207" t="s">
        <v>543</v>
      </c>
      <c r="AW80" s="207" t="s">
        <v>443</v>
      </c>
      <c r="AX80" s="207" t="s">
        <v>440</v>
      </c>
      <c r="AY80" s="207" t="s">
        <v>458</v>
      </c>
      <c r="AZ80" s="207" t="s">
        <v>441</v>
      </c>
      <c r="BA80" s="207" t="s">
        <v>436</v>
      </c>
      <c r="BB80" s="207" t="s">
        <v>672</v>
      </c>
      <c r="BC80" s="207" t="s">
        <v>675</v>
      </c>
      <c r="BD80" s="207" t="s">
        <v>81</v>
      </c>
      <c r="BE80" s="207" t="s">
        <v>427</v>
      </c>
      <c r="BJ80" s="207"/>
      <c r="BK80" s="207" t="s">
        <v>421</v>
      </c>
      <c r="BL80" s="207" t="s">
        <v>356</v>
      </c>
    </row>
    <row r="81" spans="32:70" x14ac:dyDescent="0.2">
      <c r="AF81" s="204"/>
      <c r="AG81" s="204"/>
      <c r="AP81" s="204" t="s">
        <v>423</v>
      </c>
      <c r="AQ81" s="230">
        <f>'Ore-&gt;PI'!AN42</f>
        <v>1011.7674660019052</v>
      </c>
      <c r="AR81" s="230"/>
      <c r="AS81" s="230"/>
      <c r="AT81" s="230"/>
      <c r="AU81" s="230"/>
      <c r="AV81" s="230"/>
      <c r="AW81" s="230"/>
      <c r="AX81" s="230"/>
      <c r="AY81" s="230"/>
      <c r="AZ81" s="230"/>
      <c r="BA81" s="230"/>
      <c r="BB81" s="230"/>
      <c r="BC81" s="230"/>
      <c r="BD81" s="230"/>
      <c r="BE81" s="230"/>
      <c r="BF81" s="252">
        <f t="shared" ref="BF81:BF115" si="76">SUM(AQ81:BE81)</f>
        <v>1011.7674660019052</v>
      </c>
      <c r="BJ81" s="204" t="s">
        <v>423</v>
      </c>
      <c r="BK81" s="244"/>
      <c r="BL81" s="244"/>
      <c r="BM81" s="252">
        <f>SUM(BK81:BL81)</f>
        <v>0</v>
      </c>
    </row>
    <row r="82" spans="32:70" x14ac:dyDescent="0.2">
      <c r="AF82" s="204"/>
      <c r="AG82" s="204"/>
      <c r="AP82" s="204" t="s">
        <v>425</v>
      </c>
      <c r="AQ82" s="230"/>
      <c r="AR82" s="230">
        <f>'Ore-&gt;PI'!U126</f>
        <v>208.55560337725498</v>
      </c>
      <c r="AS82" s="230"/>
      <c r="AT82" s="230"/>
      <c r="AU82" s="230"/>
      <c r="AV82" s="230"/>
      <c r="AW82" s="230"/>
      <c r="AX82" s="230"/>
      <c r="AY82" s="230"/>
      <c r="AZ82" s="230"/>
      <c r="BA82" s="230"/>
      <c r="BB82" s="230"/>
      <c r="BC82" s="230"/>
      <c r="BD82" s="230"/>
      <c r="BE82" s="230"/>
      <c r="BF82" s="252">
        <f t="shared" si="76"/>
        <v>208.55560337725498</v>
      </c>
      <c r="BJ82" s="204" t="s">
        <v>425</v>
      </c>
      <c r="BK82" s="244"/>
      <c r="BL82" s="244"/>
      <c r="BM82" s="252">
        <f>SUM(BK82:BL82)</f>
        <v>0</v>
      </c>
    </row>
    <row r="83" spans="32:70" x14ac:dyDescent="0.2">
      <c r="AF83" s="204"/>
      <c r="AG83" s="204"/>
      <c r="AP83" s="204" t="s">
        <v>426</v>
      </c>
      <c r="AQ83" s="230"/>
      <c r="AR83" s="230"/>
      <c r="AS83" s="230">
        <f>'Ore-&gt;PI'!U206</f>
        <v>286.88405520213911</v>
      </c>
      <c r="AT83" s="230"/>
      <c r="AU83" s="230"/>
      <c r="AV83" s="230"/>
      <c r="AW83" s="230"/>
      <c r="AX83" s="230"/>
      <c r="AY83" s="230"/>
      <c r="AZ83" s="230"/>
      <c r="BA83" s="230"/>
      <c r="BB83" s="230"/>
      <c r="BC83" s="230"/>
      <c r="BD83" s="230"/>
      <c r="BE83" s="230"/>
      <c r="BF83" s="252">
        <f t="shared" si="76"/>
        <v>286.88405520213911</v>
      </c>
      <c r="BJ83" s="204" t="s">
        <v>426</v>
      </c>
      <c r="BK83" s="244"/>
      <c r="BL83" s="244"/>
      <c r="BM83" s="252">
        <f>SUM(BK83:BL83)</f>
        <v>0</v>
      </c>
    </row>
    <row r="84" spans="32:70" x14ac:dyDescent="0.2">
      <c r="AF84" s="204"/>
      <c r="AG84" s="204"/>
      <c r="AP84" s="204" t="s">
        <v>447</v>
      </c>
      <c r="AQ84" s="230">
        <f>'Ore-&gt;PI'!U72</f>
        <v>30.150427560669065</v>
      </c>
      <c r="AR84" s="230">
        <f>'Ore-&gt;PI'!U163</f>
        <v>9.0394269236644703E-2</v>
      </c>
      <c r="AS84" s="230">
        <f>'Ore-&gt;PI'!U236</f>
        <v>7.1715017046188141</v>
      </c>
      <c r="AT84" s="230"/>
      <c r="AU84" s="230"/>
      <c r="AV84" s="230"/>
      <c r="AW84" s="230"/>
      <c r="AX84" s="230"/>
      <c r="AY84" s="230"/>
      <c r="AZ84" s="230">
        <f>'Ore-&gt;PI'!CA140</f>
        <v>1173.1885157382469</v>
      </c>
      <c r="BA84" s="230">
        <f>'Ore-&gt;PI'!CA242</f>
        <v>556.96479760636817</v>
      </c>
      <c r="BB84" s="230"/>
      <c r="BC84" s="230"/>
      <c r="BD84" s="230"/>
      <c r="BE84" s="243">
        <f>'Ore-&gt;PI'!EL140</f>
        <v>2870.841834451006</v>
      </c>
      <c r="BF84" s="252">
        <f t="shared" si="76"/>
        <v>4638.4074713301452</v>
      </c>
      <c r="BJ84" s="204" t="s">
        <v>447</v>
      </c>
      <c r="BK84" s="244"/>
      <c r="BL84" s="244"/>
      <c r="BM84" s="252">
        <f t="shared" ref="BM84:BM88" si="77">SUM(BK84:BL84)</f>
        <v>0</v>
      </c>
    </row>
    <row r="85" spans="32:70" x14ac:dyDescent="0.2">
      <c r="AF85" s="204"/>
      <c r="AG85" s="204"/>
      <c r="AP85" s="204" t="s">
        <v>477</v>
      </c>
      <c r="AQ85" s="230"/>
      <c r="AR85" s="230"/>
      <c r="AS85" s="230"/>
      <c r="AT85" s="230"/>
      <c r="AU85" s="230"/>
      <c r="AV85" s="230"/>
      <c r="AW85" s="230"/>
      <c r="AX85" s="230"/>
      <c r="AY85" s="230"/>
      <c r="AZ85" s="230">
        <f>'Ore-&gt;PI'!CA152</f>
        <v>20798.316475388398</v>
      </c>
      <c r="BA85" s="230">
        <f>'Ore-&gt;PI'!CA254</f>
        <v>16.963528773956838</v>
      </c>
      <c r="BB85" s="230"/>
      <c r="BC85" s="230"/>
      <c r="BD85" s="230"/>
      <c r="BE85" s="230">
        <f>'Ore-&gt;PI'!EL114</f>
        <v>44.774669200794314</v>
      </c>
      <c r="BF85" s="252">
        <f t="shared" si="76"/>
        <v>20860.054673363149</v>
      </c>
      <c r="BJ85" s="204" t="s">
        <v>477</v>
      </c>
      <c r="BK85" s="244"/>
      <c r="BL85" s="244"/>
      <c r="BM85" s="252">
        <f t="shared" si="77"/>
        <v>0</v>
      </c>
    </row>
    <row r="86" spans="32:70" x14ac:dyDescent="0.2">
      <c r="AF86" s="204"/>
      <c r="AG86" s="204"/>
      <c r="AP86" s="204" t="s">
        <v>576</v>
      </c>
      <c r="AQ86" s="230">
        <f>'Ore-&gt;PI'!U59</f>
        <v>2.0694989883749622</v>
      </c>
      <c r="AR86" s="230">
        <f>'Ore-&gt;PI'!U140</f>
        <v>5.671161105764883E-3</v>
      </c>
      <c r="AS86" s="230">
        <f>'Ore-&gt;PI'!U222</f>
        <v>0.49224560722974403</v>
      </c>
      <c r="AT86" s="230"/>
      <c r="AU86" s="230"/>
      <c r="AV86" s="230"/>
      <c r="AW86" s="230"/>
      <c r="AX86" s="230"/>
      <c r="AY86" s="230"/>
      <c r="AZ86" s="230"/>
      <c r="BA86" s="230"/>
      <c r="BB86" s="230"/>
      <c r="BC86" s="230"/>
      <c r="BD86" s="230"/>
      <c r="BE86" s="230"/>
      <c r="BF86" s="252">
        <f t="shared" si="76"/>
        <v>2.5674157567104707</v>
      </c>
      <c r="BJ86" s="204" t="s">
        <v>576</v>
      </c>
      <c r="BK86" s="244"/>
      <c r="BL86" s="244"/>
      <c r="BM86" s="252">
        <f t="shared" si="77"/>
        <v>0</v>
      </c>
    </row>
    <row r="87" spans="32:70" x14ac:dyDescent="0.2">
      <c r="AF87" s="204"/>
      <c r="AG87" s="204"/>
      <c r="AP87" s="204" t="s">
        <v>577</v>
      </c>
      <c r="AQ87" s="230"/>
      <c r="AR87" s="230">
        <f>'Ore-&gt;PI'!U151</f>
        <v>5.1714158616864253E-4</v>
      </c>
      <c r="AS87" s="230"/>
      <c r="AT87" s="230"/>
      <c r="AU87" s="230"/>
      <c r="AV87" s="230"/>
      <c r="AW87" s="230"/>
      <c r="AX87" s="230"/>
      <c r="AY87" s="230"/>
      <c r="AZ87" s="230"/>
      <c r="BA87" s="230"/>
      <c r="BB87" s="230"/>
      <c r="BC87" s="230"/>
      <c r="BD87" s="230"/>
      <c r="BE87" s="230"/>
      <c r="BF87" s="252">
        <f t="shared" si="76"/>
        <v>5.1714158616864253E-4</v>
      </c>
      <c r="BJ87" s="204" t="s">
        <v>577</v>
      </c>
      <c r="BK87" s="244"/>
      <c r="BL87" s="244"/>
      <c r="BM87" s="252">
        <f t="shared" si="77"/>
        <v>0</v>
      </c>
    </row>
    <row r="88" spans="32:70" x14ac:dyDescent="0.2">
      <c r="AF88" s="204"/>
      <c r="AG88" s="204"/>
      <c r="AP88" s="204" t="s">
        <v>519</v>
      </c>
      <c r="AQ88" s="230"/>
      <c r="AR88" s="230"/>
      <c r="AS88" s="230"/>
      <c r="AT88" s="230"/>
      <c r="AU88" s="230"/>
      <c r="AV88" s="230"/>
      <c r="AW88" s="230"/>
      <c r="AX88" s="230"/>
      <c r="AY88" s="230"/>
      <c r="AZ88" s="230"/>
      <c r="BA88" s="230"/>
      <c r="BB88" s="230"/>
      <c r="BC88" s="230"/>
      <c r="BD88" s="230"/>
      <c r="BE88" s="230">
        <f>'Ore-&gt;PI'!EL101</f>
        <v>4.8979947555174279</v>
      </c>
      <c r="BF88" s="252">
        <f t="shared" si="76"/>
        <v>4.8979947555174279</v>
      </c>
      <c r="BJ88" s="204" t="s">
        <v>519</v>
      </c>
      <c r="BK88" s="244"/>
      <c r="BL88" s="244"/>
      <c r="BM88" s="252">
        <f t="shared" si="77"/>
        <v>0</v>
      </c>
    </row>
    <row r="89" spans="32:70" x14ac:dyDescent="0.2">
      <c r="AF89" s="246"/>
      <c r="AG89" s="246"/>
      <c r="AP89" s="204" t="s">
        <v>569</v>
      </c>
      <c r="AQ89" s="230"/>
      <c r="AR89" s="230"/>
      <c r="AS89" s="230">
        <v>0</v>
      </c>
      <c r="AT89" s="230">
        <v>0</v>
      </c>
      <c r="AU89" s="230">
        <v>0</v>
      </c>
      <c r="AV89" s="230">
        <v>0</v>
      </c>
      <c r="AW89" s="230">
        <v>0</v>
      </c>
      <c r="AX89" s="230">
        <v>0</v>
      </c>
      <c r="AY89" s="230">
        <v>0</v>
      </c>
      <c r="AZ89" s="230"/>
      <c r="BA89" s="230"/>
      <c r="BB89" s="230">
        <v>0</v>
      </c>
      <c r="BC89" s="230"/>
      <c r="BD89" s="230"/>
      <c r="BE89" s="230">
        <v>0</v>
      </c>
      <c r="BF89" s="252">
        <f t="shared" si="76"/>
        <v>0</v>
      </c>
      <c r="BJ89" s="204" t="s">
        <v>569</v>
      </c>
      <c r="BK89" s="244"/>
      <c r="BL89" s="244"/>
      <c r="BM89" s="252">
        <f t="shared" ref="BM89:BM95" si="78">SUM(BK89:BL89)</f>
        <v>0</v>
      </c>
    </row>
    <row r="90" spans="32:70" ht="16" x14ac:dyDescent="0.2">
      <c r="AF90" s="205"/>
      <c r="AG90" s="205"/>
      <c r="AP90" s="205" t="s">
        <v>551</v>
      </c>
      <c r="AQ90" s="230"/>
      <c r="AR90" s="230"/>
      <c r="AS90" s="230"/>
      <c r="AT90" s="230">
        <f>'Ore-&gt;PI'!AN42</f>
        <v>1011.7674660019052</v>
      </c>
      <c r="AU90" s="230"/>
      <c r="AV90" s="230"/>
      <c r="AW90" s="230"/>
      <c r="AX90" s="230"/>
      <c r="AY90" s="230"/>
      <c r="AZ90" s="230"/>
      <c r="BA90" s="230"/>
      <c r="BB90" s="230"/>
      <c r="BC90" s="230"/>
      <c r="BD90" s="230"/>
      <c r="BE90" s="230"/>
      <c r="BF90" s="252">
        <f t="shared" si="76"/>
        <v>1011.7674660019052</v>
      </c>
      <c r="BJ90" s="205" t="s">
        <v>551</v>
      </c>
      <c r="BK90" s="244"/>
      <c r="BL90" s="244"/>
      <c r="BM90" s="252">
        <f t="shared" si="78"/>
        <v>0</v>
      </c>
    </row>
    <row r="91" spans="32:70" x14ac:dyDescent="0.2">
      <c r="AF91" s="206"/>
      <c r="AG91" s="206"/>
      <c r="AP91" s="204" t="s">
        <v>517</v>
      </c>
      <c r="AQ91" s="230"/>
      <c r="AR91" s="230"/>
      <c r="AS91" s="230"/>
      <c r="AT91" s="230"/>
      <c r="AU91" s="230"/>
      <c r="AV91" s="230"/>
      <c r="AW91" s="230"/>
      <c r="AX91" s="230"/>
      <c r="AY91" s="230"/>
      <c r="AZ91" s="230"/>
      <c r="BA91" s="230"/>
      <c r="BB91" s="230"/>
      <c r="BC91" s="230"/>
      <c r="BD91" s="230"/>
      <c r="BE91" s="230"/>
      <c r="BF91" s="252">
        <f t="shared" si="76"/>
        <v>0</v>
      </c>
      <c r="BJ91" s="204" t="s">
        <v>517</v>
      </c>
      <c r="BK91" s="244"/>
      <c r="BL91" s="244">
        <f>'Ore-&gt;PI'!AN63</f>
        <v>32.219926549044033</v>
      </c>
      <c r="BM91" s="252">
        <f t="shared" si="78"/>
        <v>32.219926549044033</v>
      </c>
    </row>
    <row r="92" spans="32:70" ht="16" x14ac:dyDescent="0.2">
      <c r="AF92" s="206"/>
      <c r="AG92" s="206"/>
      <c r="AP92" s="205" t="s">
        <v>520</v>
      </c>
      <c r="AQ92" s="230"/>
      <c r="AR92" s="230"/>
      <c r="AS92" s="230"/>
      <c r="AT92" s="230"/>
      <c r="AU92" s="230">
        <f>'Ore-&gt;PI'!AO126</f>
        <v>208.55560337725498</v>
      </c>
      <c r="AV92" s="230"/>
      <c r="AW92" s="230"/>
      <c r="AX92" s="230"/>
      <c r="AY92" s="230"/>
      <c r="AZ92" s="230"/>
      <c r="BA92" s="230"/>
      <c r="BB92" s="230"/>
      <c r="BC92" s="230"/>
      <c r="BD92" s="230"/>
      <c r="BE92" s="230"/>
      <c r="BF92" s="252">
        <f t="shared" si="76"/>
        <v>208.55560337725498</v>
      </c>
      <c r="BJ92" s="205" t="s">
        <v>520</v>
      </c>
      <c r="BK92" s="244"/>
      <c r="BL92" s="248"/>
      <c r="BM92" s="252">
        <f t="shared" si="78"/>
        <v>0</v>
      </c>
    </row>
    <row r="93" spans="32:70" x14ac:dyDescent="0.2">
      <c r="AF93" s="206"/>
      <c r="AG93" s="206"/>
      <c r="AP93" s="204" t="s">
        <v>546</v>
      </c>
      <c r="AQ93" s="230"/>
      <c r="AR93" s="230"/>
      <c r="AS93" s="230"/>
      <c r="AT93" s="230"/>
      <c r="AU93" s="230"/>
      <c r="AV93" s="230"/>
      <c r="AW93" s="230"/>
      <c r="AX93" s="230"/>
      <c r="AY93" s="230"/>
      <c r="AZ93" s="230"/>
      <c r="BA93" s="230"/>
      <c r="BB93" s="230"/>
      <c r="BC93" s="230"/>
      <c r="BD93" s="243"/>
      <c r="BE93" s="230"/>
      <c r="BF93" s="252">
        <f t="shared" si="76"/>
        <v>0</v>
      </c>
      <c r="BJ93" s="204" t="s">
        <v>546</v>
      </c>
      <c r="BK93" s="244"/>
      <c r="BL93" s="244">
        <f>'Ore-&gt;PI'!AO142</f>
        <v>9.658257192857822E-2</v>
      </c>
      <c r="BM93" s="252">
        <f t="shared" si="78"/>
        <v>9.658257192857822E-2</v>
      </c>
    </row>
    <row r="94" spans="32:70" x14ac:dyDescent="0.2">
      <c r="AF94" s="206"/>
      <c r="AG94" s="206"/>
      <c r="AP94" s="206" t="s">
        <v>538</v>
      </c>
      <c r="AQ94" s="230"/>
      <c r="AR94" s="230"/>
      <c r="AS94" s="230"/>
      <c r="AT94" s="230"/>
      <c r="AU94" s="230"/>
      <c r="AV94" s="230">
        <f>'Ore-&gt;PI'!AO206</f>
        <v>286.88405520213911</v>
      </c>
      <c r="AW94" s="230"/>
      <c r="AX94" s="230"/>
      <c r="AY94" s="230"/>
      <c r="AZ94" s="230"/>
      <c r="BA94" s="230"/>
      <c r="BB94" s="230"/>
      <c r="BC94" s="230"/>
      <c r="BD94" s="230"/>
      <c r="BE94" s="243"/>
      <c r="BF94" s="252">
        <f t="shared" si="76"/>
        <v>286.88405520213911</v>
      </c>
      <c r="BJ94" s="206" t="s">
        <v>538</v>
      </c>
      <c r="BK94" s="244"/>
      <c r="BL94" s="244"/>
      <c r="BM94" s="252">
        <f t="shared" si="78"/>
        <v>0</v>
      </c>
    </row>
    <row r="95" spans="32:70" x14ac:dyDescent="0.2">
      <c r="AF95" s="206"/>
      <c r="AG95" s="206"/>
      <c r="AP95" s="204" t="s">
        <v>524</v>
      </c>
      <c r="AQ95" s="230"/>
      <c r="AR95" s="230"/>
      <c r="AS95" s="230"/>
      <c r="AT95" s="230"/>
      <c r="AU95" s="230"/>
      <c r="AV95" s="230"/>
      <c r="AW95" s="230"/>
      <c r="AX95" s="230"/>
      <c r="AY95" s="230"/>
      <c r="AZ95" s="230"/>
      <c r="BA95" s="230"/>
      <c r="BB95" s="230"/>
      <c r="BC95" s="230"/>
      <c r="BD95" s="230"/>
      <c r="BE95" s="230"/>
      <c r="BF95" s="252">
        <f t="shared" si="76"/>
        <v>0</v>
      </c>
      <c r="BJ95" s="204" t="s">
        <v>524</v>
      </c>
      <c r="BK95" s="244"/>
      <c r="BL95" s="244">
        <f>'Ore-&gt;PI'!AO227</f>
        <v>7.6637473118485584</v>
      </c>
      <c r="BM95" s="252">
        <f t="shared" si="78"/>
        <v>7.6637473118485584</v>
      </c>
      <c r="BN95" s="25"/>
      <c r="BO95" s="25"/>
      <c r="BP95" s="25"/>
      <c r="BQ95" s="25"/>
      <c r="BR95" s="25"/>
    </row>
    <row r="96" spans="32:70" ht="16" x14ac:dyDescent="0.2">
      <c r="AF96" s="206"/>
      <c r="AG96" s="206"/>
      <c r="AP96" s="205" t="s">
        <v>550</v>
      </c>
      <c r="AQ96" s="230"/>
      <c r="AR96" s="230"/>
      <c r="AS96" s="230"/>
      <c r="AT96" s="230"/>
      <c r="AU96" s="230"/>
      <c r="AV96" s="230"/>
      <c r="AW96" s="230">
        <f>'Ore-&gt;PI'!BG42</f>
        <v>1011.7674660019052</v>
      </c>
      <c r="AX96" s="230"/>
      <c r="AY96" s="230"/>
      <c r="AZ96" s="230"/>
      <c r="BA96" s="230"/>
      <c r="BB96" s="230"/>
      <c r="BC96" s="230"/>
      <c r="BD96" s="230"/>
      <c r="BE96" s="230"/>
      <c r="BF96" s="252">
        <f t="shared" si="76"/>
        <v>1011.7674660019052</v>
      </c>
      <c r="BJ96" s="205" t="s">
        <v>550</v>
      </c>
      <c r="BK96" s="244"/>
      <c r="BL96" s="244"/>
      <c r="BM96" s="252">
        <f t="shared" ref="BM96:BM115" si="79">SUM(BK96:BL96)</f>
        <v>0</v>
      </c>
    </row>
    <row r="97" spans="32:65" ht="16" x14ac:dyDescent="0.2">
      <c r="AF97" s="206"/>
      <c r="AG97" s="206"/>
      <c r="AP97" s="205" t="s">
        <v>545</v>
      </c>
      <c r="AQ97" s="230"/>
      <c r="AR97" s="230"/>
      <c r="AS97" s="230"/>
      <c r="AT97" s="230"/>
      <c r="AU97" s="230"/>
      <c r="AV97" s="230"/>
      <c r="AW97" s="230"/>
      <c r="AX97" s="230">
        <f>'Ore-&gt;PI'!BH126</f>
        <v>208.55560337725498</v>
      </c>
      <c r="AY97" s="230"/>
      <c r="AZ97" s="230"/>
      <c r="BA97" s="230"/>
      <c r="BB97" s="230"/>
      <c r="BC97" s="230"/>
      <c r="BD97" s="230"/>
      <c r="BE97" s="230"/>
      <c r="BF97" s="252">
        <f t="shared" si="76"/>
        <v>208.55560337725498</v>
      </c>
      <c r="BJ97" s="205" t="s">
        <v>545</v>
      </c>
      <c r="BK97" s="244"/>
      <c r="BL97" s="244"/>
      <c r="BM97" s="252">
        <f t="shared" si="79"/>
        <v>0</v>
      </c>
    </row>
    <row r="98" spans="32:65" ht="16" x14ac:dyDescent="0.2">
      <c r="AF98" s="253"/>
      <c r="AG98" s="253"/>
      <c r="AP98" s="205" t="s">
        <v>542</v>
      </c>
      <c r="AQ98" s="230"/>
      <c r="AR98" s="230"/>
      <c r="AS98" s="230"/>
      <c r="AT98" s="230"/>
      <c r="AU98" s="230"/>
      <c r="AV98" s="230"/>
      <c r="AW98" s="230"/>
      <c r="AX98" s="230"/>
      <c r="AY98" s="230">
        <f>'Ore-&gt;PI'!BH206</f>
        <v>286.88405520213911</v>
      </c>
      <c r="AZ98" s="230"/>
      <c r="BA98" s="230"/>
      <c r="BB98" s="230"/>
      <c r="BC98" s="230"/>
      <c r="BD98" s="230"/>
      <c r="BE98" s="230"/>
      <c r="BF98" s="252">
        <f t="shared" si="76"/>
        <v>286.88405520213911</v>
      </c>
      <c r="BJ98" s="205" t="s">
        <v>542</v>
      </c>
      <c r="BK98" s="244"/>
      <c r="BL98" s="244"/>
      <c r="BM98" s="252">
        <f t="shared" si="79"/>
        <v>0</v>
      </c>
    </row>
    <row r="99" spans="32:65" ht="16" x14ac:dyDescent="0.2">
      <c r="AF99" s="206"/>
      <c r="AG99" s="206"/>
      <c r="AP99" s="205" t="s">
        <v>548</v>
      </c>
      <c r="AQ99" s="230"/>
      <c r="AR99" s="230"/>
      <c r="AS99" s="230"/>
      <c r="AT99" s="230"/>
      <c r="AU99" s="230"/>
      <c r="AV99" s="230"/>
      <c r="AW99" s="230"/>
      <c r="AX99" s="230"/>
      <c r="AY99" s="230"/>
      <c r="AZ99" s="230"/>
      <c r="BA99" s="230"/>
      <c r="BB99" s="230"/>
      <c r="BC99" s="230"/>
      <c r="BD99" s="230">
        <f>'Ore-&gt;PI'!BZ42</f>
        <v>1000.0000000000001</v>
      </c>
      <c r="BE99" s="230"/>
      <c r="BF99" s="252">
        <f t="shared" si="76"/>
        <v>1000.0000000000001</v>
      </c>
      <c r="BG99" s="25"/>
      <c r="BH99" s="25"/>
      <c r="BJ99" s="205" t="s">
        <v>548</v>
      </c>
      <c r="BK99" s="244"/>
      <c r="BL99" s="244"/>
      <c r="BM99" s="252">
        <f t="shared" si="79"/>
        <v>0</v>
      </c>
    </row>
    <row r="100" spans="32:65" x14ac:dyDescent="0.2">
      <c r="AF100" s="206"/>
      <c r="AG100" s="206"/>
      <c r="AP100" s="206" t="s">
        <v>547</v>
      </c>
      <c r="AQ100" s="230"/>
      <c r="AR100" s="230"/>
      <c r="AS100" s="230"/>
      <c r="AT100" s="230"/>
      <c r="AU100" s="230"/>
      <c r="AV100" s="230"/>
      <c r="AW100" s="230"/>
      <c r="AX100" s="230"/>
      <c r="AY100" s="230"/>
      <c r="AZ100" s="230"/>
      <c r="BA100" s="230"/>
      <c r="BB100" s="230"/>
      <c r="BC100" s="230"/>
      <c r="BD100" s="230"/>
      <c r="BE100" s="243"/>
      <c r="BF100" s="252">
        <f t="shared" si="76"/>
        <v>0</v>
      </c>
      <c r="BJ100" s="206" t="s">
        <v>547</v>
      </c>
      <c r="BK100" s="244"/>
      <c r="BL100" s="244">
        <f>Beneficiation_Iron_waste</f>
        <v>11.767466001905108</v>
      </c>
      <c r="BM100" s="252">
        <f t="shared" si="79"/>
        <v>11.767466001905108</v>
      </c>
    </row>
    <row r="101" spans="32:65" x14ac:dyDescent="0.2">
      <c r="AF101" s="206"/>
      <c r="AG101" s="206"/>
      <c r="AP101" s="206" t="s">
        <v>532</v>
      </c>
      <c r="AQ101" s="230"/>
      <c r="AR101" s="230"/>
      <c r="AS101" s="230"/>
      <c r="AT101" s="230"/>
      <c r="AU101" s="230"/>
      <c r="AV101" s="230"/>
      <c r="AW101" s="230"/>
      <c r="AX101" s="230"/>
      <c r="AY101" s="230"/>
      <c r="AZ101" s="230">
        <f>'Ore-&gt;PI'!CA126</f>
        <v>208.55560337725498</v>
      </c>
      <c r="BA101" s="230"/>
      <c r="BB101" s="230"/>
      <c r="BC101" s="230"/>
      <c r="BD101" s="230"/>
      <c r="BE101" s="230"/>
      <c r="BF101" s="252">
        <f t="shared" si="76"/>
        <v>208.55560337725498</v>
      </c>
      <c r="BJ101" s="206" t="s">
        <v>532</v>
      </c>
      <c r="BK101" s="244"/>
      <c r="BL101" s="244"/>
      <c r="BM101" s="252">
        <f t="shared" si="79"/>
        <v>0</v>
      </c>
    </row>
    <row r="102" spans="32:65" x14ac:dyDescent="0.2">
      <c r="AF102" s="206"/>
      <c r="AG102" s="206"/>
      <c r="AP102" s="206" t="s">
        <v>566</v>
      </c>
      <c r="AQ102" s="230"/>
      <c r="AR102" s="230"/>
      <c r="AS102" s="230"/>
      <c r="AT102" s="230"/>
      <c r="AU102" s="230"/>
      <c r="AV102" s="230"/>
      <c r="AW102" s="230"/>
      <c r="AX102" s="230"/>
      <c r="AY102" s="230"/>
      <c r="AZ102" s="230"/>
      <c r="BA102" s="230">
        <f>'Ore-&gt;PI'!CA206</f>
        <v>286.88405520213911</v>
      </c>
      <c r="BB102" s="230"/>
      <c r="BC102" s="230"/>
      <c r="BD102" s="230"/>
      <c r="BE102" s="230"/>
      <c r="BF102" s="252">
        <f t="shared" si="76"/>
        <v>286.88405520213911</v>
      </c>
      <c r="BJ102" s="206" t="s">
        <v>566</v>
      </c>
      <c r="BK102" s="244"/>
      <c r="BL102" s="244"/>
      <c r="BM102" s="252">
        <f t="shared" si="79"/>
        <v>0</v>
      </c>
    </row>
    <row r="103" spans="32:65" x14ac:dyDescent="0.2">
      <c r="AF103" s="206"/>
      <c r="AG103" s="206"/>
      <c r="AP103" s="206" t="s">
        <v>533</v>
      </c>
      <c r="AQ103" s="230"/>
      <c r="AR103" s="230"/>
      <c r="AS103" s="230"/>
      <c r="AT103" s="230"/>
      <c r="AU103" s="230"/>
      <c r="AV103" s="230"/>
      <c r="AW103" s="230"/>
      <c r="AX103" s="230"/>
      <c r="AY103" s="230"/>
      <c r="AZ103" s="230"/>
      <c r="BA103" s="230"/>
      <c r="BB103" s="230"/>
      <c r="BC103" s="230"/>
      <c r="BD103" s="230">
        <f>'Ore-&gt;PI'!CV126</f>
        <v>111.00813284002646</v>
      </c>
      <c r="BE103" s="230"/>
      <c r="BF103" s="252">
        <f t="shared" si="76"/>
        <v>111.00813284002646</v>
      </c>
      <c r="BJ103" s="206" t="s">
        <v>533</v>
      </c>
      <c r="BK103" s="244"/>
      <c r="BL103" s="244"/>
      <c r="BM103" s="252">
        <f t="shared" si="79"/>
        <v>0</v>
      </c>
    </row>
    <row r="104" spans="32:65" x14ac:dyDescent="0.2">
      <c r="AF104" s="206"/>
      <c r="AG104" s="206"/>
      <c r="AP104" s="206" t="s">
        <v>535</v>
      </c>
      <c r="AQ104" s="230"/>
      <c r="AR104" s="230"/>
      <c r="AS104" s="230"/>
      <c r="AT104" s="230"/>
      <c r="AU104" s="230"/>
      <c r="AV104" s="230"/>
      <c r="AW104" s="230"/>
      <c r="AX104" s="230"/>
      <c r="AY104" s="230"/>
      <c r="AZ104" s="230"/>
      <c r="BA104" s="230"/>
      <c r="BB104" s="230"/>
      <c r="BC104" s="230"/>
      <c r="BD104" s="230"/>
      <c r="BE104" s="243"/>
      <c r="BF104" s="252">
        <f t="shared" si="76"/>
        <v>0</v>
      </c>
      <c r="BJ104" s="206" t="s">
        <v>535</v>
      </c>
      <c r="BK104" s="244"/>
      <c r="BL104" s="244">
        <f>Kiln_SolidWaste</f>
        <v>4.9847525450981189</v>
      </c>
      <c r="BM104" s="252">
        <f t="shared" si="79"/>
        <v>4.9847525450981189</v>
      </c>
    </row>
    <row r="105" spans="32:65" x14ac:dyDescent="0.2">
      <c r="AF105" s="206"/>
      <c r="AG105" s="206"/>
      <c r="AP105" s="206" t="s">
        <v>534</v>
      </c>
      <c r="AQ105" s="230"/>
      <c r="AR105" s="230"/>
      <c r="AS105" s="230"/>
      <c r="AT105" s="230"/>
      <c r="AU105" s="230"/>
      <c r="AV105" s="230"/>
      <c r="AW105" s="230"/>
      <c r="AX105" s="230"/>
      <c r="AY105" s="230"/>
      <c r="AZ105" s="230"/>
      <c r="BA105" s="230"/>
      <c r="BB105" s="230"/>
      <c r="BC105" s="230"/>
      <c r="BD105" s="230"/>
      <c r="BE105" s="230"/>
      <c r="BF105" s="252">
        <f t="shared" si="76"/>
        <v>0</v>
      </c>
      <c r="BJ105" s="206" t="s">
        <v>534</v>
      </c>
      <c r="BK105" s="244"/>
      <c r="BL105" s="244">
        <f>'Ore-&gt;PI'!CV138</f>
        <v>22064.067709118775</v>
      </c>
      <c r="BM105" s="252">
        <f t="shared" si="79"/>
        <v>22064.067709118775</v>
      </c>
    </row>
    <row r="106" spans="32:65" x14ac:dyDescent="0.2">
      <c r="AF106" s="206"/>
      <c r="AG106" s="206"/>
      <c r="AP106" s="206" t="s">
        <v>632</v>
      </c>
      <c r="AQ106" s="230"/>
      <c r="AR106" s="230"/>
      <c r="AS106" s="230"/>
      <c r="AT106" s="230"/>
      <c r="AU106" s="230"/>
      <c r="AV106" s="230"/>
      <c r="AW106" s="230"/>
      <c r="AX106" s="230"/>
      <c r="AY106" s="230"/>
      <c r="AZ106" s="230"/>
      <c r="BA106" s="230"/>
      <c r="BB106" s="230"/>
      <c r="BC106" s="230"/>
      <c r="BD106" s="230">
        <f>'Ore-&gt;PI'!CV206</f>
        <v>198.80764502323905</v>
      </c>
      <c r="BE106" s="230"/>
      <c r="BF106" s="252">
        <f t="shared" si="76"/>
        <v>198.80764502323905</v>
      </c>
      <c r="BJ106" s="206" t="s">
        <v>632</v>
      </c>
      <c r="BK106" s="244"/>
      <c r="BL106" s="244"/>
      <c r="BM106" s="252">
        <f t="shared" si="79"/>
        <v>0</v>
      </c>
    </row>
    <row r="107" spans="32:65" ht="16" x14ac:dyDescent="0.2">
      <c r="AF107" s="206"/>
      <c r="AG107" s="206"/>
      <c r="AP107" s="253" t="s">
        <v>530</v>
      </c>
      <c r="AQ107" s="230"/>
      <c r="AR107" s="230"/>
      <c r="AS107" s="230"/>
      <c r="AT107" s="230"/>
      <c r="AU107" s="230"/>
      <c r="AV107" s="230"/>
      <c r="AW107" s="230"/>
      <c r="AX107" s="230"/>
      <c r="AY107" s="230"/>
      <c r="AZ107" s="230"/>
      <c r="BA107" s="230"/>
      <c r="BB107" s="230">
        <f>'Ore-&gt;PI'!CV233</f>
        <v>69.582675758133661</v>
      </c>
      <c r="BC107" s="230"/>
      <c r="BD107" s="230"/>
      <c r="BE107" s="230"/>
      <c r="BF107" s="252">
        <f t="shared" si="76"/>
        <v>69.582675758133661</v>
      </c>
      <c r="BJ107" s="253" t="s">
        <v>530</v>
      </c>
      <c r="BK107" s="244"/>
      <c r="BL107" s="244"/>
      <c r="BM107" s="252">
        <f t="shared" si="79"/>
        <v>0</v>
      </c>
    </row>
    <row r="108" spans="32:65" x14ac:dyDescent="0.2">
      <c r="AF108" s="206"/>
      <c r="AG108" s="206"/>
      <c r="AP108" s="206" t="s">
        <v>529</v>
      </c>
      <c r="AQ108" s="230"/>
      <c r="AR108" s="230"/>
      <c r="AS108" s="230"/>
      <c r="AT108" s="230"/>
      <c r="AU108" s="230"/>
      <c r="AV108" s="230"/>
      <c r="AW108" s="230"/>
      <c r="AX108" s="230"/>
      <c r="AY108" s="230"/>
      <c r="AZ108" s="230"/>
      <c r="BA108" s="230"/>
      <c r="BB108" s="230"/>
      <c r="BC108" s="230"/>
      <c r="BD108" s="230"/>
      <c r="BE108" s="230"/>
      <c r="BF108" s="252">
        <f t="shared" si="76"/>
        <v>0</v>
      </c>
      <c r="BJ108" s="206" t="s">
        <v>529</v>
      </c>
      <c r="BK108" s="244"/>
      <c r="BL108" s="244">
        <f>Beneficiation_CoalWaste</f>
        <v>18.493734420766422</v>
      </c>
      <c r="BM108" s="252">
        <f t="shared" si="79"/>
        <v>18.493734420766422</v>
      </c>
    </row>
    <row r="109" spans="32:65" x14ac:dyDescent="0.2">
      <c r="AF109" s="206"/>
      <c r="AG109" s="206"/>
      <c r="AP109" s="204" t="s">
        <v>531</v>
      </c>
      <c r="AQ109" s="230"/>
      <c r="AR109" s="230"/>
      <c r="AS109" s="230"/>
      <c r="AT109" s="230"/>
      <c r="AU109" s="230"/>
      <c r="AV109" s="230"/>
      <c r="AW109" s="230"/>
      <c r="AX109" s="230"/>
      <c r="AY109" s="230"/>
      <c r="AZ109" s="230"/>
      <c r="BA109" s="230"/>
      <c r="BB109" s="230"/>
      <c r="BC109" s="230"/>
      <c r="BD109" s="230"/>
      <c r="BE109" s="230"/>
      <c r="BF109" s="252">
        <f t="shared" si="76"/>
        <v>0</v>
      </c>
      <c r="BJ109" s="204" t="s">
        <v>531</v>
      </c>
      <c r="BK109" s="244"/>
      <c r="BL109" s="244">
        <f>'Ore-&gt;PI'!CV250</f>
        <v>584.3657277440451</v>
      </c>
      <c r="BM109" s="252">
        <f t="shared" si="79"/>
        <v>584.3657277440451</v>
      </c>
    </row>
    <row r="110" spans="32:65" x14ac:dyDescent="0.2">
      <c r="AF110" s="206"/>
      <c r="AG110" s="206"/>
      <c r="AP110" s="206" t="s">
        <v>527</v>
      </c>
      <c r="AQ110" s="230"/>
      <c r="AR110" s="230"/>
      <c r="AS110" s="230"/>
      <c r="AT110" s="230"/>
      <c r="AU110" s="230"/>
      <c r="AV110" s="230"/>
      <c r="AW110" s="230"/>
      <c r="AX110" s="230"/>
      <c r="AY110" s="230"/>
      <c r="AZ110" s="230"/>
      <c r="BA110" s="230"/>
      <c r="BB110" s="230"/>
      <c r="BC110" s="230">
        <f>'Ore-&gt;PI'!$DP$233</f>
        <v>69.582675758133661</v>
      </c>
      <c r="BD110" s="230"/>
      <c r="BE110" s="243"/>
      <c r="BF110" s="252">
        <f t="shared" si="76"/>
        <v>69.582675758133661</v>
      </c>
      <c r="BJ110" s="206" t="s">
        <v>673</v>
      </c>
      <c r="BK110" s="244"/>
      <c r="BL110" s="244"/>
      <c r="BM110" s="252">
        <f t="shared" si="79"/>
        <v>0</v>
      </c>
    </row>
    <row r="111" spans="32:65" x14ac:dyDescent="0.2">
      <c r="AF111" s="206"/>
      <c r="AG111" s="206"/>
      <c r="AP111" s="206" t="s">
        <v>676</v>
      </c>
      <c r="AQ111" s="230"/>
      <c r="AR111" s="230"/>
      <c r="AS111" s="230"/>
      <c r="AT111" s="230"/>
      <c r="AU111" s="230"/>
      <c r="AV111" s="230"/>
      <c r="AW111" s="230"/>
      <c r="AX111" s="230"/>
      <c r="AY111" s="230"/>
      <c r="AZ111" s="230"/>
      <c r="BA111" s="230">
        <f>'Ore-&gt;PI'!$CA$225</f>
        <v>10.437401363720047</v>
      </c>
      <c r="BB111" s="230"/>
      <c r="BC111" s="230"/>
      <c r="BD111" s="230"/>
      <c r="BE111" s="243">
        <f>'Ore-&gt;PI'!$EL$152</f>
        <v>48.707873030693563</v>
      </c>
      <c r="BF111" s="252">
        <f t="shared" si="76"/>
        <v>59.145274394413612</v>
      </c>
      <c r="BJ111" s="206" t="s">
        <v>676</v>
      </c>
      <c r="BK111" s="244">
        <f>'Ore-&gt;PI'!$FF$233</f>
        <v>10.437401363720047</v>
      </c>
      <c r="BL111" s="244"/>
      <c r="BM111" s="252">
        <f t="shared" si="79"/>
        <v>10.437401363720047</v>
      </c>
    </row>
    <row r="112" spans="32:65" x14ac:dyDescent="0.2">
      <c r="AF112" s="206"/>
      <c r="AG112" s="206"/>
      <c r="AP112" s="206" t="s">
        <v>554</v>
      </c>
      <c r="AQ112" s="230"/>
      <c r="AR112" s="230"/>
      <c r="AS112" s="230"/>
      <c r="AT112" s="230"/>
      <c r="AU112" s="230"/>
      <c r="AV112" s="230"/>
      <c r="AW112" s="230"/>
      <c r="AX112" s="230"/>
      <c r="AY112" s="230"/>
      <c r="AZ112" s="230"/>
      <c r="BA112" s="230"/>
      <c r="BB112" s="230"/>
      <c r="BC112" s="230"/>
      <c r="BD112" s="230"/>
      <c r="BE112" s="243">
        <f>'Ore-&gt;PI'!EL126</f>
        <v>1309.8157778632656</v>
      </c>
      <c r="BF112" s="252">
        <f t="shared" si="76"/>
        <v>1309.8157778632656</v>
      </c>
      <c r="BJ112" s="206" t="s">
        <v>554</v>
      </c>
      <c r="BK112" s="244"/>
      <c r="BL112" s="244"/>
      <c r="BM112" s="252">
        <f t="shared" si="79"/>
        <v>0</v>
      </c>
    </row>
    <row r="113" spans="2:65" x14ac:dyDescent="0.2">
      <c r="AF113" s="206"/>
      <c r="AG113" s="206"/>
      <c r="AP113" s="206" t="s">
        <v>555</v>
      </c>
      <c r="AQ113" s="230"/>
      <c r="AR113" s="230"/>
      <c r="AS113" s="230"/>
      <c r="AT113" s="230"/>
      <c r="AU113" s="230"/>
      <c r="AV113" s="230"/>
      <c r="AW113" s="230"/>
      <c r="AX113" s="230"/>
      <c r="AY113" s="230"/>
      <c r="AZ113" s="230"/>
      <c r="BA113" s="230"/>
      <c r="BB113" s="230"/>
      <c r="BC113" s="230"/>
      <c r="BD113" s="230"/>
      <c r="BE113" s="230"/>
      <c r="BF113" s="252">
        <f t="shared" si="76"/>
        <v>0</v>
      </c>
      <c r="BJ113" s="206" t="s">
        <v>555</v>
      </c>
      <c r="BK113" s="244">
        <f>'Ore-&gt;PI'!FL126</f>
        <v>616.23583583508366</v>
      </c>
      <c r="BL113" s="244"/>
      <c r="BM113" s="252">
        <f t="shared" si="79"/>
        <v>616.23583583508366</v>
      </c>
    </row>
    <row r="114" spans="2:65" x14ac:dyDescent="0.2">
      <c r="AF114" s="206"/>
      <c r="AG114" s="206"/>
      <c r="AP114" s="206" t="s">
        <v>556</v>
      </c>
      <c r="AQ114" s="230"/>
      <c r="AR114" s="230"/>
      <c r="AS114" s="230"/>
      <c r="AT114" s="230"/>
      <c r="AU114" s="230"/>
      <c r="AV114" s="230"/>
      <c r="AW114" s="230"/>
      <c r="AX114" s="230"/>
      <c r="AY114" s="230"/>
      <c r="AZ114" s="230"/>
      <c r="BA114" s="230"/>
      <c r="BB114" s="230"/>
      <c r="BC114" s="230"/>
      <c r="BD114" s="230"/>
      <c r="BE114" s="230"/>
      <c r="BF114" s="252">
        <f t="shared" si="76"/>
        <v>0</v>
      </c>
      <c r="BJ114" s="206" t="s">
        <v>556</v>
      </c>
      <c r="BK114" s="244"/>
      <c r="BL114" s="244">
        <f>'Ore-&gt;PI'!FL141</f>
        <v>3432.8541806261665</v>
      </c>
      <c r="BM114" s="252">
        <f t="shared" si="79"/>
        <v>3432.8541806261665</v>
      </c>
    </row>
    <row r="115" spans="2:65" x14ac:dyDescent="0.2">
      <c r="AF115" s="206"/>
      <c r="AG115" s="206"/>
      <c r="AP115" s="206" t="s">
        <v>567</v>
      </c>
      <c r="AQ115" s="230"/>
      <c r="AR115" s="230"/>
      <c r="AS115" s="230"/>
      <c r="AT115" s="230"/>
      <c r="AU115" s="230"/>
      <c r="AV115" s="230"/>
      <c r="AW115" s="230"/>
      <c r="AX115" s="230"/>
      <c r="AY115" s="230"/>
      <c r="AZ115" s="230"/>
      <c r="BA115" s="230"/>
      <c r="BB115" s="230"/>
      <c r="BC115" s="230"/>
      <c r="BD115" s="230"/>
      <c r="BE115" s="230"/>
      <c r="BF115" s="252">
        <f t="shared" si="76"/>
        <v>0</v>
      </c>
      <c r="BJ115" s="206" t="s">
        <v>567</v>
      </c>
      <c r="BK115" s="244"/>
      <c r="BL115" s="244">
        <f>BF_SolidWaste</f>
        <v>229.94813284002646</v>
      </c>
      <c r="BM115" s="252">
        <f t="shared" si="79"/>
        <v>229.94813284002646</v>
      </c>
    </row>
    <row r="116" spans="2:65" x14ac:dyDescent="0.2">
      <c r="AF116" s="206"/>
      <c r="AG116" s="206"/>
      <c r="AP116" s="206"/>
      <c r="AQ116" s="394" t="s">
        <v>418</v>
      </c>
      <c r="AR116" s="394"/>
      <c r="AS116" s="394"/>
      <c r="AT116" s="394"/>
      <c r="AU116" s="394"/>
      <c r="AV116" s="394"/>
      <c r="AW116" s="394"/>
      <c r="AX116" s="394"/>
      <c r="AY116" s="394"/>
      <c r="AZ116" s="394"/>
      <c r="BA116" s="394"/>
      <c r="BB116" s="394"/>
      <c r="BC116" s="394"/>
      <c r="BD116" s="394"/>
      <c r="BE116" s="394"/>
      <c r="BF116" s="25" t="s">
        <v>469</v>
      </c>
      <c r="BK116" s="394" t="s">
        <v>420</v>
      </c>
      <c r="BL116" s="394"/>
      <c r="BM116" s="25" t="s">
        <v>484</v>
      </c>
    </row>
    <row r="117" spans="2:65" x14ac:dyDescent="0.2">
      <c r="AF117" s="206"/>
      <c r="AG117" s="206"/>
      <c r="AP117" s="206"/>
      <c r="AQ117" s="252">
        <f t="shared" ref="AQ117:BE117" si="80">SUM(AQ81:AQ115)</f>
        <v>1043.9873925509492</v>
      </c>
      <c r="AR117" s="252">
        <f t="shared" si="80"/>
        <v>208.65218594918355</v>
      </c>
      <c r="AS117" s="252">
        <f t="shared" si="80"/>
        <v>294.54780251398768</v>
      </c>
      <c r="AT117" s="252">
        <f t="shared" si="80"/>
        <v>1011.7674660019052</v>
      </c>
      <c r="AU117" s="252">
        <f t="shared" si="80"/>
        <v>208.55560337725498</v>
      </c>
      <c r="AV117" s="252">
        <f t="shared" si="80"/>
        <v>286.88405520213911</v>
      </c>
      <c r="AW117" s="252">
        <f t="shared" si="80"/>
        <v>1011.7674660019052</v>
      </c>
      <c r="AX117" s="252">
        <f t="shared" si="80"/>
        <v>208.55560337725498</v>
      </c>
      <c r="AY117" s="252">
        <f t="shared" si="80"/>
        <v>286.88405520213911</v>
      </c>
      <c r="AZ117" s="252">
        <f t="shared" si="80"/>
        <v>22180.060594503899</v>
      </c>
      <c r="BA117" s="252">
        <f t="shared" si="80"/>
        <v>871.24978294618404</v>
      </c>
      <c r="BB117" s="252">
        <f t="shared" si="80"/>
        <v>69.582675758133661</v>
      </c>
      <c r="BC117" s="252">
        <f t="shared" si="80"/>
        <v>69.582675758133661</v>
      </c>
      <c r="BD117" s="252">
        <f t="shared" si="80"/>
        <v>1309.8157778632656</v>
      </c>
      <c r="BE117" s="252">
        <f t="shared" si="80"/>
        <v>4279.0381493012774</v>
      </c>
      <c r="BF117" s="25"/>
      <c r="BK117" s="25"/>
      <c r="BL117" s="25"/>
      <c r="BM117" s="25"/>
    </row>
    <row r="118" spans="2:65" x14ac:dyDescent="0.2">
      <c r="AF118" s="206"/>
      <c r="AG118" s="206"/>
      <c r="AP118" s="206"/>
      <c r="AQ118" s="394" t="s">
        <v>468</v>
      </c>
      <c r="AR118" s="394"/>
      <c r="AS118" s="394"/>
      <c r="AT118" s="394"/>
      <c r="AU118" s="394"/>
      <c r="AV118" s="394"/>
      <c r="AW118" s="394"/>
      <c r="AX118" s="394"/>
      <c r="AY118" s="394"/>
      <c r="AZ118" s="394"/>
      <c r="BA118" s="394"/>
      <c r="BB118" s="394"/>
      <c r="BC118" s="394"/>
      <c r="BD118" s="394"/>
      <c r="BE118" s="394"/>
      <c r="BF118" s="25"/>
      <c r="BK118" s="25"/>
      <c r="BL118" s="25"/>
      <c r="BM118" s="25"/>
    </row>
    <row r="119" spans="2:65" ht="13" customHeight="1" x14ac:dyDescent="0.2">
      <c r="C119" s="395"/>
      <c r="D119" s="395"/>
      <c r="E119" s="233"/>
      <c r="F119" s="233"/>
      <c r="G119" s="233"/>
      <c r="H119" s="233"/>
      <c r="I119" s="233"/>
      <c r="J119" s="233"/>
      <c r="K119" s="233"/>
      <c r="L119" s="233"/>
      <c r="M119" s="233"/>
      <c r="N119" s="233"/>
      <c r="O119" s="233"/>
      <c r="P119" s="233"/>
      <c r="Q119" s="233"/>
      <c r="R119" s="233"/>
      <c r="S119" s="233"/>
      <c r="T119" s="233"/>
      <c r="U119" s="233"/>
      <c r="V119" s="233"/>
      <c r="W119" s="233"/>
      <c r="X119" s="233"/>
      <c r="Y119" s="233"/>
      <c r="Z119" s="233"/>
      <c r="AA119" s="233"/>
      <c r="AB119" s="233"/>
      <c r="AC119" s="233"/>
      <c r="AD119" s="233"/>
      <c r="AE119" s="233"/>
      <c r="AF119" s="206"/>
      <c r="AG119" s="206"/>
      <c r="AH119" s="233"/>
      <c r="AI119" s="233"/>
      <c r="AJ119" s="233"/>
      <c r="AK119" s="233"/>
      <c r="AL119" s="233"/>
      <c r="AM119" s="233"/>
      <c r="AN119" s="233"/>
      <c r="AP119" s="206"/>
      <c r="BK119" s="25"/>
      <c r="BL119" s="25"/>
      <c r="BM119" s="25"/>
    </row>
    <row r="120" spans="2:65" ht="236" x14ac:dyDescent="0.2">
      <c r="B120" s="240"/>
      <c r="C120" s="207" t="s">
        <v>423</v>
      </c>
      <c r="D120" s="207" t="s">
        <v>425</v>
      </c>
      <c r="E120" s="207" t="s">
        <v>426</v>
      </c>
      <c r="F120" s="207" t="s">
        <v>447</v>
      </c>
      <c r="G120" s="207" t="s">
        <v>477</v>
      </c>
      <c r="H120" s="207" t="s">
        <v>515</v>
      </c>
      <c r="I120" s="207" t="s">
        <v>576</v>
      </c>
      <c r="J120" s="207" t="s">
        <v>577</v>
      </c>
      <c r="K120" s="207" t="s">
        <v>569</v>
      </c>
      <c r="L120" s="209" t="s">
        <v>551</v>
      </c>
      <c r="M120" s="207" t="s">
        <v>517</v>
      </c>
      <c r="N120" s="209" t="s">
        <v>520</v>
      </c>
      <c r="O120" s="207" t="s">
        <v>546</v>
      </c>
      <c r="P120" s="210" t="s">
        <v>538</v>
      </c>
      <c r="Q120" s="207" t="s">
        <v>524</v>
      </c>
      <c r="R120" s="209" t="s">
        <v>550</v>
      </c>
      <c r="S120" s="209" t="s">
        <v>545</v>
      </c>
      <c r="T120" s="209" t="s">
        <v>542</v>
      </c>
      <c r="U120" s="209" t="s">
        <v>548</v>
      </c>
      <c r="V120" s="210" t="s">
        <v>547</v>
      </c>
      <c r="W120" s="210" t="s">
        <v>532</v>
      </c>
      <c r="X120" s="210" t="s">
        <v>566</v>
      </c>
      <c r="Y120" s="210" t="s">
        <v>533</v>
      </c>
      <c r="Z120" s="210" t="s">
        <v>535</v>
      </c>
      <c r="AA120" s="210" t="s">
        <v>534</v>
      </c>
      <c r="AB120" s="210" t="s">
        <v>632</v>
      </c>
      <c r="AC120" s="232" t="s">
        <v>530</v>
      </c>
      <c r="AD120" s="210" t="s">
        <v>529</v>
      </c>
      <c r="AE120" s="207" t="s">
        <v>531</v>
      </c>
      <c r="AF120" s="210" t="s">
        <v>673</v>
      </c>
      <c r="AG120" s="210" t="s">
        <v>676</v>
      </c>
      <c r="AH120" s="210" t="s">
        <v>554</v>
      </c>
      <c r="AI120" s="210" t="s">
        <v>555</v>
      </c>
      <c r="AJ120" s="210" t="s">
        <v>556</v>
      </c>
      <c r="AK120" s="210" t="s">
        <v>567</v>
      </c>
      <c r="AP120" s="206"/>
      <c r="BK120" s="25"/>
      <c r="BL120" s="25"/>
    </row>
    <row r="121" spans="2:65" x14ac:dyDescent="0.2">
      <c r="B121" s="204" t="s">
        <v>415</v>
      </c>
      <c r="C121" s="230"/>
      <c r="D121" s="230"/>
      <c r="E121" s="230"/>
      <c r="F121" s="230"/>
      <c r="G121" s="230"/>
      <c r="H121" s="230"/>
      <c r="I121" s="230"/>
      <c r="J121" s="230"/>
      <c r="K121" s="230"/>
      <c r="L121" s="230">
        <f>'Ore-&gt;PI'!U42</f>
        <v>1011.7674660019052</v>
      </c>
      <c r="M121" s="230">
        <f>'Ore-&gt;PI'!$AN$63</f>
        <v>32.219926549044033</v>
      </c>
      <c r="N121" s="230"/>
      <c r="O121" s="230"/>
      <c r="P121" s="230"/>
      <c r="Q121" s="230"/>
      <c r="R121" s="230"/>
      <c r="S121" s="230"/>
      <c r="T121" s="230"/>
      <c r="U121" s="230"/>
      <c r="V121" s="230"/>
      <c r="W121" s="230"/>
      <c r="X121" s="230"/>
      <c r="Y121" s="230"/>
      <c r="Z121" s="230"/>
      <c r="AA121" s="230"/>
      <c r="AB121" s="230"/>
      <c r="AC121" s="230"/>
      <c r="AD121" s="230"/>
      <c r="AE121" s="230"/>
      <c r="AF121" s="230"/>
      <c r="AG121" s="230"/>
      <c r="AH121" s="230"/>
      <c r="AI121" s="230"/>
      <c r="AJ121" s="230"/>
      <c r="AK121" s="230"/>
      <c r="AL121" s="252">
        <f>SUM(C121:AK121)</f>
        <v>1043.9873925509492</v>
      </c>
      <c r="BK121" s="25"/>
      <c r="BL121" s="25"/>
    </row>
    <row r="122" spans="2:65" x14ac:dyDescent="0.2">
      <c r="B122" s="204" t="s">
        <v>416</v>
      </c>
      <c r="C122" s="230"/>
      <c r="D122" s="230"/>
      <c r="E122" s="230"/>
      <c r="F122" s="230"/>
      <c r="G122" s="230"/>
      <c r="H122" s="230"/>
      <c r="I122" s="230"/>
      <c r="J122" s="230"/>
      <c r="K122" s="230"/>
      <c r="L122" s="230"/>
      <c r="M122" s="230"/>
      <c r="N122" s="230">
        <f>'Ore-&gt;PI'!AO126</f>
        <v>208.55560337725498</v>
      </c>
      <c r="O122" s="230">
        <f>'Ore-&gt;PI'!$AO$142</f>
        <v>9.658257192857822E-2</v>
      </c>
      <c r="P122" s="230"/>
      <c r="Q122" s="230"/>
      <c r="R122" s="230"/>
      <c r="S122" s="230"/>
      <c r="T122" s="230"/>
      <c r="U122" s="230"/>
      <c r="V122" s="230"/>
      <c r="W122" s="230"/>
      <c r="X122" s="230"/>
      <c r="Y122" s="230"/>
      <c r="Z122" s="230"/>
      <c r="AA122" s="230"/>
      <c r="AB122" s="230"/>
      <c r="AC122" s="230"/>
      <c r="AD122" s="230"/>
      <c r="AE122" s="230"/>
      <c r="AF122" s="230"/>
      <c r="AG122" s="230"/>
      <c r="AH122" s="230"/>
      <c r="AI122" s="230"/>
      <c r="AJ122" s="230"/>
      <c r="AK122" s="230"/>
      <c r="AL122" s="252">
        <f>SUM(C122:AK122)</f>
        <v>208.65218594918355</v>
      </c>
    </row>
    <row r="123" spans="2:65" x14ac:dyDescent="0.2">
      <c r="B123" s="204" t="s">
        <v>417</v>
      </c>
      <c r="C123" s="230"/>
      <c r="D123" s="230"/>
      <c r="E123" s="230"/>
      <c r="F123" s="230"/>
      <c r="G123" s="230"/>
      <c r="H123" s="230"/>
      <c r="I123" s="230"/>
      <c r="J123" s="230"/>
      <c r="K123" s="230"/>
      <c r="L123" s="230"/>
      <c r="M123" s="230"/>
      <c r="N123" s="230"/>
      <c r="O123" s="230"/>
      <c r="P123" s="230">
        <f>'Ore-&gt;PI'!$AO$206</f>
        <v>286.88405520213911</v>
      </c>
      <c r="Q123" s="230">
        <f>'Ore-&gt;PI'!$AO$227</f>
        <v>7.6637473118485584</v>
      </c>
      <c r="R123" s="230"/>
      <c r="S123" s="230"/>
      <c r="T123" s="230"/>
      <c r="U123" s="230"/>
      <c r="V123" s="230"/>
      <c r="W123" s="230"/>
      <c r="X123" s="230"/>
      <c r="Y123" s="230"/>
      <c r="Z123" s="230"/>
      <c r="AA123" s="230"/>
      <c r="AB123" s="230"/>
      <c r="AC123" s="230"/>
      <c r="AD123" s="230"/>
      <c r="AE123" s="230"/>
      <c r="AF123" s="230"/>
      <c r="AG123" s="230"/>
      <c r="AH123" s="230"/>
      <c r="AI123" s="230"/>
      <c r="AJ123" s="230"/>
      <c r="AK123" s="230"/>
      <c r="AL123" s="252">
        <f t="shared" ref="AL123:AL135" si="81">SUM(C123:AK123)</f>
        <v>294.54780251398768</v>
      </c>
    </row>
    <row r="124" spans="2:65" x14ac:dyDescent="0.2">
      <c r="B124" s="204" t="s">
        <v>565</v>
      </c>
      <c r="C124" s="230"/>
      <c r="D124" s="230"/>
      <c r="E124" s="230"/>
      <c r="F124" s="230"/>
      <c r="G124" s="230"/>
      <c r="H124" s="230"/>
      <c r="I124" s="230"/>
      <c r="J124" s="230"/>
      <c r="K124" s="230"/>
      <c r="L124" s="230"/>
      <c r="M124" s="230"/>
      <c r="N124" s="230"/>
      <c r="O124" s="230"/>
      <c r="P124" s="230"/>
      <c r="Q124" s="230"/>
      <c r="R124" s="230">
        <f>'Ore-&gt;PI'!$BG$42</f>
        <v>1011.7674660019052</v>
      </c>
      <c r="S124" s="230"/>
      <c r="T124" s="230"/>
      <c r="U124" s="230"/>
      <c r="V124" s="230"/>
      <c r="W124" s="230"/>
      <c r="X124" s="230"/>
      <c r="Y124" s="230"/>
      <c r="Z124" s="230"/>
      <c r="AA124" s="230"/>
      <c r="AB124" s="230"/>
      <c r="AC124" s="230"/>
      <c r="AD124" s="230"/>
      <c r="AE124" s="230"/>
      <c r="AF124" s="230"/>
      <c r="AG124" s="230"/>
      <c r="AH124" s="230"/>
      <c r="AI124" s="230"/>
      <c r="AJ124" s="230"/>
      <c r="AK124" s="230"/>
      <c r="AL124" s="252">
        <f t="shared" si="81"/>
        <v>1011.7674660019052</v>
      </c>
    </row>
    <row r="125" spans="2:65" x14ac:dyDescent="0.2">
      <c r="B125" s="204" t="s">
        <v>544</v>
      </c>
      <c r="C125" s="230"/>
      <c r="D125" s="230"/>
      <c r="E125" s="230"/>
      <c r="F125" s="230"/>
      <c r="G125" s="230"/>
      <c r="H125" s="230"/>
      <c r="I125" s="230"/>
      <c r="J125" s="230"/>
      <c r="K125" s="230"/>
      <c r="L125" s="230"/>
      <c r="M125" s="230"/>
      <c r="N125" s="230"/>
      <c r="O125" s="230"/>
      <c r="P125" s="230"/>
      <c r="Q125" s="230"/>
      <c r="R125" s="230"/>
      <c r="S125" s="230">
        <f>'Ore-&gt;PI'!$BH$126</f>
        <v>208.55560337725498</v>
      </c>
      <c r="T125" s="230"/>
      <c r="U125" s="230"/>
      <c r="V125" s="230"/>
      <c r="W125" s="230"/>
      <c r="X125" s="230"/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0"/>
      <c r="AI125" s="230"/>
      <c r="AJ125" s="230"/>
      <c r="AK125" s="230"/>
      <c r="AL125" s="252">
        <f t="shared" si="81"/>
        <v>208.55560337725498</v>
      </c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K125" s="25"/>
      <c r="BL125" s="25"/>
    </row>
    <row r="126" spans="2:65" x14ac:dyDescent="0.2">
      <c r="B126" s="204" t="s">
        <v>543</v>
      </c>
      <c r="C126" s="230"/>
      <c r="D126" s="230"/>
      <c r="E126" s="230"/>
      <c r="F126" s="230"/>
      <c r="G126" s="230"/>
      <c r="H126" s="230"/>
      <c r="I126" s="230"/>
      <c r="J126" s="230"/>
      <c r="K126" s="230"/>
      <c r="L126" s="230"/>
      <c r="M126" s="230"/>
      <c r="N126" s="230"/>
      <c r="O126" s="230"/>
      <c r="P126" s="230"/>
      <c r="Q126" s="230"/>
      <c r="R126" s="230"/>
      <c r="S126" s="230"/>
      <c r="T126" s="230">
        <f>'Ore-&gt;PI'!$BH$206</f>
        <v>286.88405520213911</v>
      </c>
      <c r="U126" s="230"/>
      <c r="V126" s="230"/>
      <c r="W126" s="230"/>
      <c r="X126" s="230"/>
      <c r="Y126" s="230"/>
      <c r="Z126" s="230"/>
      <c r="AA126" s="230"/>
      <c r="AB126" s="230"/>
      <c r="AC126" s="230"/>
      <c r="AD126" s="230"/>
      <c r="AE126" s="230"/>
      <c r="AF126" s="230"/>
      <c r="AG126" s="230"/>
      <c r="AH126" s="230"/>
      <c r="AI126" s="230"/>
      <c r="AJ126" s="230"/>
      <c r="AK126" s="230"/>
      <c r="AL126" s="252">
        <f t="shared" si="81"/>
        <v>286.88405520213911</v>
      </c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K126" s="25"/>
      <c r="BL126" s="25"/>
    </row>
    <row r="127" spans="2:65" x14ac:dyDescent="0.2">
      <c r="B127" s="204" t="s">
        <v>443</v>
      </c>
      <c r="C127" s="230"/>
      <c r="D127" s="230"/>
      <c r="E127" s="230"/>
      <c r="F127" s="230"/>
      <c r="G127" s="230"/>
      <c r="H127" s="230"/>
      <c r="I127" s="230"/>
      <c r="J127" s="230"/>
      <c r="K127" s="230"/>
      <c r="L127" s="230"/>
      <c r="M127" s="230"/>
      <c r="N127" s="230"/>
      <c r="O127" s="230"/>
      <c r="P127" s="230"/>
      <c r="Q127" s="230"/>
      <c r="R127" s="230"/>
      <c r="S127" s="230"/>
      <c r="T127" s="230"/>
      <c r="U127" s="230">
        <f>'Ore-&gt;PI'!$BZ$42</f>
        <v>1000.0000000000001</v>
      </c>
      <c r="V127" s="230">
        <f>Beneficiation_Iron_waste</f>
        <v>11.767466001905108</v>
      </c>
      <c r="W127" s="230"/>
      <c r="X127" s="230"/>
      <c r="Y127" s="230"/>
      <c r="Z127" s="230"/>
      <c r="AA127" s="230"/>
      <c r="AB127" s="230"/>
      <c r="AC127" s="230"/>
      <c r="AD127" s="230"/>
      <c r="AE127" s="230"/>
      <c r="AF127" s="230"/>
      <c r="AG127" s="230"/>
      <c r="AH127" s="230"/>
      <c r="AI127" s="230"/>
      <c r="AJ127" s="230"/>
      <c r="AK127" s="230"/>
      <c r="AL127" s="252">
        <f t="shared" si="81"/>
        <v>1011.7674660019052</v>
      </c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K127" s="25"/>
      <c r="BL127" s="25"/>
    </row>
    <row r="128" spans="2:65" x14ac:dyDescent="0.2">
      <c r="B128" s="204" t="s">
        <v>440</v>
      </c>
      <c r="C128" s="230"/>
      <c r="D128" s="230"/>
      <c r="E128" s="230"/>
      <c r="F128" s="230"/>
      <c r="G128" s="230"/>
      <c r="H128" s="230"/>
      <c r="I128" s="230"/>
      <c r="J128" s="230"/>
      <c r="K128" s="230"/>
      <c r="L128" s="230"/>
      <c r="M128" s="230"/>
      <c r="N128" s="230"/>
      <c r="O128" s="230"/>
      <c r="P128" s="230"/>
      <c r="Q128" s="230"/>
      <c r="R128" s="230"/>
      <c r="S128" s="230"/>
      <c r="T128" s="230"/>
      <c r="U128" s="230"/>
      <c r="V128" s="230"/>
      <c r="W128" s="230">
        <f>'Ore-&gt;PI'!$CA$126</f>
        <v>208.55560337725498</v>
      </c>
      <c r="X128" s="230"/>
      <c r="Y128" s="230"/>
      <c r="Z128" s="230"/>
      <c r="AA128" s="230"/>
      <c r="AB128" s="230"/>
      <c r="AC128" s="230"/>
      <c r="AD128" s="230"/>
      <c r="AE128" s="230"/>
      <c r="AF128" s="230"/>
      <c r="AG128" s="230"/>
      <c r="AH128" s="230"/>
      <c r="AI128" s="230"/>
      <c r="AJ128" s="230"/>
      <c r="AK128" s="230"/>
      <c r="AL128" s="252">
        <f t="shared" si="81"/>
        <v>208.55560337725498</v>
      </c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K128" s="25"/>
      <c r="BL128" s="25"/>
    </row>
    <row r="129" spans="2:64" x14ac:dyDescent="0.2">
      <c r="B129" s="204" t="s">
        <v>458</v>
      </c>
      <c r="C129" s="230"/>
      <c r="D129" s="230"/>
      <c r="E129" s="230"/>
      <c r="F129" s="230"/>
      <c r="G129" s="230"/>
      <c r="H129" s="230"/>
      <c r="I129" s="230"/>
      <c r="J129" s="230"/>
      <c r="K129" s="230"/>
      <c r="L129" s="230"/>
      <c r="M129" s="230"/>
      <c r="N129" s="230"/>
      <c r="O129" s="230"/>
      <c r="P129" s="230"/>
      <c r="Q129" s="230"/>
      <c r="R129" s="230"/>
      <c r="S129" s="230"/>
      <c r="T129" s="230"/>
      <c r="U129" s="230"/>
      <c r="V129" s="230"/>
      <c r="W129" s="230"/>
      <c r="X129" s="230">
        <f>'Ore-&gt;PI'!$CA$206</f>
        <v>286.88405520213911</v>
      </c>
      <c r="Y129" s="230"/>
      <c r="Z129" s="230"/>
      <c r="AA129" s="230"/>
      <c r="AB129" s="230"/>
      <c r="AC129" s="230"/>
      <c r="AD129" s="230"/>
      <c r="AE129" s="230"/>
      <c r="AF129" s="230"/>
      <c r="AG129" s="230"/>
      <c r="AH129" s="230"/>
      <c r="AI129" s="230"/>
      <c r="AJ129" s="230"/>
      <c r="AK129" s="230"/>
      <c r="AL129" s="252">
        <f t="shared" si="81"/>
        <v>286.88405520213911</v>
      </c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K129" s="25"/>
      <c r="BL129" s="25"/>
    </row>
    <row r="130" spans="2:64" x14ac:dyDescent="0.2">
      <c r="B130" s="204" t="s">
        <v>441</v>
      </c>
      <c r="C130" s="230"/>
      <c r="D130" s="230"/>
      <c r="E130" s="230"/>
      <c r="F130" s="230"/>
      <c r="G130" s="230"/>
      <c r="H130" s="230"/>
      <c r="I130" s="230"/>
      <c r="J130" s="230"/>
      <c r="K130" s="230"/>
      <c r="L130" s="230"/>
      <c r="M130" s="230"/>
      <c r="N130" s="230"/>
      <c r="O130" s="230"/>
      <c r="P130" s="230"/>
      <c r="Q130" s="230"/>
      <c r="R130" s="230"/>
      <c r="S130" s="230"/>
      <c r="T130" s="230"/>
      <c r="U130" s="230"/>
      <c r="V130" s="230"/>
      <c r="W130" s="230"/>
      <c r="X130" s="230"/>
      <c r="Y130" s="230">
        <f>'Ore-&gt;PI'!$CV$126</f>
        <v>111.00813284002646</v>
      </c>
      <c r="Z130" s="230">
        <f>Kiln_SolidWaste</f>
        <v>4.9847525450981189</v>
      </c>
      <c r="AA130" s="230">
        <f>'Ore-&gt;PI'!$CV$138</f>
        <v>22064.067709118775</v>
      </c>
      <c r="AB130" s="230"/>
      <c r="AC130" s="230"/>
      <c r="AD130" s="230"/>
      <c r="AE130" s="230"/>
      <c r="AF130" s="230"/>
      <c r="AG130" s="230"/>
      <c r="AH130" s="230"/>
      <c r="AI130" s="230"/>
      <c r="AJ130" s="230"/>
      <c r="AK130" s="230"/>
      <c r="AL130" s="252">
        <f t="shared" si="81"/>
        <v>22180.060594503899</v>
      </c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K130" s="25"/>
      <c r="BL130" s="25"/>
    </row>
    <row r="131" spans="2:64" x14ac:dyDescent="0.2">
      <c r="B131" s="204" t="s">
        <v>436</v>
      </c>
      <c r="C131" s="230"/>
      <c r="D131" s="230"/>
      <c r="E131" s="230"/>
      <c r="F131" s="230"/>
      <c r="G131" s="230"/>
      <c r="H131" s="230"/>
      <c r="I131" s="230"/>
      <c r="J131" s="230"/>
      <c r="K131" s="230"/>
      <c r="L131" s="230"/>
      <c r="M131" s="230"/>
      <c r="N131" s="230"/>
      <c r="O131" s="230"/>
      <c r="P131" s="230"/>
      <c r="Q131" s="230"/>
      <c r="R131" s="230"/>
      <c r="S131" s="230"/>
      <c r="T131" s="230"/>
      <c r="U131" s="230"/>
      <c r="V131" s="230"/>
      <c r="W131" s="230"/>
      <c r="X131" s="230"/>
      <c r="Y131" s="230"/>
      <c r="Z131" s="230"/>
      <c r="AA131" s="230"/>
      <c r="AB131" s="230">
        <f>'Ore-&gt;PI'!$CV$206</f>
        <v>198.80764502323905</v>
      </c>
      <c r="AC131" s="230">
        <f>'Ore-&gt;PI'!$CV$233</f>
        <v>69.582675758133661</v>
      </c>
      <c r="AD131" s="230">
        <f>Beneficiation_CoalWaste</f>
        <v>18.493734420766422</v>
      </c>
      <c r="AE131" s="230">
        <f>'Ore-&gt;PI'!$CV$250</f>
        <v>584.3657277440451</v>
      </c>
      <c r="AF131" s="230"/>
      <c r="AG131" s="230"/>
      <c r="AH131" s="230"/>
      <c r="AI131" s="230"/>
      <c r="AJ131" s="230"/>
      <c r="AK131" s="230"/>
      <c r="AL131" s="252">
        <f t="shared" si="81"/>
        <v>871.24978294618427</v>
      </c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K131" s="25"/>
      <c r="BL131" s="25"/>
    </row>
    <row r="132" spans="2:64" x14ac:dyDescent="0.2">
      <c r="B132" s="204" t="s">
        <v>672</v>
      </c>
      <c r="C132" s="230"/>
      <c r="D132" s="230"/>
      <c r="E132" s="230"/>
      <c r="F132" s="230"/>
      <c r="G132" s="230"/>
      <c r="H132" s="230"/>
      <c r="I132" s="230"/>
      <c r="J132" s="230"/>
      <c r="K132" s="230"/>
      <c r="L132" s="230"/>
      <c r="M132" s="230"/>
      <c r="N132" s="230"/>
      <c r="O132" s="230"/>
      <c r="P132" s="230"/>
      <c r="Q132" s="230"/>
      <c r="R132" s="230"/>
      <c r="S132" s="230"/>
      <c r="T132" s="230"/>
      <c r="U132" s="230"/>
      <c r="V132" s="230"/>
      <c r="W132" s="230"/>
      <c r="X132" s="230"/>
      <c r="Y132" s="230"/>
      <c r="Z132" s="230"/>
      <c r="AA132" s="230"/>
      <c r="AB132" s="230"/>
      <c r="AC132" s="230"/>
      <c r="AD132" s="230"/>
      <c r="AE132" s="230"/>
      <c r="AF132" s="230">
        <f>'Ore-&gt;PI'!$DP$233</f>
        <v>69.582675758133661</v>
      </c>
      <c r="AG132" s="230"/>
      <c r="AH132" s="230"/>
      <c r="AI132" s="230"/>
      <c r="AJ132" s="230"/>
      <c r="AK132" s="230"/>
      <c r="AL132" s="252">
        <f t="shared" si="81"/>
        <v>69.582675758133661</v>
      </c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K132" s="25"/>
      <c r="BL132" s="25"/>
    </row>
    <row r="133" spans="2:64" x14ac:dyDescent="0.2">
      <c r="B133" s="204" t="s">
        <v>675</v>
      </c>
      <c r="C133" s="230"/>
      <c r="D133" s="230"/>
      <c r="E133" s="230"/>
      <c r="F133" s="230"/>
      <c r="G133" s="230"/>
      <c r="H133" s="230"/>
      <c r="I133" s="230"/>
      <c r="J133" s="230"/>
      <c r="K133" s="230"/>
      <c r="L133" s="230"/>
      <c r="M133" s="230"/>
      <c r="N133" s="230"/>
      <c r="O133" s="230"/>
      <c r="P133" s="230"/>
      <c r="Q133" s="230"/>
      <c r="R133" s="230"/>
      <c r="S133" s="230"/>
      <c r="T133" s="230"/>
      <c r="U133" s="230"/>
      <c r="V133" s="230"/>
      <c r="W133" s="230"/>
      <c r="X133" s="230"/>
      <c r="Y133" s="230"/>
      <c r="Z133" s="230"/>
      <c r="AA133" s="230"/>
      <c r="AB133" s="230"/>
      <c r="AC133" s="230"/>
      <c r="AD133" s="230"/>
      <c r="AE133" s="230"/>
      <c r="AF133" s="230"/>
      <c r="AG133" s="230">
        <f>'Ore-&gt;PI'!$EK$233</f>
        <v>69.582675758133661</v>
      </c>
      <c r="AH133" s="230"/>
      <c r="AI133" s="230"/>
      <c r="AJ133" s="230"/>
      <c r="AK133" s="230"/>
      <c r="AL133" s="252">
        <f t="shared" si="81"/>
        <v>69.582675758133661</v>
      </c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K133" s="25"/>
      <c r="BL133" s="25"/>
    </row>
    <row r="134" spans="2:64" x14ac:dyDescent="0.2">
      <c r="B134" s="204" t="s">
        <v>81</v>
      </c>
      <c r="C134" s="230"/>
      <c r="D134" s="230"/>
      <c r="E134" s="230"/>
      <c r="F134" s="230"/>
      <c r="G134" s="230"/>
      <c r="H134" s="230"/>
      <c r="I134" s="230"/>
      <c r="J134" s="230"/>
      <c r="K134" s="230"/>
      <c r="L134" s="230"/>
      <c r="M134" s="230"/>
      <c r="N134" s="230"/>
      <c r="O134" s="230"/>
      <c r="P134" s="230"/>
      <c r="Q134" s="230"/>
      <c r="R134" s="230"/>
      <c r="S134" s="230"/>
      <c r="T134" s="230"/>
      <c r="U134" s="230"/>
      <c r="V134" s="230"/>
      <c r="W134" s="230"/>
      <c r="X134" s="230"/>
      <c r="Y134" s="230"/>
      <c r="Z134" s="230"/>
      <c r="AA134" s="230"/>
      <c r="AB134" s="230"/>
      <c r="AC134" s="230"/>
      <c r="AD134" s="230"/>
      <c r="AE134" s="243"/>
      <c r="AF134" s="230"/>
      <c r="AG134" s="230"/>
      <c r="AH134" s="243">
        <f>'Ore-&gt;PI'!$EL$126</f>
        <v>1309.8157778632656</v>
      </c>
      <c r="AI134" s="230"/>
      <c r="AJ134" s="230"/>
      <c r="AK134" s="230"/>
      <c r="AL134" s="252">
        <f t="shared" si="81"/>
        <v>1309.8157778632656</v>
      </c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K134" s="25"/>
      <c r="BL134" s="25"/>
    </row>
    <row r="135" spans="2:64" x14ac:dyDescent="0.2">
      <c r="B135" s="204" t="s">
        <v>427</v>
      </c>
      <c r="C135" s="230"/>
      <c r="D135" s="230"/>
      <c r="E135" s="230"/>
      <c r="F135" s="243"/>
      <c r="G135" s="230"/>
      <c r="H135" s="230"/>
      <c r="I135" s="230"/>
      <c r="J135" s="230"/>
      <c r="K135" s="230"/>
      <c r="L135" s="230"/>
      <c r="M135" s="230"/>
      <c r="N135" s="230"/>
      <c r="O135" s="230"/>
      <c r="P135" s="230"/>
      <c r="Q135" s="230"/>
      <c r="R135" s="230"/>
      <c r="S135" s="230"/>
      <c r="T135" s="230"/>
      <c r="U135" s="230"/>
      <c r="V135" s="230"/>
      <c r="W135" s="230"/>
      <c r="X135" s="230"/>
      <c r="Y135" s="230"/>
      <c r="Z135" s="230"/>
      <c r="AA135" s="247"/>
      <c r="AB135" s="230"/>
      <c r="AC135" s="230"/>
      <c r="AD135" s="230"/>
      <c r="AE135" s="230"/>
      <c r="AF135" s="230"/>
      <c r="AG135" s="230"/>
      <c r="AH135" s="230"/>
      <c r="AI135" s="230">
        <f>'Ore-&gt;PI'!$FL$126</f>
        <v>616.23583583508366</v>
      </c>
      <c r="AJ135" s="230">
        <f>'Ore-&gt;PI'!$FL$141</f>
        <v>3432.8541806261665</v>
      </c>
      <c r="AK135" s="230">
        <f>BF_SolidWaste</f>
        <v>229.94813284002646</v>
      </c>
      <c r="AL135" s="252">
        <f t="shared" si="81"/>
        <v>4279.0381493012765</v>
      </c>
    </row>
    <row r="136" spans="2:64" x14ac:dyDescent="0.2">
      <c r="B136" s="204"/>
      <c r="C136" s="394" t="s">
        <v>419</v>
      </c>
      <c r="D136" s="394"/>
      <c r="E136" s="394"/>
      <c r="F136" s="394"/>
      <c r="G136" s="394"/>
      <c r="H136" s="394"/>
      <c r="I136" s="394"/>
      <c r="J136" s="394"/>
      <c r="K136" s="394"/>
      <c r="L136" s="394"/>
      <c r="M136" s="394"/>
      <c r="N136" s="394"/>
      <c r="O136" s="394"/>
      <c r="P136" s="394"/>
      <c r="Q136" s="394"/>
      <c r="R136" s="394"/>
      <c r="S136" s="394"/>
      <c r="T136" s="394"/>
      <c r="U136" s="394"/>
      <c r="V136" s="394"/>
      <c r="W136" s="394"/>
      <c r="X136" s="394"/>
      <c r="Y136" s="394"/>
      <c r="Z136" s="394"/>
      <c r="AA136" s="394"/>
      <c r="AB136" s="394"/>
      <c r="AC136" s="394"/>
      <c r="AD136" s="394"/>
      <c r="AE136" s="394"/>
      <c r="AF136" s="394"/>
      <c r="AG136" s="394"/>
      <c r="AH136" s="394"/>
      <c r="AI136" s="394"/>
      <c r="AJ136" s="394"/>
      <c r="AK136" s="394"/>
      <c r="AL136" s="25" t="s">
        <v>465</v>
      </c>
      <c r="AM136" s="25"/>
    </row>
    <row r="137" spans="2:64" x14ac:dyDescent="0.2">
      <c r="B137" s="204"/>
      <c r="C137" s="252">
        <f t="shared" ref="C137:AK137" si="82">SUM(C121:C135)</f>
        <v>0</v>
      </c>
      <c r="D137" s="252">
        <f t="shared" si="82"/>
        <v>0</v>
      </c>
      <c r="E137" s="252">
        <f t="shared" si="82"/>
        <v>0</v>
      </c>
      <c r="F137" s="252">
        <f t="shared" si="82"/>
        <v>0</v>
      </c>
      <c r="G137" s="252">
        <f t="shared" si="82"/>
        <v>0</v>
      </c>
      <c r="H137" s="252">
        <f t="shared" si="82"/>
        <v>0</v>
      </c>
      <c r="I137" s="252">
        <f t="shared" si="82"/>
        <v>0</v>
      </c>
      <c r="J137" s="252">
        <f t="shared" si="82"/>
        <v>0</v>
      </c>
      <c r="K137" s="252">
        <f t="shared" si="82"/>
        <v>0</v>
      </c>
      <c r="L137" s="252">
        <f t="shared" si="82"/>
        <v>1011.7674660019052</v>
      </c>
      <c r="M137" s="252">
        <f t="shared" si="82"/>
        <v>32.219926549044033</v>
      </c>
      <c r="N137" s="252">
        <f t="shared" si="82"/>
        <v>208.55560337725498</v>
      </c>
      <c r="O137" s="252">
        <f t="shared" si="82"/>
        <v>9.658257192857822E-2</v>
      </c>
      <c r="P137" s="252">
        <f t="shared" si="82"/>
        <v>286.88405520213911</v>
      </c>
      <c r="Q137" s="252">
        <f t="shared" si="82"/>
        <v>7.6637473118485584</v>
      </c>
      <c r="R137" s="252">
        <f t="shared" si="82"/>
        <v>1011.7674660019052</v>
      </c>
      <c r="S137" s="252">
        <f t="shared" si="82"/>
        <v>208.55560337725498</v>
      </c>
      <c r="T137" s="252">
        <f t="shared" si="82"/>
        <v>286.88405520213911</v>
      </c>
      <c r="U137" s="252">
        <f t="shared" si="82"/>
        <v>1000.0000000000001</v>
      </c>
      <c r="V137" s="252">
        <f t="shared" si="82"/>
        <v>11.767466001905108</v>
      </c>
      <c r="W137" s="252">
        <f t="shared" si="82"/>
        <v>208.55560337725498</v>
      </c>
      <c r="X137" s="252">
        <f t="shared" si="82"/>
        <v>286.88405520213911</v>
      </c>
      <c r="Y137" s="252">
        <f t="shared" si="82"/>
        <v>111.00813284002646</v>
      </c>
      <c r="Z137" s="252">
        <f t="shared" si="82"/>
        <v>4.9847525450981189</v>
      </c>
      <c r="AA137" s="252">
        <f t="shared" si="82"/>
        <v>22064.067709118775</v>
      </c>
      <c r="AB137" s="252">
        <f t="shared" si="82"/>
        <v>198.80764502323905</v>
      </c>
      <c r="AC137" s="252">
        <f t="shared" si="82"/>
        <v>69.582675758133661</v>
      </c>
      <c r="AD137" s="252">
        <f t="shared" si="82"/>
        <v>18.493734420766422</v>
      </c>
      <c r="AE137" s="252">
        <f t="shared" si="82"/>
        <v>584.3657277440451</v>
      </c>
      <c r="AF137" s="252">
        <f t="shared" si="82"/>
        <v>69.582675758133661</v>
      </c>
      <c r="AG137" s="252">
        <f t="shared" si="82"/>
        <v>69.582675758133661</v>
      </c>
      <c r="AH137" s="252">
        <f t="shared" si="82"/>
        <v>1309.8157778632656</v>
      </c>
      <c r="AI137" s="252">
        <f t="shared" si="82"/>
        <v>616.23583583508366</v>
      </c>
      <c r="AJ137" s="252">
        <f t="shared" si="82"/>
        <v>3432.8541806261665</v>
      </c>
      <c r="AK137" s="252">
        <f t="shared" si="82"/>
        <v>229.94813284002646</v>
      </c>
    </row>
    <row r="138" spans="2:64" x14ac:dyDescent="0.2">
      <c r="B138" s="204"/>
      <c r="C138" s="394" t="s">
        <v>466</v>
      </c>
      <c r="D138" s="394"/>
      <c r="E138" s="394"/>
      <c r="F138" s="394"/>
      <c r="G138" s="394"/>
      <c r="H138" s="394"/>
      <c r="I138" s="394"/>
      <c r="J138" s="394"/>
      <c r="K138" s="394"/>
      <c r="L138" s="394"/>
      <c r="M138" s="394"/>
      <c r="N138" s="394"/>
      <c r="O138" s="394"/>
      <c r="P138" s="394"/>
      <c r="Q138" s="394"/>
      <c r="R138" s="394"/>
      <c r="S138" s="394"/>
      <c r="T138" s="394"/>
      <c r="U138" s="394"/>
      <c r="V138" s="394"/>
      <c r="W138" s="394"/>
      <c r="X138" s="394"/>
      <c r="Y138" s="394"/>
      <c r="Z138" s="394"/>
      <c r="AA138" s="394"/>
      <c r="AB138" s="394"/>
      <c r="AC138" s="394"/>
      <c r="AD138" s="394"/>
      <c r="AE138" s="394"/>
      <c r="AF138" s="394"/>
      <c r="AG138" s="394"/>
      <c r="AH138" s="394"/>
      <c r="AI138" s="394"/>
      <c r="AJ138" s="394"/>
      <c r="AK138" s="394"/>
    </row>
    <row r="139" spans="2:64" x14ac:dyDescent="0.2">
      <c r="B139" s="204"/>
    </row>
    <row r="140" spans="2:64" x14ac:dyDescent="0.2">
      <c r="B140" s="204"/>
    </row>
    <row r="141" spans="2:64" x14ac:dyDescent="0.2">
      <c r="B141" s="204"/>
    </row>
    <row r="142" spans="2:64" x14ac:dyDescent="0.2">
      <c r="B142" s="204"/>
    </row>
    <row r="143" spans="2:64" x14ac:dyDescent="0.2">
      <c r="B143" s="204"/>
    </row>
    <row r="144" spans="2:64" x14ac:dyDescent="0.2">
      <c r="B144" s="204"/>
    </row>
    <row r="145" spans="2:43" x14ac:dyDescent="0.2">
      <c r="B145" s="204"/>
    </row>
    <row r="146" spans="2:43" x14ac:dyDescent="0.2">
      <c r="B146" s="204"/>
    </row>
    <row r="147" spans="2:43" x14ac:dyDescent="0.2">
      <c r="B147" s="204"/>
    </row>
    <row r="148" spans="2:43" x14ac:dyDescent="0.2">
      <c r="B148" s="204"/>
    </row>
    <row r="149" spans="2:43" ht="236" x14ac:dyDescent="0.2">
      <c r="B149" s="204"/>
      <c r="C149" s="207" t="s">
        <v>423</v>
      </c>
      <c r="D149" s="207" t="s">
        <v>425</v>
      </c>
      <c r="E149" s="207" t="s">
        <v>426</v>
      </c>
      <c r="F149" s="207" t="s">
        <v>447</v>
      </c>
      <c r="G149" s="207" t="s">
        <v>477</v>
      </c>
      <c r="H149" s="207" t="s">
        <v>515</v>
      </c>
      <c r="I149" s="207" t="s">
        <v>576</v>
      </c>
      <c r="J149" s="207" t="s">
        <v>577</v>
      </c>
      <c r="K149" s="207" t="s">
        <v>569</v>
      </c>
      <c r="L149" s="209" t="s">
        <v>551</v>
      </c>
      <c r="M149" s="207" t="s">
        <v>517</v>
      </c>
      <c r="N149" s="209" t="s">
        <v>520</v>
      </c>
      <c r="O149" s="207" t="s">
        <v>546</v>
      </c>
      <c r="P149" s="210" t="s">
        <v>538</v>
      </c>
      <c r="Q149" s="207" t="s">
        <v>524</v>
      </c>
      <c r="R149" s="209" t="s">
        <v>550</v>
      </c>
      <c r="S149" s="209" t="s">
        <v>545</v>
      </c>
      <c r="T149" s="209" t="s">
        <v>542</v>
      </c>
      <c r="U149" s="209" t="s">
        <v>548</v>
      </c>
      <c r="V149" s="210" t="s">
        <v>547</v>
      </c>
      <c r="W149" s="210" t="s">
        <v>532</v>
      </c>
      <c r="X149" s="210" t="s">
        <v>566</v>
      </c>
      <c r="Y149" s="210" t="s">
        <v>533</v>
      </c>
      <c r="Z149" s="210" t="s">
        <v>535</v>
      </c>
      <c r="AA149" s="210" t="s">
        <v>534</v>
      </c>
      <c r="AB149" s="210" t="s">
        <v>632</v>
      </c>
      <c r="AC149" s="232" t="s">
        <v>530</v>
      </c>
      <c r="AD149" s="210" t="s">
        <v>529</v>
      </c>
      <c r="AE149" s="207" t="s">
        <v>531</v>
      </c>
      <c r="AF149" s="210" t="s">
        <v>673</v>
      </c>
      <c r="AG149" s="210" t="s">
        <v>676</v>
      </c>
      <c r="AH149" s="210" t="s">
        <v>554</v>
      </c>
      <c r="AI149" s="210" t="s">
        <v>555</v>
      </c>
      <c r="AJ149" s="210" t="s">
        <v>556</v>
      </c>
      <c r="AK149" s="210" t="s">
        <v>567</v>
      </c>
      <c r="AL149" s="210"/>
      <c r="AM149" s="210"/>
    </row>
    <row r="150" spans="2:43" x14ac:dyDescent="0.2">
      <c r="B150" s="204" t="s">
        <v>422</v>
      </c>
      <c r="C150" s="244">
        <f>'Ore-&gt;PI'!U42</f>
        <v>1011.7674660019052</v>
      </c>
      <c r="D150" s="244"/>
      <c r="E150" s="244"/>
      <c r="F150" s="244"/>
      <c r="G150" s="244"/>
      <c r="H150" s="244"/>
      <c r="I150" s="244"/>
      <c r="J150" s="244"/>
      <c r="K150" s="244"/>
      <c r="L150" s="244"/>
      <c r="M150" s="244"/>
      <c r="N150" s="244"/>
      <c r="O150" s="244"/>
      <c r="P150" s="244"/>
      <c r="Q150" s="244"/>
      <c r="R150" s="244"/>
      <c r="S150" s="244"/>
      <c r="T150" s="244"/>
      <c r="U150" s="244"/>
      <c r="V150" s="244"/>
      <c r="W150" s="244"/>
      <c r="X150" s="244"/>
      <c r="Y150" s="244"/>
      <c r="Z150" s="244"/>
      <c r="AA150" s="244"/>
      <c r="AB150" s="244"/>
      <c r="AC150" s="244"/>
      <c r="AD150" s="244"/>
      <c r="AE150" s="244"/>
      <c r="AF150" s="244"/>
      <c r="AG150" s="244"/>
      <c r="AH150" s="244"/>
      <c r="AI150" s="244"/>
      <c r="AJ150" s="244"/>
      <c r="AK150" s="244"/>
    </row>
    <row r="151" spans="2:43" ht="16" x14ac:dyDescent="0.2">
      <c r="B151" s="205" t="s">
        <v>424</v>
      </c>
      <c r="C151" s="244"/>
      <c r="D151" s="244">
        <f>'Ore-&gt;PI'!U126</f>
        <v>208.55560337725498</v>
      </c>
      <c r="E151" s="244"/>
      <c r="F151" s="244"/>
      <c r="G151" s="244"/>
      <c r="H151" s="244"/>
      <c r="I151" s="244"/>
      <c r="J151" s="244"/>
      <c r="K151" s="244"/>
      <c r="L151" s="244"/>
      <c r="M151" s="244"/>
      <c r="N151" s="244"/>
      <c r="O151" s="244"/>
      <c r="P151" s="244"/>
      <c r="Q151" s="244"/>
      <c r="R151" s="244"/>
      <c r="S151" s="244"/>
      <c r="T151" s="244"/>
      <c r="U151" s="244"/>
      <c r="V151" s="244"/>
      <c r="W151" s="244"/>
      <c r="X151" s="244"/>
      <c r="Y151" s="244"/>
      <c r="Z151" s="244"/>
      <c r="AA151" s="244"/>
      <c r="AB151" s="244"/>
      <c r="AC151" s="244"/>
      <c r="AD151" s="244"/>
      <c r="AE151" s="244"/>
      <c r="AF151" s="244"/>
      <c r="AG151" s="244"/>
      <c r="AH151" s="244"/>
      <c r="AI151" s="244"/>
      <c r="AJ151" s="244"/>
      <c r="AK151" s="244"/>
    </row>
    <row r="152" spans="2:43" x14ac:dyDescent="0.2">
      <c r="B152" s="206" t="s">
        <v>448</v>
      </c>
      <c r="C152" s="244"/>
      <c r="D152" s="244"/>
      <c r="E152" s="244">
        <f>'Ore-&gt;PI'!U206</f>
        <v>286.88405520213911</v>
      </c>
      <c r="F152" s="244"/>
      <c r="G152" s="244"/>
      <c r="H152" s="244"/>
      <c r="I152" s="244"/>
      <c r="J152" s="244"/>
      <c r="K152" s="244"/>
      <c r="L152" s="244"/>
      <c r="M152" s="244"/>
      <c r="N152" s="244"/>
      <c r="O152" s="244"/>
      <c r="P152" s="244"/>
      <c r="Q152" s="244"/>
      <c r="R152" s="244"/>
      <c r="S152" s="244"/>
      <c r="T152" s="244"/>
      <c r="U152" s="244"/>
      <c r="V152" s="244"/>
      <c r="W152" s="244"/>
      <c r="X152" s="244"/>
      <c r="Y152" s="244"/>
      <c r="Z152" s="244"/>
      <c r="AA152" s="244"/>
      <c r="AB152" s="244"/>
      <c r="AC152" s="244"/>
      <c r="AD152" s="244"/>
      <c r="AE152" s="244"/>
      <c r="AF152" s="244"/>
      <c r="AG152" s="244"/>
      <c r="AH152" s="244"/>
      <c r="AI152" s="244"/>
      <c r="AJ152" s="244"/>
      <c r="AK152" s="244"/>
    </row>
    <row r="153" spans="2:43" x14ac:dyDescent="0.2">
      <c r="B153" s="204" t="s">
        <v>483</v>
      </c>
      <c r="C153" s="244"/>
      <c r="D153" s="244"/>
      <c r="E153" s="244"/>
      <c r="F153" s="250">
        <f>'Ore-&gt;PI'!EL140+'Ore-&gt;PI'!CA140+'Ore-&gt;PI'!U163+'Ore-&gt;PI'!U72+'Ore-&gt;PI'!CA242+'Ore-&gt;PI'!U236</f>
        <v>4638.4074713301461</v>
      </c>
      <c r="G153" s="244"/>
      <c r="H153" s="244"/>
      <c r="I153" s="244"/>
      <c r="J153" s="244"/>
      <c r="K153" s="244"/>
      <c r="L153" s="244"/>
      <c r="M153" s="244"/>
      <c r="N153" s="244"/>
      <c r="O153" s="244"/>
      <c r="P153" s="244"/>
      <c r="Q153" s="244"/>
      <c r="R153" s="244"/>
      <c r="S153" s="244"/>
      <c r="T153" s="244"/>
      <c r="U153" s="244"/>
      <c r="V153" s="244"/>
      <c r="W153" s="244"/>
      <c r="X153" s="244"/>
      <c r="Y153" s="244"/>
      <c r="Z153" s="244"/>
      <c r="AA153" s="244"/>
      <c r="AB153" s="244"/>
      <c r="AC153" s="244"/>
      <c r="AD153" s="244"/>
      <c r="AE153" s="244"/>
      <c r="AF153" s="244"/>
      <c r="AG153" s="244"/>
      <c r="AH153" s="244"/>
      <c r="AI153" s="244"/>
      <c r="AJ153" s="244"/>
      <c r="AK153" s="244"/>
    </row>
    <row r="154" spans="2:43" x14ac:dyDescent="0.2">
      <c r="B154" s="204" t="s">
        <v>476</v>
      </c>
      <c r="C154" s="244"/>
      <c r="D154" s="244"/>
      <c r="E154" s="244"/>
      <c r="F154" s="244"/>
      <c r="G154" s="244">
        <f>'Ore-&gt;PI'!EL114+'Ore-&gt;PI'!CA152+'Ore-&gt;PI'!CA254</f>
        <v>20860.054673363149</v>
      </c>
      <c r="H154" s="244"/>
      <c r="I154" s="244"/>
      <c r="J154" s="244"/>
      <c r="K154" s="244"/>
      <c r="L154" s="244"/>
      <c r="M154" s="244"/>
      <c r="N154" s="244"/>
      <c r="O154" s="244"/>
      <c r="P154" s="244"/>
      <c r="Q154" s="244"/>
      <c r="R154" s="244"/>
      <c r="S154" s="244"/>
      <c r="T154" s="244"/>
      <c r="U154" s="244"/>
      <c r="V154" s="244"/>
      <c r="W154" s="244"/>
      <c r="X154" s="244"/>
      <c r="Y154" s="244"/>
      <c r="Z154" s="244"/>
      <c r="AA154" s="244"/>
      <c r="AB154" s="244"/>
      <c r="AC154" s="244"/>
      <c r="AD154" s="244"/>
      <c r="AE154" s="244"/>
      <c r="AF154" s="244"/>
      <c r="AG154" s="244"/>
      <c r="AH154" s="244"/>
      <c r="AI154" s="244"/>
      <c r="AJ154" s="244"/>
      <c r="AK154" s="244"/>
    </row>
    <row r="155" spans="2:43" x14ac:dyDescent="0.2">
      <c r="B155" s="204" t="s">
        <v>579</v>
      </c>
      <c r="C155" s="244"/>
      <c r="D155" s="244"/>
      <c r="E155" s="244"/>
      <c r="F155" s="244"/>
      <c r="G155" s="244"/>
      <c r="H155" s="244">
        <f>'Ore-&gt;PI'!U222+'Ore-&gt;PI'!U140+'Ore-&gt;PI'!U59</f>
        <v>2.5674157567104712</v>
      </c>
      <c r="I155" s="244"/>
      <c r="J155" s="244"/>
      <c r="K155" s="244"/>
      <c r="L155" s="244"/>
      <c r="M155" s="244"/>
      <c r="N155" s="244"/>
      <c r="O155" s="244"/>
      <c r="P155" s="244"/>
      <c r="Q155" s="244"/>
      <c r="R155" s="244"/>
      <c r="S155" s="244"/>
      <c r="T155" s="244"/>
      <c r="U155" s="244"/>
      <c r="V155" s="244"/>
      <c r="W155" s="244"/>
      <c r="X155" s="244"/>
      <c r="Y155" s="244"/>
      <c r="Z155" s="244"/>
      <c r="AA155" s="244"/>
      <c r="AB155" s="244"/>
      <c r="AC155" s="244"/>
      <c r="AD155" s="244"/>
      <c r="AE155" s="244"/>
      <c r="AF155" s="244"/>
      <c r="AG155" s="244"/>
      <c r="AH155" s="244"/>
      <c r="AI155" s="244"/>
      <c r="AJ155" s="244"/>
      <c r="AK155" s="244"/>
    </row>
    <row r="156" spans="2:43" x14ac:dyDescent="0.2">
      <c r="B156" s="204" t="s">
        <v>578</v>
      </c>
      <c r="C156" s="244"/>
      <c r="D156" s="244"/>
      <c r="E156" s="244"/>
      <c r="F156" s="244"/>
      <c r="G156" s="244"/>
      <c r="H156" s="244"/>
      <c r="I156" s="244">
        <f>'Ore-&gt;PI'!U151</f>
        <v>5.1714158616864253E-4</v>
      </c>
      <c r="J156" s="244"/>
      <c r="K156" s="244"/>
      <c r="L156" s="244"/>
      <c r="M156" s="244"/>
      <c r="N156" s="244"/>
      <c r="O156" s="244"/>
      <c r="P156" s="244"/>
      <c r="Q156" s="244"/>
      <c r="R156" s="244"/>
      <c r="S156" s="244"/>
      <c r="T156" s="244"/>
      <c r="U156" s="244"/>
      <c r="V156" s="244"/>
      <c r="W156" s="244"/>
      <c r="X156" s="244"/>
      <c r="Y156" s="244"/>
      <c r="Z156" s="244"/>
      <c r="AA156" s="244"/>
      <c r="AB156" s="244"/>
      <c r="AC156" s="244"/>
      <c r="AD156" s="244"/>
      <c r="AE156" s="244"/>
      <c r="AF156" s="244"/>
      <c r="AG156" s="244"/>
      <c r="AH156" s="244"/>
      <c r="AI156" s="244"/>
      <c r="AJ156" s="244"/>
      <c r="AK156" s="244"/>
    </row>
    <row r="157" spans="2:43" x14ac:dyDescent="0.2">
      <c r="B157" s="204" t="s">
        <v>518</v>
      </c>
      <c r="C157" s="244"/>
      <c r="D157" s="244"/>
      <c r="E157" s="244"/>
      <c r="F157" s="244"/>
      <c r="G157" s="244"/>
      <c r="H157" s="244"/>
      <c r="I157" s="244"/>
      <c r="J157" s="244">
        <f>'Ore-&gt;PI'!$EL$101</f>
        <v>4.8979947555174279</v>
      </c>
      <c r="K157" s="244"/>
      <c r="L157" s="244"/>
      <c r="M157" s="244"/>
      <c r="N157" s="244"/>
      <c r="O157" s="244"/>
      <c r="P157" s="244"/>
      <c r="Q157" s="244"/>
      <c r="R157" s="244"/>
      <c r="S157" s="244"/>
      <c r="T157" s="244"/>
      <c r="U157" s="244"/>
      <c r="V157" s="244"/>
      <c r="W157" s="244"/>
      <c r="X157" s="244"/>
      <c r="Y157" s="244"/>
      <c r="Z157" s="244"/>
      <c r="AA157" s="244"/>
      <c r="AB157" s="244"/>
      <c r="AC157" s="244"/>
      <c r="AD157" s="244"/>
      <c r="AE157" s="244"/>
      <c r="AF157" s="244"/>
      <c r="AG157" s="244"/>
      <c r="AH157" s="244"/>
      <c r="AI157" s="244"/>
      <c r="AJ157" s="244"/>
      <c r="AK157" s="244"/>
      <c r="AQ157" s="232"/>
    </row>
    <row r="158" spans="2:43" x14ac:dyDescent="0.2">
      <c r="B158" s="204" t="s">
        <v>568</v>
      </c>
      <c r="C158" s="244"/>
      <c r="D158" s="244"/>
      <c r="E158" s="244"/>
      <c r="F158" s="244"/>
      <c r="G158" s="244"/>
      <c r="H158" s="244"/>
      <c r="I158" s="244"/>
      <c r="J158" s="244"/>
      <c r="K158" s="244">
        <v>0</v>
      </c>
      <c r="L158" s="244"/>
      <c r="M158" s="244"/>
      <c r="N158" s="244"/>
      <c r="O158" s="244"/>
      <c r="P158" s="244"/>
      <c r="Q158" s="244"/>
      <c r="R158" s="244"/>
      <c r="S158" s="244"/>
      <c r="T158" s="244"/>
      <c r="U158" s="244"/>
      <c r="V158" s="244"/>
      <c r="W158" s="244"/>
      <c r="X158" s="244"/>
      <c r="Y158" s="244"/>
      <c r="Z158" s="244"/>
      <c r="AA158" s="244"/>
      <c r="AB158" s="244"/>
      <c r="AC158" s="244"/>
      <c r="AD158" s="244"/>
      <c r="AE158" s="244"/>
      <c r="AF158" s="244"/>
      <c r="AG158" s="244"/>
      <c r="AH158" s="244"/>
      <c r="AI158" s="244"/>
      <c r="AJ158" s="244"/>
      <c r="AK158" s="244"/>
    </row>
    <row r="159" spans="2:43" x14ac:dyDescent="0.2">
      <c r="C159" s="394" t="s">
        <v>57</v>
      </c>
      <c r="D159" s="394"/>
      <c r="E159" s="394"/>
      <c r="F159" s="394"/>
      <c r="G159" s="394"/>
      <c r="H159" s="394"/>
      <c r="I159" s="394"/>
      <c r="J159" s="394"/>
      <c r="K159" s="394"/>
      <c r="L159" s="394"/>
      <c r="M159" s="394"/>
      <c r="N159" s="394"/>
      <c r="O159" s="394"/>
      <c r="P159" s="394"/>
      <c r="Q159" s="394"/>
      <c r="R159" s="394"/>
      <c r="S159" s="394"/>
      <c r="T159" s="394"/>
      <c r="U159" s="394"/>
      <c r="V159" s="394"/>
      <c r="W159" s="394"/>
      <c r="X159" s="394"/>
      <c r="Y159" s="394"/>
      <c r="Z159" s="394"/>
      <c r="AA159" s="394"/>
      <c r="AB159" s="394"/>
      <c r="AC159" s="394"/>
      <c r="AD159" s="394"/>
      <c r="AE159" s="394"/>
      <c r="AF159" s="394"/>
      <c r="AG159" s="394"/>
      <c r="AH159" s="394"/>
      <c r="AI159" s="394"/>
      <c r="AJ159" s="394"/>
      <c r="AK159" s="394"/>
      <c r="AL159" s="25"/>
      <c r="AM159" s="25"/>
    </row>
    <row r="160" spans="2:43" x14ac:dyDescent="0.2">
      <c r="C160" s="252">
        <f>SUM(C150:C158)</f>
        <v>1011.7674660019052</v>
      </c>
      <c r="D160" s="252">
        <f t="shared" ref="D160:AK160" si="83">SUM(D150:D158)</f>
        <v>208.55560337725498</v>
      </c>
      <c r="E160" s="252">
        <f t="shared" si="83"/>
        <v>286.88405520213911</v>
      </c>
      <c r="F160" s="252">
        <f t="shared" si="83"/>
        <v>4638.4074713301461</v>
      </c>
      <c r="G160" s="252">
        <f t="shared" si="83"/>
        <v>20860.054673363149</v>
      </c>
      <c r="H160" s="252">
        <f t="shared" si="83"/>
        <v>2.5674157567104712</v>
      </c>
      <c r="I160" s="252">
        <f t="shared" si="83"/>
        <v>5.1714158616864253E-4</v>
      </c>
      <c r="J160" s="252">
        <f t="shared" si="83"/>
        <v>4.8979947555174279</v>
      </c>
      <c r="K160" s="252">
        <f t="shared" si="83"/>
        <v>0</v>
      </c>
      <c r="L160" s="252">
        <f t="shared" si="83"/>
        <v>0</v>
      </c>
      <c r="M160" s="252">
        <f t="shared" si="83"/>
        <v>0</v>
      </c>
      <c r="N160" s="252">
        <f t="shared" si="83"/>
        <v>0</v>
      </c>
      <c r="O160" s="252">
        <f t="shared" si="83"/>
        <v>0</v>
      </c>
      <c r="P160" s="252">
        <f t="shared" si="83"/>
        <v>0</v>
      </c>
      <c r="Q160" s="252">
        <f t="shared" si="83"/>
        <v>0</v>
      </c>
      <c r="R160" s="252">
        <f t="shared" si="83"/>
        <v>0</v>
      </c>
      <c r="S160" s="252">
        <f t="shared" si="83"/>
        <v>0</v>
      </c>
      <c r="T160" s="252">
        <f t="shared" si="83"/>
        <v>0</v>
      </c>
      <c r="U160" s="252">
        <f t="shared" si="83"/>
        <v>0</v>
      </c>
      <c r="V160" s="252">
        <f t="shared" si="83"/>
        <v>0</v>
      </c>
      <c r="W160" s="252">
        <f t="shared" si="83"/>
        <v>0</v>
      </c>
      <c r="X160" s="252">
        <f t="shared" si="83"/>
        <v>0</v>
      </c>
      <c r="Y160" s="252">
        <f t="shared" si="83"/>
        <v>0</v>
      </c>
      <c r="Z160" s="252">
        <f t="shared" si="83"/>
        <v>0</v>
      </c>
      <c r="AA160" s="252">
        <f t="shared" si="83"/>
        <v>0</v>
      </c>
      <c r="AB160" s="252">
        <f t="shared" si="83"/>
        <v>0</v>
      </c>
      <c r="AC160" s="252">
        <f t="shared" si="83"/>
        <v>0</v>
      </c>
      <c r="AD160" s="252">
        <f t="shared" si="83"/>
        <v>0</v>
      </c>
      <c r="AE160" s="252">
        <f t="shared" si="83"/>
        <v>0</v>
      </c>
      <c r="AF160" s="252">
        <f t="shared" si="83"/>
        <v>0</v>
      </c>
      <c r="AG160" s="252">
        <f t="shared" si="83"/>
        <v>0</v>
      </c>
      <c r="AH160" s="252">
        <f t="shared" si="83"/>
        <v>0</v>
      </c>
      <c r="AI160" s="252">
        <f t="shared" si="83"/>
        <v>0</v>
      </c>
      <c r="AJ160" s="252">
        <f t="shared" si="83"/>
        <v>0</v>
      </c>
      <c r="AK160" s="252">
        <f t="shared" si="83"/>
        <v>0</v>
      </c>
    </row>
    <row r="161" spans="2:39" x14ac:dyDescent="0.2">
      <c r="C161" s="394" t="s">
        <v>467</v>
      </c>
      <c r="D161" s="394"/>
      <c r="E161" s="394"/>
      <c r="F161" s="394"/>
      <c r="G161" s="394"/>
      <c r="H161" s="394"/>
      <c r="I161" s="394"/>
      <c r="J161" s="394"/>
      <c r="K161" s="394"/>
      <c r="L161" s="394"/>
      <c r="M161" s="394"/>
      <c r="N161" s="394"/>
      <c r="O161" s="394"/>
      <c r="P161" s="394"/>
      <c r="Q161" s="394"/>
      <c r="R161" s="394"/>
      <c r="S161" s="394"/>
      <c r="T161" s="394"/>
      <c r="U161" s="394"/>
      <c r="V161" s="394"/>
      <c r="W161" s="394"/>
      <c r="X161" s="394"/>
      <c r="Y161" s="394"/>
      <c r="Z161" s="394"/>
      <c r="AA161" s="394"/>
      <c r="AB161" s="394"/>
      <c r="AC161" s="394"/>
      <c r="AD161" s="394"/>
      <c r="AE161" s="394"/>
      <c r="AF161" s="394"/>
      <c r="AG161" s="394"/>
      <c r="AH161" s="394"/>
      <c r="AI161" s="394"/>
      <c r="AJ161" s="394"/>
      <c r="AK161" s="394"/>
      <c r="AL161" s="25"/>
      <c r="AM161" s="25"/>
    </row>
    <row r="165" spans="2:39" x14ac:dyDescent="0.2">
      <c r="C165" s="394" t="s">
        <v>464</v>
      </c>
      <c r="D165" s="394"/>
      <c r="E165" s="394"/>
      <c r="F165" s="394"/>
      <c r="G165" s="394"/>
      <c r="H165" s="394"/>
      <c r="I165" s="394"/>
      <c r="J165" s="394"/>
      <c r="K165" s="394"/>
      <c r="L165" s="245"/>
      <c r="M165" s="245"/>
      <c r="N165" s="245"/>
      <c r="O165" s="245"/>
      <c r="P165" s="245"/>
      <c r="Q165" s="245"/>
      <c r="R165" s="245"/>
      <c r="S165" s="245"/>
      <c r="T165" s="245"/>
      <c r="U165" s="25"/>
      <c r="V165" s="25"/>
    </row>
    <row r="168" spans="2:39" x14ac:dyDescent="0.2">
      <c r="B168" s="204" t="s">
        <v>423</v>
      </c>
      <c r="C168" s="252" cm="1">
        <f t="array" ref="C168:C202">TRANSPOSE(C160:AK160)</f>
        <v>1011.7674660019052</v>
      </c>
      <c r="E168" s="252" cm="1">
        <f t="array" ref="E168:E202">TRANSPOSE(C137:AK137)</f>
        <v>0</v>
      </c>
      <c r="G168" s="252">
        <f>BF81</f>
        <v>1011.7674660019052</v>
      </c>
      <c r="I168" s="252" cm="1">
        <f t="array" ref="I168:I202">BM81:BM115</f>
        <v>0</v>
      </c>
      <c r="K168" s="299">
        <f>C168+E168-G168-I168</f>
        <v>0</v>
      </c>
    </row>
    <row r="169" spans="2:39" x14ac:dyDescent="0.2">
      <c r="B169" s="204" t="s">
        <v>425</v>
      </c>
      <c r="C169" s="252">
        <v>208.55560337725498</v>
      </c>
      <c r="E169" s="252">
        <v>0</v>
      </c>
      <c r="G169" s="252">
        <f t="shared" ref="G169:G202" si="84">BF82</f>
        <v>208.55560337725498</v>
      </c>
      <c r="I169" s="252">
        <v>0</v>
      </c>
      <c r="K169" s="299">
        <f>C169+E169-G169-I169</f>
        <v>0</v>
      </c>
    </row>
    <row r="170" spans="2:39" x14ac:dyDescent="0.2">
      <c r="B170" s="204" t="s">
        <v>426</v>
      </c>
      <c r="C170" s="252">
        <v>286.88405520213911</v>
      </c>
      <c r="E170" s="252">
        <v>0</v>
      </c>
      <c r="G170" s="252">
        <f t="shared" si="84"/>
        <v>286.88405520213911</v>
      </c>
      <c r="I170" s="252">
        <v>0</v>
      </c>
      <c r="K170" s="299">
        <f>C170+E170-G170-I170</f>
        <v>0</v>
      </c>
    </row>
    <row r="171" spans="2:39" x14ac:dyDescent="0.2">
      <c r="B171" s="204" t="s">
        <v>447</v>
      </c>
      <c r="C171" s="252">
        <v>4638.4074713301461</v>
      </c>
      <c r="E171" s="252">
        <v>0</v>
      </c>
      <c r="G171" s="252">
        <f t="shared" si="84"/>
        <v>4638.4074713301452</v>
      </c>
      <c r="I171" s="252">
        <v>0</v>
      </c>
      <c r="K171" s="299">
        <f>ROUND(C171+E171-G171-I171, 10)</f>
        <v>0</v>
      </c>
    </row>
    <row r="172" spans="2:39" x14ac:dyDescent="0.2">
      <c r="B172" s="204" t="s">
        <v>477</v>
      </c>
      <c r="C172" s="252">
        <v>20860.054673363149</v>
      </c>
      <c r="E172" s="252">
        <v>0</v>
      </c>
      <c r="G172" s="252">
        <f t="shared" si="84"/>
        <v>20860.054673363149</v>
      </c>
      <c r="I172" s="252">
        <v>0</v>
      </c>
      <c r="K172" s="299">
        <f t="shared" ref="K172:K187" si="85">C172+E172-G172-I172</f>
        <v>0</v>
      </c>
    </row>
    <row r="173" spans="2:39" x14ac:dyDescent="0.2">
      <c r="B173" s="204" t="s">
        <v>515</v>
      </c>
      <c r="C173" s="252">
        <v>2.5674157567104712</v>
      </c>
      <c r="E173" s="252">
        <v>0</v>
      </c>
      <c r="G173" s="252">
        <f t="shared" si="84"/>
        <v>2.5674157567104707</v>
      </c>
      <c r="I173" s="252">
        <v>0</v>
      </c>
      <c r="K173" s="299">
        <f t="shared" si="85"/>
        <v>4.4408920985006262E-16</v>
      </c>
    </row>
    <row r="174" spans="2:39" x14ac:dyDescent="0.2">
      <c r="B174" s="204" t="s">
        <v>516</v>
      </c>
      <c r="C174" s="252">
        <v>5.1714158616864253E-4</v>
      </c>
      <c r="E174" s="252">
        <v>0</v>
      </c>
      <c r="G174" s="252">
        <f t="shared" si="84"/>
        <v>5.1714158616864253E-4</v>
      </c>
      <c r="I174" s="252">
        <v>0</v>
      </c>
      <c r="K174" s="299">
        <f t="shared" si="85"/>
        <v>0</v>
      </c>
    </row>
    <row r="175" spans="2:39" x14ac:dyDescent="0.2">
      <c r="B175" s="204" t="s">
        <v>519</v>
      </c>
      <c r="C175" s="252">
        <v>4.8979947555174279</v>
      </c>
      <c r="E175" s="252">
        <v>0</v>
      </c>
      <c r="G175" s="252">
        <f t="shared" si="84"/>
        <v>4.8979947555174279</v>
      </c>
      <c r="I175" s="252">
        <v>0</v>
      </c>
      <c r="K175" s="299">
        <f t="shared" si="85"/>
        <v>0</v>
      </c>
    </row>
    <row r="176" spans="2:39" x14ac:dyDescent="0.2">
      <c r="B176" s="204" t="s">
        <v>569</v>
      </c>
      <c r="C176" s="252">
        <v>0</v>
      </c>
      <c r="E176" s="252">
        <v>0</v>
      </c>
      <c r="G176" s="252">
        <f t="shared" si="84"/>
        <v>0</v>
      </c>
      <c r="I176" s="252">
        <v>0</v>
      </c>
      <c r="K176" s="299">
        <f t="shared" si="85"/>
        <v>0</v>
      </c>
    </row>
    <row r="177" spans="2:18" ht="16" x14ac:dyDescent="0.2">
      <c r="B177" s="205" t="s">
        <v>551</v>
      </c>
      <c r="C177" s="252">
        <v>0</v>
      </c>
      <c r="E177" s="252">
        <v>1011.7674660019052</v>
      </c>
      <c r="G177" s="252">
        <f t="shared" si="84"/>
        <v>1011.7674660019052</v>
      </c>
      <c r="I177" s="252">
        <v>0</v>
      </c>
      <c r="K177" s="299">
        <f t="shared" si="85"/>
        <v>0</v>
      </c>
    </row>
    <row r="178" spans="2:18" x14ac:dyDescent="0.2">
      <c r="B178" s="204" t="s">
        <v>517</v>
      </c>
      <c r="C178" s="252">
        <v>0</v>
      </c>
      <c r="E178" s="252">
        <v>32.219926549044033</v>
      </c>
      <c r="G178" s="252">
        <f t="shared" si="84"/>
        <v>0</v>
      </c>
      <c r="I178" s="252">
        <v>32.219926549044033</v>
      </c>
      <c r="K178" s="299">
        <f t="shared" si="85"/>
        <v>0</v>
      </c>
    </row>
    <row r="179" spans="2:18" ht="16" x14ac:dyDescent="0.2">
      <c r="B179" s="205" t="s">
        <v>520</v>
      </c>
      <c r="C179" s="252">
        <v>0</v>
      </c>
      <c r="E179" s="252">
        <v>208.55560337725498</v>
      </c>
      <c r="G179" s="252">
        <f t="shared" si="84"/>
        <v>208.55560337725498</v>
      </c>
      <c r="I179" s="252">
        <v>0</v>
      </c>
      <c r="K179" s="299">
        <f t="shared" si="85"/>
        <v>0</v>
      </c>
    </row>
    <row r="180" spans="2:18" x14ac:dyDescent="0.2">
      <c r="B180" s="204" t="s">
        <v>546</v>
      </c>
      <c r="C180" s="252">
        <v>0</v>
      </c>
      <c r="E180" s="252">
        <v>9.658257192857822E-2</v>
      </c>
      <c r="G180" s="252">
        <f t="shared" si="84"/>
        <v>0</v>
      </c>
      <c r="I180" s="252">
        <v>9.658257192857822E-2</v>
      </c>
      <c r="K180" s="299">
        <f t="shared" si="85"/>
        <v>0</v>
      </c>
    </row>
    <row r="181" spans="2:18" x14ac:dyDescent="0.2">
      <c r="B181" s="206" t="s">
        <v>538</v>
      </c>
      <c r="C181" s="252">
        <v>0</v>
      </c>
      <c r="D181" s="259" t="s">
        <v>471</v>
      </c>
      <c r="E181" s="252">
        <v>286.88405520213911</v>
      </c>
      <c r="F181" s="171" t="s">
        <v>473</v>
      </c>
      <c r="G181" s="252">
        <f t="shared" si="84"/>
        <v>286.88405520213911</v>
      </c>
      <c r="H181" s="171" t="s">
        <v>473</v>
      </c>
      <c r="I181" s="252">
        <v>0</v>
      </c>
      <c r="J181" s="259" t="s">
        <v>474</v>
      </c>
      <c r="K181" s="299">
        <f t="shared" si="85"/>
        <v>0</v>
      </c>
    </row>
    <row r="182" spans="2:18" x14ac:dyDescent="0.2">
      <c r="B182" s="204" t="s">
        <v>524</v>
      </c>
      <c r="C182" s="252">
        <v>0</v>
      </c>
      <c r="E182" s="252">
        <v>7.6637473118485584</v>
      </c>
      <c r="G182" s="252">
        <f t="shared" si="84"/>
        <v>0</v>
      </c>
      <c r="I182" s="252">
        <v>7.6637473118485584</v>
      </c>
      <c r="K182" s="299">
        <f t="shared" si="85"/>
        <v>0</v>
      </c>
    </row>
    <row r="183" spans="2:18" ht="16" x14ac:dyDescent="0.2">
      <c r="B183" s="205" t="s">
        <v>550</v>
      </c>
      <c r="C183" s="252">
        <v>0</v>
      </c>
      <c r="E183" s="252">
        <v>1011.7674660019052</v>
      </c>
      <c r="G183" s="252">
        <f t="shared" si="84"/>
        <v>1011.7674660019052</v>
      </c>
      <c r="I183" s="252">
        <v>0</v>
      </c>
      <c r="K183" s="299">
        <f t="shared" si="85"/>
        <v>0</v>
      </c>
    </row>
    <row r="184" spans="2:18" ht="16" x14ac:dyDescent="0.2">
      <c r="B184" s="205" t="s">
        <v>545</v>
      </c>
      <c r="C184" s="252">
        <v>0</v>
      </c>
      <c r="E184" s="252">
        <v>208.55560337725498</v>
      </c>
      <c r="G184" s="252">
        <f t="shared" si="84"/>
        <v>208.55560337725498</v>
      </c>
      <c r="I184" s="252">
        <v>0</v>
      </c>
      <c r="K184" s="299">
        <f t="shared" si="85"/>
        <v>0</v>
      </c>
    </row>
    <row r="185" spans="2:18" ht="16" x14ac:dyDescent="0.2">
      <c r="B185" s="205" t="s">
        <v>542</v>
      </c>
      <c r="C185" s="252">
        <v>0</v>
      </c>
      <c r="E185" s="252">
        <v>286.88405520213911</v>
      </c>
      <c r="G185" s="252">
        <f t="shared" si="84"/>
        <v>286.88405520213911</v>
      </c>
      <c r="I185" s="252">
        <v>0</v>
      </c>
      <c r="K185" s="299">
        <f t="shared" si="85"/>
        <v>0</v>
      </c>
    </row>
    <row r="186" spans="2:18" ht="16" x14ac:dyDescent="0.2">
      <c r="B186" s="205" t="s">
        <v>548</v>
      </c>
      <c r="C186" s="252">
        <v>0</v>
      </c>
      <c r="E186" s="252">
        <v>1000.0000000000001</v>
      </c>
      <c r="G186" s="252">
        <f t="shared" si="84"/>
        <v>1000.0000000000001</v>
      </c>
      <c r="I186" s="252">
        <v>0</v>
      </c>
      <c r="K186" s="299">
        <f t="shared" si="85"/>
        <v>0</v>
      </c>
    </row>
    <row r="187" spans="2:18" x14ac:dyDescent="0.2">
      <c r="B187" s="206" t="s">
        <v>547</v>
      </c>
      <c r="C187" s="252">
        <v>0</v>
      </c>
      <c r="E187" s="252">
        <v>11.767466001905108</v>
      </c>
      <c r="G187" s="252">
        <f t="shared" si="84"/>
        <v>0</v>
      </c>
      <c r="I187" s="252">
        <v>11.767466001905108</v>
      </c>
      <c r="K187" s="299">
        <f t="shared" si="85"/>
        <v>0</v>
      </c>
    </row>
    <row r="188" spans="2:18" x14ac:dyDescent="0.2">
      <c r="B188" s="206" t="s">
        <v>532</v>
      </c>
      <c r="C188" s="252">
        <v>0</v>
      </c>
      <c r="E188" s="252">
        <v>208.55560337725498</v>
      </c>
      <c r="G188" s="252">
        <f t="shared" si="84"/>
        <v>208.55560337725498</v>
      </c>
      <c r="I188" s="252">
        <v>0</v>
      </c>
      <c r="K188" s="299">
        <f t="shared" ref="K188:K194" si="86">C188+E188-G188-I188</f>
        <v>0</v>
      </c>
      <c r="N188" s="25"/>
      <c r="P188" s="25"/>
      <c r="Q188" s="25"/>
      <c r="R188" s="25"/>
    </row>
    <row r="189" spans="2:18" x14ac:dyDescent="0.2">
      <c r="B189" s="206" t="s">
        <v>566</v>
      </c>
      <c r="C189" s="252">
        <v>0</v>
      </c>
      <c r="E189" s="252">
        <v>286.88405520213911</v>
      </c>
      <c r="G189" s="252">
        <f t="shared" si="84"/>
        <v>286.88405520213911</v>
      </c>
      <c r="I189" s="252">
        <v>0</v>
      </c>
      <c r="K189" s="299">
        <f t="shared" si="86"/>
        <v>0</v>
      </c>
      <c r="N189" s="25"/>
      <c r="P189" s="25"/>
      <c r="Q189" s="25"/>
      <c r="R189" s="25"/>
    </row>
    <row r="190" spans="2:18" x14ac:dyDescent="0.2">
      <c r="B190" s="206" t="s">
        <v>533</v>
      </c>
      <c r="C190" s="252">
        <v>0</v>
      </c>
      <c r="E190" s="252">
        <v>111.00813284002646</v>
      </c>
      <c r="G190" s="252">
        <f t="shared" si="84"/>
        <v>111.00813284002646</v>
      </c>
      <c r="I190" s="252">
        <v>0</v>
      </c>
      <c r="K190" s="299">
        <f t="shared" si="86"/>
        <v>0</v>
      </c>
      <c r="N190" s="25"/>
      <c r="P190" s="25"/>
      <c r="Q190" s="25"/>
      <c r="R190" s="25"/>
    </row>
    <row r="191" spans="2:18" x14ac:dyDescent="0.2">
      <c r="B191" s="206" t="s">
        <v>535</v>
      </c>
      <c r="C191" s="252">
        <v>0</v>
      </c>
      <c r="E191" s="252">
        <v>4.9847525450981189</v>
      </c>
      <c r="G191" s="252">
        <f t="shared" si="84"/>
        <v>0</v>
      </c>
      <c r="I191" s="252">
        <v>4.9847525450981189</v>
      </c>
      <c r="K191" s="299">
        <f t="shared" si="86"/>
        <v>0</v>
      </c>
      <c r="N191" s="25"/>
      <c r="P191" s="25"/>
      <c r="Q191" s="25"/>
      <c r="R191" s="25"/>
    </row>
    <row r="192" spans="2:18" x14ac:dyDescent="0.2">
      <c r="B192" s="206" t="s">
        <v>534</v>
      </c>
      <c r="C192" s="252">
        <v>0</v>
      </c>
      <c r="E192" s="252">
        <v>22064.067709118775</v>
      </c>
      <c r="G192" s="252">
        <f t="shared" si="84"/>
        <v>0</v>
      </c>
      <c r="I192" s="252">
        <v>22064.067709118775</v>
      </c>
      <c r="K192" s="299">
        <f t="shared" si="86"/>
        <v>0</v>
      </c>
      <c r="N192" s="25"/>
      <c r="P192" s="25"/>
      <c r="Q192" s="25"/>
      <c r="R192" s="25"/>
    </row>
    <row r="193" spans="2:19" x14ac:dyDescent="0.2">
      <c r="B193" s="206" t="s">
        <v>632</v>
      </c>
      <c r="C193" s="252">
        <v>0</v>
      </c>
      <c r="E193" s="252">
        <v>198.80764502323905</v>
      </c>
      <c r="G193" s="252">
        <f t="shared" si="84"/>
        <v>198.80764502323905</v>
      </c>
      <c r="I193" s="252">
        <v>0</v>
      </c>
      <c r="K193" s="299">
        <f t="shared" si="86"/>
        <v>0</v>
      </c>
    </row>
    <row r="194" spans="2:19" ht="16" x14ac:dyDescent="0.2">
      <c r="B194" s="253" t="s">
        <v>530</v>
      </c>
      <c r="C194" s="252">
        <v>0</v>
      </c>
      <c r="E194" s="252">
        <v>69.582675758133661</v>
      </c>
      <c r="G194" s="252">
        <f t="shared" si="84"/>
        <v>69.582675758133661</v>
      </c>
      <c r="I194" s="252">
        <v>0</v>
      </c>
      <c r="K194" s="299">
        <f t="shared" si="86"/>
        <v>0</v>
      </c>
    </row>
    <row r="195" spans="2:19" x14ac:dyDescent="0.2">
      <c r="B195" s="206" t="s">
        <v>529</v>
      </c>
      <c r="C195" s="252">
        <v>0</v>
      </c>
      <c r="E195" s="252">
        <v>18.493734420766422</v>
      </c>
      <c r="G195" s="252">
        <f t="shared" si="84"/>
        <v>0</v>
      </c>
      <c r="I195" s="252">
        <v>18.493734420766422</v>
      </c>
      <c r="K195" s="299">
        <f t="shared" ref="K195:K202" si="87">C195+E195-G195-I195</f>
        <v>0</v>
      </c>
      <c r="L195" s="25"/>
    </row>
    <row r="196" spans="2:19" x14ac:dyDescent="0.2">
      <c r="B196" s="204" t="s">
        <v>531</v>
      </c>
      <c r="C196" s="252">
        <v>0</v>
      </c>
      <c r="E196" s="252">
        <v>584.3657277440451</v>
      </c>
      <c r="G196" s="252">
        <f t="shared" si="84"/>
        <v>0</v>
      </c>
      <c r="I196" s="252">
        <v>584.3657277440451</v>
      </c>
      <c r="K196" s="299">
        <f t="shared" si="87"/>
        <v>0</v>
      </c>
    </row>
    <row r="197" spans="2:19" x14ac:dyDescent="0.2">
      <c r="B197" s="206" t="s">
        <v>673</v>
      </c>
      <c r="C197" s="252">
        <v>0</v>
      </c>
      <c r="E197" s="252">
        <v>69.582675758133661</v>
      </c>
      <c r="G197" s="252">
        <f t="shared" si="84"/>
        <v>69.582675758133661</v>
      </c>
      <c r="I197" s="252">
        <v>0</v>
      </c>
      <c r="K197" s="299">
        <f t="shared" si="87"/>
        <v>0</v>
      </c>
    </row>
    <row r="198" spans="2:19" x14ac:dyDescent="0.2">
      <c r="B198" s="206" t="s">
        <v>676</v>
      </c>
      <c r="C198" s="252">
        <v>0</v>
      </c>
      <c r="E198" s="252">
        <v>69.582675758133661</v>
      </c>
      <c r="G198" s="252">
        <f t="shared" si="84"/>
        <v>59.145274394413612</v>
      </c>
      <c r="I198" s="252">
        <v>10.437401363720047</v>
      </c>
      <c r="K198" s="299"/>
    </row>
    <row r="199" spans="2:19" x14ac:dyDescent="0.2">
      <c r="B199" s="206" t="s">
        <v>554</v>
      </c>
      <c r="C199" s="252">
        <v>0</v>
      </c>
      <c r="E199" s="252">
        <v>1309.8157778632656</v>
      </c>
      <c r="G199" s="252">
        <f t="shared" si="84"/>
        <v>1309.8157778632656</v>
      </c>
      <c r="I199" s="252">
        <v>0</v>
      </c>
      <c r="K199" s="299">
        <f t="shared" si="87"/>
        <v>0</v>
      </c>
      <c r="P199" s="245"/>
      <c r="Q199" s="245"/>
      <c r="R199" s="245"/>
      <c r="S199" s="245"/>
    </row>
    <row r="200" spans="2:19" x14ac:dyDescent="0.2">
      <c r="B200" s="206" t="s">
        <v>555</v>
      </c>
      <c r="C200" s="252">
        <v>0</v>
      </c>
      <c r="E200" s="252">
        <v>616.23583583508366</v>
      </c>
      <c r="G200" s="252">
        <f t="shared" si="84"/>
        <v>0</v>
      </c>
      <c r="I200" s="252">
        <v>616.23583583508366</v>
      </c>
      <c r="K200" s="299">
        <f t="shared" si="87"/>
        <v>0</v>
      </c>
    </row>
    <row r="201" spans="2:19" x14ac:dyDescent="0.2">
      <c r="B201" s="206" t="s">
        <v>556</v>
      </c>
      <c r="C201" s="252">
        <v>0</v>
      </c>
      <c r="E201" s="252">
        <v>3432.8541806261665</v>
      </c>
      <c r="G201" s="252">
        <f t="shared" si="84"/>
        <v>0</v>
      </c>
      <c r="I201" s="252">
        <v>3432.8541806261665</v>
      </c>
      <c r="K201" s="299">
        <f t="shared" si="87"/>
        <v>0</v>
      </c>
    </row>
    <row r="202" spans="2:19" x14ac:dyDescent="0.2">
      <c r="B202" s="206" t="s">
        <v>567</v>
      </c>
      <c r="C202" s="252">
        <v>0</v>
      </c>
      <c r="E202" s="252">
        <v>229.94813284002646</v>
      </c>
      <c r="G202" s="252">
        <f t="shared" si="84"/>
        <v>0</v>
      </c>
      <c r="I202" s="252">
        <v>229.94813284002646</v>
      </c>
      <c r="K202" s="299">
        <f t="shared" si="87"/>
        <v>0</v>
      </c>
    </row>
    <row r="203" spans="2:19" ht="17" x14ac:dyDescent="0.2">
      <c r="B203" s="206"/>
      <c r="C203" s="3" t="s">
        <v>470</v>
      </c>
      <c r="E203" s="3" t="s">
        <v>472</v>
      </c>
      <c r="G203" s="25" t="s">
        <v>469</v>
      </c>
      <c r="I203" s="25" t="s">
        <v>39</v>
      </c>
      <c r="K203" s="25">
        <f>SUM(K168:K202)</f>
        <v>4.4408920985006262E-16</v>
      </c>
    </row>
    <row r="204" spans="2:19" x14ac:dyDescent="0.2">
      <c r="B204" s="206"/>
      <c r="G204" s="25"/>
      <c r="I204" s="25"/>
    </row>
    <row r="205" spans="2:19" x14ac:dyDescent="0.2">
      <c r="B205" s="206"/>
    </row>
    <row r="206" spans="2:19" x14ac:dyDescent="0.2">
      <c r="C206" s="394" t="s">
        <v>475</v>
      </c>
      <c r="D206" s="394"/>
      <c r="E206" s="394"/>
      <c r="F206" s="394"/>
      <c r="G206" s="394"/>
      <c r="L206" s="245"/>
      <c r="M206" s="245"/>
    </row>
    <row r="209" spans="2:15" x14ac:dyDescent="0.2">
      <c r="B209" s="204" t="s">
        <v>415</v>
      </c>
      <c r="C209" s="252" cm="1">
        <f t="array" ref="C209:C223">TRANSPOSE((AQ117:BE117))</f>
        <v>1043.9873925509492</v>
      </c>
      <c r="E209" s="252">
        <f>AL121</f>
        <v>1043.9873925509492</v>
      </c>
      <c r="G209" s="299">
        <f>C209-E209</f>
        <v>0</v>
      </c>
    </row>
    <row r="210" spans="2:15" x14ac:dyDescent="0.2">
      <c r="B210" s="204" t="s">
        <v>416</v>
      </c>
      <c r="C210" s="252">
        <v>208.65218594918355</v>
      </c>
      <c r="E210" s="252">
        <f t="shared" ref="E210:E223" si="88">AL122</f>
        <v>208.65218594918355</v>
      </c>
      <c r="G210" s="299">
        <f t="shared" ref="G210:G223" si="89">C210-E210</f>
        <v>0</v>
      </c>
      <c r="N210" s="245"/>
      <c r="O210" s="245"/>
    </row>
    <row r="211" spans="2:15" x14ac:dyDescent="0.2">
      <c r="B211" s="204" t="s">
        <v>417</v>
      </c>
      <c r="C211" s="252">
        <v>294.54780251398768</v>
      </c>
      <c r="E211" s="252">
        <f t="shared" si="88"/>
        <v>294.54780251398768</v>
      </c>
      <c r="G211" s="299">
        <f t="shared" si="89"/>
        <v>0</v>
      </c>
    </row>
    <row r="212" spans="2:15" x14ac:dyDescent="0.2">
      <c r="B212" s="204" t="s">
        <v>565</v>
      </c>
      <c r="C212" s="252">
        <v>1011.7674660019052</v>
      </c>
      <c r="D212" s="254"/>
      <c r="E212" s="252">
        <f t="shared" si="88"/>
        <v>1011.7674660019052</v>
      </c>
      <c r="F212" s="254"/>
      <c r="G212" s="299">
        <f t="shared" si="89"/>
        <v>0</v>
      </c>
    </row>
    <row r="213" spans="2:15" x14ac:dyDescent="0.2">
      <c r="B213" s="204" t="s">
        <v>544</v>
      </c>
      <c r="C213" s="252">
        <v>208.55560337725498</v>
      </c>
      <c r="E213" s="252">
        <f t="shared" si="88"/>
        <v>208.55560337725498</v>
      </c>
      <c r="G213" s="299">
        <f t="shared" si="89"/>
        <v>0</v>
      </c>
      <c r="H213" s="245"/>
      <c r="I213" s="245"/>
      <c r="J213" s="245"/>
      <c r="K213" s="245"/>
    </row>
    <row r="214" spans="2:15" x14ac:dyDescent="0.2">
      <c r="B214" s="204" t="s">
        <v>543</v>
      </c>
      <c r="C214" s="252">
        <v>286.88405520213911</v>
      </c>
      <c r="E214" s="252">
        <f t="shared" si="88"/>
        <v>286.88405520213911</v>
      </c>
      <c r="G214" s="299">
        <f t="shared" si="89"/>
        <v>0</v>
      </c>
    </row>
    <row r="215" spans="2:15" x14ac:dyDescent="0.2">
      <c r="B215" s="204" t="s">
        <v>443</v>
      </c>
      <c r="C215" s="252">
        <v>1011.7674660019052</v>
      </c>
      <c r="E215" s="252">
        <f t="shared" si="88"/>
        <v>1011.7674660019052</v>
      </c>
      <c r="G215" s="299">
        <f t="shared" si="89"/>
        <v>0</v>
      </c>
    </row>
    <row r="216" spans="2:15" x14ac:dyDescent="0.2">
      <c r="B216" s="204" t="s">
        <v>440</v>
      </c>
      <c r="C216" s="252">
        <v>208.55560337725498</v>
      </c>
      <c r="D216" s="171" t="s">
        <v>478</v>
      </c>
      <c r="E216" s="252">
        <f t="shared" si="88"/>
        <v>208.55560337725498</v>
      </c>
      <c r="F216" s="171" t="s">
        <v>474</v>
      </c>
      <c r="G216" s="299">
        <f t="shared" si="89"/>
        <v>0</v>
      </c>
    </row>
    <row r="217" spans="2:15" x14ac:dyDescent="0.2">
      <c r="B217" s="204" t="s">
        <v>458</v>
      </c>
      <c r="C217" s="252">
        <v>286.88405520213911</v>
      </c>
      <c r="E217" s="252">
        <f t="shared" si="88"/>
        <v>286.88405520213911</v>
      </c>
      <c r="G217" s="299">
        <f t="shared" si="89"/>
        <v>0</v>
      </c>
    </row>
    <row r="218" spans="2:15" x14ac:dyDescent="0.2">
      <c r="B218" s="204" t="s">
        <v>441</v>
      </c>
      <c r="C218" s="252">
        <v>22180.060594503899</v>
      </c>
      <c r="E218" s="252">
        <f t="shared" si="88"/>
        <v>22180.060594503899</v>
      </c>
      <c r="G218" s="299">
        <f t="shared" si="89"/>
        <v>0</v>
      </c>
    </row>
    <row r="219" spans="2:15" x14ac:dyDescent="0.2">
      <c r="B219" s="204" t="s">
        <v>436</v>
      </c>
      <c r="C219" s="252">
        <v>871.24978294618404</v>
      </c>
      <c r="E219" s="252">
        <f t="shared" si="88"/>
        <v>871.24978294618427</v>
      </c>
      <c r="G219" s="299">
        <f t="shared" si="89"/>
        <v>0</v>
      </c>
    </row>
    <row r="220" spans="2:15" x14ac:dyDescent="0.2">
      <c r="B220" s="204" t="s">
        <v>672</v>
      </c>
      <c r="C220" s="252">
        <v>69.582675758133661</v>
      </c>
      <c r="E220" s="252">
        <f t="shared" si="88"/>
        <v>69.582675758133661</v>
      </c>
      <c r="G220" s="299">
        <f t="shared" si="89"/>
        <v>0</v>
      </c>
    </row>
    <row r="221" spans="2:15" x14ac:dyDescent="0.2">
      <c r="B221" s="204" t="s">
        <v>675</v>
      </c>
      <c r="C221" s="252">
        <v>69.582675758133661</v>
      </c>
      <c r="E221" s="252">
        <f t="shared" si="88"/>
        <v>69.582675758133661</v>
      </c>
      <c r="G221" s="299"/>
    </row>
    <row r="222" spans="2:15" x14ac:dyDescent="0.2">
      <c r="B222" s="204" t="s">
        <v>81</v>
      </c>
      <c r="C222" s="252">
        <v>1309.8157778632656</v>
      </c>
      <c r="E222" s="252">
        <f t="shared" si="88"/>
        <v>1309.8157778632656</v>
      </c>
      <c r="G222" s="299">
        <f t="shared" si="89"/>
        <v>0</v>
      </c>
    </row>
    <row r="223" spans="2:15" x14ac:dyDescent="0.2">
      <c r="B223" s="204" t="s">
        <v>427</v>
      </c>
      <c r="C223" s="252">
        <v>4279.0381493012774</v>
      </c>
      <c r="D223" s="171"/>
      <c r="E223" s="252">
        <f t="shared" si="88"/>
        <v>4279.0381493012765</v>
      </c>
      <c r="G223" s="299">
        <f t="shared" si="89"/>
        <v>0</v>
      </c>
    </row>
    <row r="224" spans="2:15" x14ac:dyDescent="0.2">
      <c r="B224" s="206"/>
      <c r="C224" s="171" t="s">
        <v>468</v>
      </c>
      <c r="D224" s="171"/>
      <c r="E224" s="171" t="s">
        <v>465</v>
      </c>
      <c r="F224" s="171"/>
      <c r="G224" s="171">
        <v>0</v>
      </c>
    </row>
    <row r="225" spans="2:11" x14ac:dyDescent="0.2">
      <c r="B225" s="206"/>
    </row>
    <row r="226" spans="2:11" x14ac:dyDescent="0.2">
      <c r="B226" s="206"/>
    </row>
    <row r="231" spans="2:11" x14ac:dyDescent="0.2">
      <c r="H231" s="171"/>
      <c r="I231" s="171"/>
      <c r="J231" s="171"/>
      <c r="K231" s="171"/>
    </row>
  </sheetData>
  <mergeCells count="13">
    <mergeCell ref="AQ76:BE76"/>
    <mergeCell ref="AQ37:BE37"/>
    <mergeCell ref="BK37:BX37"/>
    <mergeCell ref="C206:G206"/>
    <mergeCell ref="C159:AK159"/>
    <mergeCell ref="C161:AK161"/>
    <mergeCell ref="BK116:BL116"/>
    <mergeCell ref="AQ118:BE118"/>
    <mergeCell ref="C136:AK136"/>
    <mergeCell ref="C138:AK138"/>
    <mergeCell ref="C119:D119"/>
    <mergeCell ref="C165:K165"/>
    <mergeCell ref="AQ116:BE116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490C0-E191-0F43-8034-69A695792121}">
  <dimension ref="B1:BY229"/>
  <sheetViews>
    <sheetView topLeftCell="A148" zoomScale="115" workbookViewId="0">
      <selection activeCell="G153" sqref="G153:H154"/>
    </sheetView>
  </sheetViews>
  <sheetFormatPr baseColWidth="10" defaultRowHeight="15" x14ac:dyDescent="0.2"/>
  <cols>
    <col min="1" max="1" width="10.83203125" style="3"/>
    <col min="2" max="2" width="17" style="3" bestFit="1" customWidth="1"/>
    <col min="3" max="10" width="10.83203125" style="3"/>
    <col min="11" max="11" width="12.6640625" style="3" bestFit="1" customWidth="1"/>
    <col min="12" max="43" width="10.83203125" style="3"/>
    <col min="44" max="44" width="16" style="3" customWidth="1"/>
    <col min="45" max="16384" width="10.83203125" style="3"/>
  </cols>
  <sheetData>
    <row r="1" spans="2:77" ht="112" x14ac:dyDescent="0.2">
      <c r="C1" s="207" t="s">
        <v>667</v>
      </c>
      <c r="AP1" s="260"/>
      <c r="AQ1" s="207" t="s">
        <v>415</v>
      </c>
      <c r="AR1" s="207" t="s">
        <v>416</v>
      </c>
      <c r="AS1" s="207" t="s">
        <v>417</v>
      </c>
      <c r="AT1" s="207" t="s">
        <v>565</v>
      </c>
      <c r="AU1" s="207" t="s">
        <v>544</v>
      </c>
      <c r="AV1" s="207" t="s">
        <v>543</v>
      </c>
      <c r="AW1" s="207" t="s">
        <v>443</v>
      </c>
      <c r="AX1" s="207" t="s">
        <v>440</v>
      </c>
      <c r="AY1" s="207" t="s">
        <v>458</v>
      </c>
      <c r="AZ1" s="207" t="s">
        <v>441</v>
      </c>
      <c r="BA1" s="207" t="s">
        <v>436</v>
      </c>
      <c r="BB1" s="207" t="s">
        <v>672</v>
      </c>
      <c r="BC1" s="207" t="s">
        <v>675</v>
      </c>
      <c r="BD1" s="207" t="s">
        <v>81</v>
      </c>
      <c r="BE1" s="207" t="s">
        <v>427</v>
      </c>
      <c r="BJ1" s="260"/>
      <c r="BK1" s="207" t="s">
        <v>415</v>
      </c>
      <c r="BL1" s="207" t="s">
        <v>416</v>
      </c>
      <c r="BM1" s="207" t="s">
        <v>417</v>
      </c>
      <c r="BN1" s="207" t="s">
        <v>565</v>
      </c>
      <c r="BO1" s="207" t="s">
        <v>544</v>
      </c>
      <c r="BP1" s="207" t="s">
        <v>543</v>
      </c>
      <c r="BQ1" s="207" t="s">
        <v>443</v>
      </c>
      <c r="BR1" s="207" t="s">
        <v>440</v>
      </c>
      <c r="BS1" s="207" t="s">
        <v>458</v>
      </c>
      <c r="BT1" s="207" t="s">
        <v>441</v>
      </c>
      <c r="BU1" s="207" t="s">
        <v>436</v>
      </c>
      <c r="BV1" s="207" t="s">
        <v>672</v>
      </c>
      <c r="BW1" s="207" t="s">
        <v>675</v>
      </c>
      <c r="BX1" s="207" t="s">
        <v>81</v>
      </c>
      <c r="BY1" s="207" t="s">
        <v>427</v>
      </c>
    </row>
    <row r="2" spans="2:77" x14ac:dyDescent="0.2">
      <c r="B2" s="204" t="s">
        <v>423</v>
      </c>
      <c r="C2" s="284">
        <v>1</v>
      </c>
      <c r="AP2" s="204" t="s">
        <v>423</v>
      </c>
      <c r="AQ2" s="284">
        <v>0</v>
      </c>
      <c r="AR2" s="284">
        <v>0</v>
      </c>
      <c r="AS2" s="284">
        <v>0</v>
      </c>
      <c r="AT2" s="284">
        <v>0</v>
      </c>
      <c r="AU2" s="284">
        <v>0</v>
      </c>
      <c r="AV2" s="284">
        <v>0</v>
      </c>
      <c r="AW2" s="284">
        <v>0</v>
      </c>
      <c r="AX2" s="284">
        <v>0</v>
      </c>
      <c r="AY2" s="284">
        <v>0</v>
      </c>
      <c r="AZ2" s="284">
        <v>0</v>
      </c>
      <c r="BA2" s="284">
        <v>0</v>
      </c>
      <c r="BB2" s="284">
        <v>0</v>
      </c>
      <c r="BC2" s="284">
        <v>0</v>
      </c>
      <c r="BD2" s="284">
        <v>0</v>
      </c>
      <c r="BE2" s="284">
        <v>0</v>
      </c>
      <c r="BJ2" s="204" t="s">
        <v>423</v>
      </c>
      <c r="BK2" s="284">
        <v>0</v>
      </c>
      <c r="BL2" s="284">
        <v>0</v>
      </c>
      <c r="BM2" s="284">
        <v>0</v>
      </c>
      <c r="BN2" s="284">
        <v>0</v>
      </c>
      <c r="BO2" s="284">
        <v>0</v>
      </c>
      <c r="BP2" s="284">
        <v>0</v>
      </c>
      <c r="BQ2" s="284">
        <v>0</v>
      </c>
      <c r="BR2" s="284">
        <v>0</v>
      </c>
      <c r="BS2" s="284">
        <v>0</v>
      </c>
      <c r="BT2" s="284">
        <v>0</v>
      </c>
      <c r="BU2" s="284">
        <v>0</v>
      </c>
      <c r="BV2" s="284">
        <v>0</v>
      </c>
      <c r="BW2" s="284">
        <v>0</v>
      </c>
      <c r="BX2" s="284">
        <v>0</v>
      </c>
      <c r="BY2" s="284">
        <v>0</v>
      </c>
    </row>
    <row r="3" spans="2:77" x14ac:dyDescent="0.2">
      <c r="B3" s="204" t="s">
        <v>425</v>
      </c>
      <c r="C3" s="284">
        <v>1</v>
      </c>
      <c r="AP3" s="204" t="s">
        <v>425</v>
      </c>
      <c r="AQ3" s="284">
        <v>0</v>
      </c>
      <c r="AR3" s="284">
        <v>0</v>
      </c>
      <c r="AS3" s="284">
        <v>0</v>
      </c>
      <c r="AT3" s="284">
        <v>0</v>
      </c>
      <c r="AU3" s="284">
        <v>0</v>
      </c>
      <c r="AV3" s="284">
        <v>0</v>
      </c>
      <c r="AW3" s="284">
        <v>0</v>
      </c>
      <c r="AX3" s="284">
        <v>0</v>
      </c>
      <c r="AY3" s="284">
        <v>0</v>
      </c>
      <c r="AZ3" s="284">
        <v>0</v>
      </c>
      <c r="BA3" s="284">
        <v>0</v>
      </c>
      <c r="BB3" s="284">
        <v>0</v>
      </c>
      <c r="BC3" s="284">
        <v>0</v>
      </c>
      <c r="BD3" s="284">
        <v>0</v>
      </c>
      <c r="BE3" s="284">
        <v>0</v>
      </c>
      <c r="BJ3" s="204" t="s">
        <v>425</v>
      </c>
      <c r="BK3" s="284">
        <v>0</v>
      </c>
      <c r="BL3" s="284">
        <v>0</v>
      </c>
      <c r="BM3" s="284">
        <v>0</v>
      </c>
      <c r="BN3" s="284">
        <v>0</v>
      </c>
      <c r="BO3" s="284">
        <v>0</v>
      </c>
      <c r="BP3" s="284">
        <v>0</v>
      </c>
      <c r="BQ3" s="284">
        <v>0</v>
      </c>
      <c r="BR3" s="284">
        <v>0</v>
      </c>
      <c r="BS3" s="284">
        <v>0</v>
      </c>
      <c r="BT3" s="284">
        <v>0</v>
      </c>
      <c r="BU3" s="284">
        <v>0</v>
      </c>
      <c r="BV3" s="284">
        <v>0</v>
      </c>
      <c r="BW3" s="284">
        <v>0</v>
      </c>
      <c r="BX3" s="284">
        <v>0</v>
      </c>
      <c r="BY3" s="284">
        <v>0</v>
      </c>
    </row>
    <row r="4" spans="2:77" x14ac:dyDescent="0.2">
      <c r="B4" s="204" t="s">
        <v>426</v>
      </c>
      <c r="C4" s="284">
        <v>1</v>
      </c>
      <c r="AP4" s="204" t="s">
        <v>426</v>
      </c>
      <c r="AQ4" s="284">
        <v>0</v>
      </c>
      <c r="AR4" s="284">
        <v>0</v>
      </c>
      <c r="AS4" s="284">
        <v>0</v>
      </c>
      <c r="AT4" s="284">
        <v>0</v>
      </c>
      <c r="AU4" s="284">
        <v>0</v>
      </c>
      <c r="AV4" s="284">
        <v>0</v>
      </c>
      <c r="AW4" s="284">
        <v>0</v>
      </c>
      <c r="AX4" s="284">
        <v>0</v>
      </c>
      <c r="AY4" s="284">
        <v>0</v>
      </c>
      <c r="AZ4" s="284">
        <v>0</v>
      </c>
      <c r="BA4" s="284">
        <v>0</v>
      </c>
      <c r="BB4" s="284">
        <v>0</v>
      </c>
      <c r="BC4" s="284">
        <v>0</v>
      </c>
      <c r="BD4" s="284">
        <v>0</v>
      </c>
      <c r="BE4" s="284">
        <v>0</v>
      </c>
      <c r="BJ4" s="204" t="s">
        <v>426</v>
      </c>
      <c r="BK4" s="284">
        <v>0</v>
      </c>
      <c r="BL4" s="284">
        <v>0</v>
      </c>
      <c r="BM4" s="284">
        <v>0</v>
      </c>
      <c r="BN4" s="284">
        <v>0</v>
      </c>
      <c r="BO4" s="284">
        <v>0</v>
      </c>
      <c r="BP4" s="284">
        <v>0</v>
      </c>
      <c r="BQ4" s="284">
        <v>0</v>
      </c>
      <c r="BR4" s="284">
        <v>0</v>
      </c>
      <c r="BS4" s="284">
        <v>0</v>
      </c>
      <c r="BT4" s="284">
        <v>0</v>
      </c>
      <c r="BU4" s="284">
        <v>0</v>
      </c>
      <c r="BV4" s="284">
        <v>0</v>
      </c>
      <c r="BW4" s="284">
        <v>0</v>
      </c>
      <c r="BX4" s="284">
        <v>0</v>
      </c>
      <c r="BY4" s="284">
        <v>0</v>
      </c>
    </row>
    <row r="5" spans="2:77" x14ac:dyDescent="0.2">
      <c r="B5" s="204" t="s">
        <v>447</v>
      </c>
      <c r="C5" s="284">
        <v>1</v>
      </c>
      <c r="AP5" s="204" t="s">
        <v>447</v>
      </c>
      <c r="AQ5" s="284">
        <v>0</v>
      </c>
      <c r="AR5" s="284">
        <v>0</v>
      </c>
      <c r="AS5" s="284">
        <v>0</v>
      </c>
      <c r="AT5" s="284">
        <v>0</v>
      </c>
      <c r="AU5" s="284">
        <v>0</v>
      </c>
      <c r="AV5" s="284">
        <v>0</v>
      </c>
      <c r="AW5" s="284">
        <v>0</v>
      </c>
      <c r="AX5" s="284">
        <v>0</v>
      </c>
      <c r="AY5" s="284">
        <v>0</v>
      </c>
      <c r="AZ5" s="284">
        <v>0</v>
      </c>
      <c r="BA5" s="284">
        <v>0</v>
      </c>
      <c r="BB5" s="284">
        <v>0</v>
      </c>
      <c r="BC5" s="284">
        <v>0</v>
      </c>
      <c r="BD5" s="284">
        <v>0</v>
      </c>
      <c r="BE5" s="284">
        <v>0</v>
      </c>
      <c r="BJ5" s="204" t="s">
        <v>447</v>
      </c>
      <c r="BK5" s="284">
        <v>0</v>
      </c>
      <c r="BL5" s="284">
        <v>0</v>
      </c>
      <c r="BM5" s="284">
        <v>0</v>
      </c>
      <c r="BN5" s="284">
        <v>0</v>
      </c>
      <c r="BO5" s="284">
        <v>0</v>
      </c>
      <c r="BP5" s="284">
        <v>0</v>
      </c>
      <c r="BQ5" s="284">
        <v>0</v>
      </c>
      <c r="BR5" s="284">
        <v>0</v>
      </c>
      <c r="BS5" s="284">
        <v>0</v>
      </c>
      <c r="BT5" s="284">
        <v>0</v>
      </c>
      <c r="BU5" s="284">
        <v>0</v>
      </c>
      <c r="BV5" s="284">
        <v>0</v>
      </c>
      <c r="BW5" s="284">
        <v>0</v>
      </c>
      <c r="BX5" s="284">
        <v>0</v>
      </c>
      <c r="BY5" s="284">
        <v>0</v>
      </c>
    </row>
    <row r="6" spans="2:77" x14ac:dyDescent="0.2">
      <c r="B6" s="204" t="s">
        <v>477</v>
      </c>
      <c r="C6" s="284">
        <v>1</v>
      </c>
      <c r="AP6" s="204" t="s">
        <v>477</v>
      </c>
      <c r="AQ6" s="284">
        <v>0</v>
      </c>
      <c r="AR6" s="284">
        <v>0</v>
      </c>
      <c r="AS6" s="284">
        <v>0</v>
      </c>
      <c r="AT6" s="284">
        <v>0</v>
      </c>
      <c r="AU6" s="284">
        <v>0</v>
      </c>
      <c r="AV6" s="284">
        <v>0</v>
      </c>
      <c r="AW6" s="284">
        <v>0</v>
      </c>
      <c r="AX6" s="284">
        <v>0</v>
      </c>
      <c r="AY6" s="284">
        <v>0</v>
      </c>
      <c r="AZ6" s="284">
        <v>0</v>
      </c>
      <c r="BA6" s="284">
        <v>0</v>
      </c>
      <c r="BB6" s="284">
        <v>0</v>
      </c>
      <c r="BC6" s="284">
        <v>0</v>
      </c>
      <c r="BD6" s="284">
        <v>0</v>
      </c>
      <c r="BE6" s="284">
        <v>0</v>
      </c>
      <c r="BJ6" s="204" t="s">
        <v>477</v>
      </c>
      <c r="BK6" s="284">
        <v>0</v>
      </c>
      <c r="BL6" s="284">
        <v>0</v>
      </c>
      <c r="BM6" s="284">
        <v>0</v>
      </c>
      <c r="BN6" s="284">
        <v>0</v>
      </c>
      <c r="BO6" s="284">
        <v>0</v>
      </c>
      <c r="BP6" s="284">
        <v>0</v>
      </c>
      <c r="BQ6" s="284">
        <v>0</v>
      </c>
      <c r="BR6" s="284">
        <v>0</v>
      </c>
      <c r="BS6" s="284">
        <v>0</v>
      </c>
      <c r="BT6" s="284">
        <v>0</v>
      </c>
      <c r="BU6" s="284">
        <v>0</v>
      </c>
      <c r="BV6" s="284">
        <v>0</v>
      </c>
      <c r="BW6" s="284">
        <v>0</v>
      </c>
      <c r="BX6" s="284">
        <v>0</v>
      </c>
      <c r="BY6" s="284">
        <v>0</v>
      </c>
    </row>
    <row r="7" spans="2:77" x14ac:dyDescent="0.2">
      <c r="B7" s="204" t="s">
        <v>576</v>
      </c>
      <c r="C7" s="284">
        <v>1</v>
      </c>
      <c r="AP7" s="204" t="s">
        <v>576</v>
      </c>
      <c r="AQ7" s="284">
        <v>0</v>
      </c>
      <c r="AR7" s="284">
        <v>0</v>
      </c>
      <c r="AS7" s="284">
        <v>0</v>
      </c>
      <c r="AT7" s="284">
        <v>0</v>
      </c>
      <c r="AU7" s="284">
        <v>0</v>
      </c>
      <c r="AV7" s="284">
        <v>0</v>
      </c>
      <c r="AW7" s="284">
        <v>0</v>
      </c>
      <c r="AX7" s="284">
        <v>0</v>
      </c>
      <c r="AY7" s="284">
        <v>0</v>
      </c>
      <c r="AZ7" s="284">
        <v>0</v>
      </c>
      <c r="BA7" s="284">
        <v>0</v>
      </c>
      <c r="BB7" s="284">
        <v>0</v>
      </c>
      <c r="BC7" s="284">
        <v>0</v>
      </c>
      <c r="BD7" s="284">
        <v>0</v>
      </c>
      <c r="BE7" s="284">
        <v>0</v>
      </c>
      <c r="BJ7" s="204" t="s">
        <v>576</v>
      </c>
      <c r="BK7" s="284">
        <v>0</v>
      </c>
      <c r="BL7" s="284">
        <v>0</v>
      </c>
      <c r="BM7" s="284">
        <v>0</v>
      </c>
      <c r="BN7" s="284">
        <v>0</v>
      </c>
      <c r="BO7" s="284">
        <v>0</v>
      </c>
      <c r="BP7" s="284">
        <v>0</v>
      </c>
      <c r="BQ7" s="284">
        <v>0</v>
      </c>
      <c r="BR7" s="284">
        <v>0</v>
      </c>
      <c r="BS7" s="284">
        <v>0</v>
      </c>
      <c r="BT7" s="284">
        <v>0</v>
      </c>
      <c r="BU7" s="284">
        <v>0</v>
      </c>
      <c r="BV7" s="284">
        <v>0</v>
      </c>
      <c r="BW7" s="284">
        <v>0</v>
      </c>
      <c r="BX7" s="284">
        <v>0</v>
      </c>
      <c r="BY7" s="284">
        <v>0</v>
      </c>
    </row>
    <row r="8" spans="2:77" x14ac:dyDescent="0.2">
      <c r="B8" s="204" t="s">
        <v>577</v>
      </c>
      <c r="C8" s="284">
        <v>1</v>
      </c>
      <c r="AP8" s="204" t="s">
        <v>577</v>
      </c>
      <c r="AQ8" s="284">
        <v>0</v>
      </c>
      <c r="AR8" s="284">
        <v>0</v>
      </c>
      <c r="AS8" s="284">
        <v>0</v>
      </c>
      <c r="AT8" s="284">
        <v>0</v>
      </c>
      <c r="AU8" s="284">
        <v>0</v>
      </c>
      <c r="AV8" s="284">
        <v>0</v>
      </c>
      <c r="AW8" s="284">
        <v>0</v>
      </c>
      <c r="AX8" s="284">
        <v>0</v>
      </c>
      <c r="AY8" s="284">
        <v>0</v>
      </c>
      <c r="AZ8" s="284">
        <v>0</v>
      </c>
      <c r="BA8" s="284">
        <v>0</v>
      </c>
      <c r="BB8" s="284">
        <v>0</v>
      </c>
      <c r="BC8" s="284">
        <v>0</v>
      </c>
      <c r="BD8" s="284">
        <v>0</v>
      </c>
      <c r="BE8" s="284">
        <v>0</v>
      </c>
      <c r="BJ8" s="204" t="s">
        <v>577</v>
      </c>
      <c r="BK8" s="284">
        <v>0</v>
      </c>
      <c r="BL8" s="284">
        <v>0</v>
      </c>
      <c r="BM8" s="284">
        <v>0</v>
      </c>
      <c r="BN8" s="284">
        <v>0</v>
      </c>
      <c r="BO8" s="284">
        <v>0</v>
      </c>
      <c r="BP8" s="284">
        <v>0</v>
      </c>
      <c r="BQ8" s="284">
        <v>0</v>
      </c>
      <c r="BR8" s="284">
        <v>0</v>
      </c>
      <c r="BS8" s="284">
        <v>0</v>
      </c>
      <c r="BT8" s="284">
        <v>0</v>
      </c>
      <c r="BU8" s="284">
        <v>0</v>
      </c>
      <c r="BV8" s="284">
        <v>0</v>
      </c>
      <c r="BW8" s="284">
        <v>0</v>
      </c>
      <c r="BX8" s="284">
        <v>0</v>
      </c>
      <c r="BY8" s="284">
        <v>0</v>
      </c>
    </row>
    <row r="9" spans="2:77" x14ac:dyDescent="0.2">
      <c r="B9" s="204" t="s">
        <v>519</v>
      </c>
      <c r="C9" s="284">
        <v>1</v>
      </c>
      <c r="AP9" s="204" t="s">
        <v>519</v>
      </c>
      <c r="AQ9" s="284">
        <v>0</v>
      </c>
      <c r="AR9" s="284">
        <v>0</v>
      </c>
      <c r="AS9" s="284">
        <v>0</v>
      </c>
      <c r="AT9" s="284">
        <v>0</v>
      </c>
      <c r="AU9" s="284">
        <v>0</v>
      </c>
      <c r="AV9" s="284">
        <v>0</v>
      </c>
      <c r="AW9" s="284">
        <v>0</v>
      </c>
      <c r="AX9" s="284">
        <v>0</v>
      </c>
      <c r="AY9" s="284">
        <v>0</v>
      </c>
      <c r="AZ9" s="284">
        <v>0</v>
      </c>
      <c r="BA9" s="284">
        <v>0</v>
      </c>
      <c r="BB9" s="284">
        <v>0</v>
      </c>
      <c r="BC9" s="284">
        <v>0</v>
      </c>
      <c r="BD9" s="284">
        <v>0</v>
      </c>
      <c r="BE9" s="284">
        <v>0</v>
      </c>
      <c r="BJ9" s="204" t="s">
        <v>519</v>
      </c>
      <c r="BK9" s="284">
        <v>0</v>
      </c>
      <c r="BL9" s="284">
        <v>0</v>
      </c>
      <c r="BM9" s="284">
        <v>0</v>
      </c>
      <c r="BN9" s="284">
        <v>0</v>
      </c>
      <c r="BO9" s="284">
        <v>0</v>
      </c>
      <c r="BP9" s="284">
        <v>0</v>
      </c>
      <c r="BQ9" s="284">
        <v>0</v>
      </c>
      <c r="BR9" s="284">
        <v>0</v>
      </c>
      <c r="BS9" s="284">
        <v>0</v>
      </c>
      <c r="BT9" s="284">
        <v>0</v>
      </c>
      <c r="BU9" s="284">
        <v>0</v>
      </c>
      <c r="BV9" s="284">
        <v>0</v>
      </c>
      <c r="BW9" s="284">
        <v>0</v>
      </c>
      <c r="BX9" s="284">
        <v>0</v>
      </c>
      <c r="BY9" s="284">
        <v>0</v>
      </c>
    </row>
    <row r="10" spans="2:77" x14ac:dyDescent="0.2">
      <c r="B10" s="204" t="s">
        <v>569</v>
      </c>
      <c r="C10" s="284">
        <v>1</v>
      </c>
      <c r="AP10" s="204" t="s">
        <v>569</v>
      </c>
      <c r="AQ10" s="284">
        <v>0</v>
      </c>
      <c r="AR10" s="284">
        <v>0</v>
      </c>
      <c r="AS10" s="284">
        <v>0</v>
      </c>
      <c r="AT10" s="284">
        <v>0</v>
      </c>
      <c r="AU10" s="284">
        <v>0</v>
      </c>
      <c r="AV10" s="284">
        <v>0</v>
      </c>
      <c r="AW10" s="284">
        <v>0</v>
      </c>
      <c r="AX10" s="284">
        <v>0</v>
      </c>
      <c r="AY10" s="284">
        <v>0</v>
      </c>
      <c r="AZ10" s="284">
        <v>0</v>
      </c>
      <c r="BA10" s="284">
        <v>0</v>
      </c>
      <c r="BB10" s="284">
        <v>0</v>
      </c>
      <c r="BC10" s="284">
        <v>0</v>
      </c>
      <c r="BD10" s="284">
        <v>0</v>
      </c>
      <c r="BE10" s="284">
        <v>0</v>
      </c>
      <c r="BJ10" s="204" t="s">
        <v>569</v>
      </c>
      <c r="BK10" s="284">
        <v>0</v>
      </c>
      <c r="BL10" s="284">
        <v>0</v>
      </c>
      <c r="BM10" s="284">
        <v>0</v>
      </c>
      <c r="BN10" s="284">
        <v>0</v>
      </c>
      <c r="BO10" s="284">
        <v>0</v>
      </c>
      <c r="BP10" s="284">
        <v>0</v>
      </c>
      <c r="BQ10" s="284">
        <v>0</v>
      </c>
      <c r="BR10" s="284">
        <v>0</v>
      </c>
      <c r="BS10" s="284">
        <v>0</v>
      </c>
      <c r="BT10" s="284">
        <v>0</v>
      </c>
      <c r="BU10" s="284">
        <v>0</v>
      </c>
      <c r="BV10" s="284">
        <v>0</v>
      </c>
      <c r="BW10" s="284">
        <v>0</v>
      </c>
      <c r="BX10" s="284">
        <v>0</v>
      </c>
      <c r="BY10" s="284">
        <v>0</v>
      </c>
    </row>
    <row r="11" spans="2:77" ht="16" x14ac:dyDescent="0.2">
      <c r="B11" s="205" t="s">
        <v>551</v>
      </c>
      <c r="C11" s="284">
        <v>1</v>
      </c>
      <c r="AP11" s="205" t="s">
        <v>551</v>
      </c>
      <c r="AQ11" s="284">
        <v>0</v>
      </c>
      <c r="AR11" s="284">
        <v>0</v>
      </c>
      <c r="AS11" s="284">
        <v>0</v>
      </c>
      <c r="AT11" s="284">
        <v>0</v>
      </c>
      <c r="AU11" s="284">
        <v>0</v>
      </c>
      <c r="AV11" s="284">
        <v>0</v>
      </c>
      <c r="AW11" s="284">
        <v>0</v>
      </c>
      <c r="AX11" s="284">
        <v>0</v>
      </c>
      <c r="AY11" s="284">
        <v>0</v>
      </c>
      <c r="AZ11" s="284">
        <v>0</v>
      </c>
      <c r="BA11" s="284">
        <v>0</v>
      </c>
      <c r="BB11" s="284">
        <v>0</v>
      </c>
      <c r="BC11" s="284">
        <v>0</v>
      </c>
      <c r="BD11" s="284">
        <v>0</v>
      </c>
      <c r="BE11" s="284">
        <v>0</v>
      </c>
      <c r="BJ11" s="205" t="s">
        <v>551</v>
      </c>
      <c r="BK11" s="284">
        <v>0</v>
      </c>
      <c r="BL11" s="284">
        <v>0</v>
      </c>
      <c r="BM11" s="284">
        <v>0</v>
      </c>
      <c r="BN11" s="284">
        <v>0</v>
      </c>
      <c r="BO11" s="284">
        <v>0</v>
      </c>
      <c r="BP11" s="284">
        <v>0</v>
      </c>
      <c r="BQ11" s="284">
        <v>0</v>
      </c>
      <c r="BR11" s="284">
        <v>0</v>
      </c>
      <c r="BS11" s="284">
        <v>0</v>
      </c>
      <c r="BT11" s="284">
        <v>0</v>
      </c>
      <c r="BU11" s="284">
        <v>0</v>
      </c>
      <c r="BV11" s="284">
        <v>0</v>
      </c>
      <c r="BW11" s="284">
        <v>0</v>
      </c>
      <c r="BX11" s="284">
        <v>0</v>
      </c>
      <c r="BY11" s="284">
        <v>0</v>
      </c>
    </row>
    <row r="12" spans="2:77" x14ac:dyDescent="0.2">
      <c r="B12" s="204" t="s">
        <v>517</v>
      </c>
      <c r="C12" s="284">
        <v>1</v>
      </c>
      <c r="AP12" s="204" t="s">
        <v>517</v>
      </c>
      <c r="AQ12" s="284">
        <v>0</v>
      </c>
      <c r="AR12" s="284">
        <v>0</v>
      </c>
      <c r="AS12" s="284">
        <v>0</v>
      </c>
      <c r="AT12" s="284">
        <v>0</v>
      </c>
      <c r="AU12" s="284">
        <v>0</v>
      </c>
      <c r="AV12" s="284">
        <v>0</v>
      </c>
      <c r="AW12" s="284">
        <v>0</v>
      </c>
      <c r="AX12" s="284">
        <v>0</v>
      </c>
      <c r="AY12" s="284">
        <v>0</v>
      </c>
      <c r="AZ12" s="284">
        <v>0</v>
      </c>
      <c r="BA12" s="284">
        <v>0</v>
      </c>
      <c r="BB12" s="284">
        <v>0</v>
      </c>
      <c r="BC12" s="284">
        <v>0</v>
      </c>
      <c r="BD12" s="284">
        <v>0</v>
      </c>
      <c r="BE12" s="284">
        <v>0</v>
      </c>
      <c r="BJ12" s="204" t="s">
        <v>517</v>
      </c>
      <c r="BK12" s="284">
        <v>0</v>
      </c>
      <c r="BL12" s="284">
        <v>0</v>
      </c>
      <c r="BM12" s="284">
        <v>0</v>
      </c>
      <c r="BN12" s="284">
        <v>0</v>
      </c>
      <c r="BO12" s="284">
        <v>0</v>
      </c>
      <c r="BP12" s="284">
        <v>0</v>
      </c>
      <c r="BQ12" s="284">
        <v>0</v>
      </c>
      <c r="BR12" s="284">
        <v>0</v>
      </c>
      <c r="BS12" s="284">
        <v>0</v>
      </c>
      <c r="BT12" s="284">
        <v>0</v>
      </c>
      <c r="BU12" s="284">
        <v>0</v>
      </c>
      <c r="BV12" s="284">
        <v>0</v>
      </c>
      <c r="BW12" s="284">
        <v>0</v>
      </c>
      <c r="BX12" s="284">
        <v>0</v>
      </c>
      <c r="BY12" s="284">
        <v>0</v>
      </c>
    </row>
    <row r="13" spans="2:77" ht="16" x14ac:dyDescent="0.2">
      <c r="B13" s="205" t="s">
        <v>520</v>
      </c>
      <c r="C13" s="284">
        <v>1</v>
      </c>
      <c r="AP13" s="205" t="s">
        <v>520</v>
      </c>
      <c r="AQ13" s="284">
        <v>0</v>
      </c>
      <c r="AR13" s="284">
        <v>0</v>
      </c>
      <c r="AS13" s="284">
        <v>0</v>
      </c>
      <c r="AT13" s="284">
        <v>0</v>
      </c>
      <c r="AU13" s="284">
        <v>0</v>
      </c>
      <c r="AV13" s="284">
        <v>0</v>
      </c>
      <c r="AW13" s="284">
        <v>0</v>
      </c>
      <c r="AX13" s="284">
        <v>0</v>
      </c>
      <c r="AY13" s="284">
        <v>0</v>
      </c>
      <c r="AZ13" s="284">
        <v>0</v>
      </c>
      <c r="BA13" s="284">
        <v>0</v>
      </c>
      <c r="BB13" s="284">
        <v>0</v>
      </c>
      <c r="BC13" s="284">
        <v>0</v>
      </c>
      <c r="BD13" s="284">
        <v>0</v>
      </c>
      <c r="BE13" s="284">
        <v>0</v>
      </c>
      <c r="BJ13" s="205" t="s">
        <v>520</v>
      </c>
      <c r="BK13" s="284">
        <v>0</v>
      </c>
      <c r="BL13" s="284">
        <v>0</v>
      </c>
      <c r="BM13" s="284">
        <v>0</v>
      </c>
      <c r="BN13" s="284">
        <v>0</v>
      </c>
      <c r="BO13" s="284">
        <v>0</v>
      </c>
      <c r="BP13" s="284">
        <v>0</v>
      </c>
      <c r="BQ13" s="284">
        <v>0</v>
      </c>
      <c r="BR13" s="284">
        <v>0</v>
      </c>
      <c r="BS13" s="284">
        <v>0</v>
      </c>
      <c r="BT13" s="284">
        <v>0</v>
      </c>
      <c r="BU13" s="284">
        <v>0</v>
      </c>
      <c r="BV13" s="284">
        <v>0</v>
      </c>
      <c r="BW13" s="284">
        <v>0</v>
      </c>
      <c r="BX13" s="284">
        <v>0</v>
      </c>
      <c r="BY13" s="284">
        <v>0</v>
      </c>
    </row>
    <row r="14" spans="2:77" x14ac:dyDescent="0.2">
      <c r="B14" s="204" t="s">
        <v>546</v>
      </c>
      <c r="C14" s="284">
        <v>1</v>
      </c>
      <c r="AP14" s="204" t="s">
        <v>546</v>
      </c>
      <c r="AQ14" s="284">
        <v>0</v>
      </c>
      <c r="AR14" s="284">
        <v>0</v>
      </c>
      <c r="AS14" s="284">
        <v>0</v>
      </c>
      <c r="AT14" s="284">
        <v>0</v>
      </c>
      <c r="AU14" s="284">
        <v>0</v>
      </c>
      <c r="AV14" s="284">
        <v>0</v>
      </c>
      <c r="AW14" s="284">
        <v>0</v>
      </c>
      <c r="AX14" s="284">
        <v>0</v>
      </c>
      <c r="AY14" s="284">
        <v>0</v>
      </c>
      <c r="AZ14" s="284">
        <v>0</v>
      </c>
      <c r="BA14" s="284">
        <v>0</v>
      </c>
      <c r="BB14" s="284">
        <v>0</v>
      </c>
      <c r="BC14" s="284">
        <v>0</v>
      </c>
      <c r="BD14" s="284">
        <v>0</v>
      </c>
      <c r="BE14" s="284">
        <v>0</v>
      </c>
      <c r="BJ14" s="204" t="s">
        <v>546</v>
      </c>
      <c r="BK14" s="284">
        <v>0</v>
      </c>
      <c r="BL14" s="284">
        <v>0</v>
      </c>
      <c r="BM14" s="284">
        <v>0</v>
      </c>
      <c r="BN14" s="284">
        <v>0</v>
      </c>
      <c r="BO14" s="284">
        <v>0</v>
      </c>
      <c r="BP14" s="284">
        <v>0</v>
      </c>
      <c r="BQ14" s="284">
        <v>0</v>
      </c>
      <c r="BR14" s="284">
        <v>0</v>
      </c>
      <c r="BS14" s="284">
        <v>0</v>
      </c>
      <c r="BT14" s="284">
        <v>0</v>
      </c>
      <c r="BU14" s="284">
        <v>0</v>
      </c>
      <c r="BV14" s="284">
        <v>0</v>
      </c>
      <c r="BW14" s="284">
        <v>0</v>
      </c>
      <c r="BX14" s="284">
        <v>0</v>
      </c>
      <c r="BY14" s="284">
        <v>0</v>
      </c>
    </row>
    <row r="15" spans="2:77" x14ac:dyDescent="0.2">
      <c r="B15" s="206" t="s">
        <v>538</v>
      </c>
      <c r="C15" s="284">
        <v>1</v>
      </c>
      <c r="AP15" s="206" t="s">
        <v>538</v>
      </c>
      <c r="AQ15" s="284">
        <v>0</v>
      </c>
      <c r="AR15" s="284">
        <v>0</v>
      </c>
      <c r="AS15" s="284">
        <v>0</v>
      </c>
      <c r="AT15" s="284">
        <v>0</v>
      </c>
      <c r="AU15" s="284">
        <v>0</v>
      </c>
      <c r="AV15" s="284">
        <v>0</v>
      </c>
      <c r="AW15" s="284">
        <v>0</v>
      </c>
      <c r="AX15" s="284">
        <v>0</v>
      </c>
      <c r="AY15" s="284">
        <v>0</v>
      </c>
      <c r="AZ15" s="284">
        <v>0</v>
      </c>
      <c r="BA15" s="284">
        <v>0</v>
      </c>
      <c r="BB15" s="284">
        <v>0</v>
      </c>
      <c r="BC15" s="284">
        <v>0</v>
      </c>
      <c r="BD15" s="284">
        <v>0</v>
      </c>
      <c r="BE15" s="284">
        <v>0</v>
      </c>
      <c r="BJ15" s="206" t="s">
        <v>538</v>
      </c>
      <c r="BK15" s="284">
        <v>0</v>
      </c>
      <c r="BL15" s="284">
        <v>0</v>
      </c>
      <c r="BM15" s="284">
        <v>0</v>
      </c>
      <c r="BN15" s="284">
        <v>0</v>
      </c>
      <c r="BO15" s="284">
        <v>0</v>
      </c>
      <c r="BP15" s="284">
        <v>0</v>
      </c>
      <c r="BQ15" s="284">
        <v>0</v>
      </c>
      <c r="BR15" s="284">
        <v>0</v>
      </c>
      <c r="BS15" s="284">
        <v>0</v>
      </c>
      <c r="BT15" s="284">
        <v>0</v>
      </c>
      <c r="BU15" s="284">
        <v>0</v>
      </c>
      <c r="BV15" s="284">
        <v>0</v>
      </c>
      <c r="BW15" s="284">
        <v>0</v>
      </c>
      <c r="BX15" s="284">
        <v>0</v>
      </c>
      <c r="BY15" s="284">
        <v>0</v>
      </c>
    </row>
    <row r="16" spans="2:77" x14ac:dyDescent="0.2">
      <c r="B16" s="204" t="s">
        <v>524</v>
      </c>
      <c r="C16" s="284">
        <v>1</v>
      </c>
      <c r="AP16" s="204" t="s">
        <v>524</v>
      </c>
      <c r="AQ16" s="284">
        <v>0</v>
      </c>
      <c r="AR16" s="284">
        <v>0</v>
      </c>
      <c r="AS16" s="284">
        <v>0</v>
      </c>
      <c r="AT16" s="284">
        <v>0</v>
      </c>
      <c r="AU16" s="284">
        <v>0</v>
      </c>
      <c r="AV16" s="284">
        <v>0</v>
      </c>
      <c r="AW16" s="284">
        <v>0</v>
      </c>
      <c r="AX16" s="284">
        <v>0</v>
      </c>
      <c r="AY16" s="284">
        <v>0</v>
      </c>
      <c r="AZ16" s="284">
        <v>0</v>
      </c>
      <c r="BA16" s="284">
        <v>0</v>
      </c>
      <c r="BB16" s="284">
        <v>0</v>
      </c>
      <c r="BC16" s="284">
        <v>0</v>
      </c>
      <c r="BD16" s="284">
        <v>0</v>
      </c>
      <c r="BE16" s="284">
        <v>0</v>
      </c>
      <c r="BJ16" s="204" t="s">
        <v>524</v>
      </c>
      <c r="BK16" s="284">
        <v>0</v>
      </c>
      <c r="BL16" s="284">
        <v>0</v>
      </c>
      <c r="BM16" s="284">
        <v>0</v>
      </c>
      <c r="BN16" s="284">
        <v>0</v>
      </c>
      <c r="BO16" s="284">
        <v>0</v>
      </c>
      <c r="BP16" s="284">
        <v>0</v>
      </c>
      <c r="BQ16" s="284">
        <v>0</v>
      </c>
      <c r="BR16" s="284">
        <v>0</v>
      </c>
      <c r="BS16" s="284">
        <v>0</v>
      </c>
      <c r="BT16" s="284">
        <v>0</v>
      </c>
      <c r="BU16" s="284">
        <v>0</v>
      </c>
      <c r="BV16" s="284">
        <v>0</v>
      </c>
      <c r="BW16" s="284">
        <v>0</v>
      </c>
      <c r="BX16" s="284">
        <v>0</v>
      </c>
      <c r="BY16" s="284">
        <v>0</v>
      </c>
    </row>
    <row r="17" spans="2:77" ht="16" x14ac:dyDescent="0.2">
      <c r="B17" s="205" t="s">
        <v>550</v>
      </c>
      <c r="C17" s="284">
        <v>1</v>
      </c>
      <c r="AP17" s="205" t="s">
        <v>550</v>
      </c>
      <c r="AQ17" s="284">
        <v>0</v>
      </c>
      <c r="AR17" s="284">
        <v>0</v>
      </c>
      <c r="AS17" s="284">
        <v>0</v>
      </c>
      <c r="AT17" s="284">
        <v>0</v>
      </c>
      <c r="AU17" s="284">
        <v>0</v>
      </c>
      <c r="AV17" s="284">
        <v>0</v>
      </c>
      <c r="AW17" s="284">
        <v>0</v>
      </c>
      <c r="AX17" s="284">
        <v>0</v>
      </c>
      <c r="AY17" s="284">
        <v>0</v>
      </c>
      <c r="AZ17" s="284">
        <v>0</v>
      </c>
      <c r="BA17" s="284">
        <v>0</v>
      </c>
      <c r="BB17" s="284">
        <v>0</v>
      </c>
      <c r="BC17" s="284">
        <v>0</v>
      </c>
      <c r="BD17" s="284">
        <v>0</v>
      </c>
      <c r="BE17" s="284">
        <v>0</v>
      </c>
      <c r="BJ17" s="205" t="s">
        <v>550</v>
      </c>
      <c r="BK17" s="284">
        <v>0</v>
      </c>
      <c r="BL17" s="284">
        <v>0</v>
      </c>
      <c r="BM17" s="284">
        <v>0</v>
      </c>
      <c r="BN17" s="284">
        <v>0</v>
      </c>
      <c r="BO17" s="284">
        <v>0</v>
      </c>
      <c r="BP17" s="284">
        <v>0</v>
      </c>
      <c r="BQ17" s="284">
        <v>0</v>
      </c>
      <c r="BR17" s="284">
        <v>0</v>
      </c>
      <c r="BS17" s="284">
        <v>0</v>
      </c>
      <c r="BT17" s="284">
        <v>0</v>
      </c>
      <c r="BU17" s="284">
        <v>0</v>
      </c>
      <c r="BV17" s="284">
        <v>0</v>
      </c>
      <c r="BW17" s="284">
        <v>0</v>
      </c>
      <c r="BX17" s="284">
        <v>0</v>
      </c>
      <c r="BY17" s="284">
        <v>0</v>
      </c>
    </row>
    <row r="18" spans="2:77" ht="16" x14ac:dyDescent="0.2">
      <c r="B18" s="205" t="s">
        <v>545</v>
      </c>
      <c r="C18" s="284">
        <v>1</v>
      </c>
      <c r="AP18" s="205" t="s">
        <v>545</v>
      </c>
      <c r="AQ18" s="284">
        <v>0</v>
      </c>
      <c r="AR18" s="284">
        <v>0</v>
      </c>
      <c r="AS18" s="284">
        <v>0</v>
      </c>
      <c r="AT18" s="284">
        <v>0</v>
      </c>
      <c r="AU18" s="284">
        <v>0</v>
      </c>
      <c r="AV18" s="284">
        <v>0</v>
      </c>
      <c r="AW18" s="284">
        <v>0</v>
      </c>
      <c r="AX18" s="284">
        <v>0</v>
      </c>
      <c r="AY18" s="284">
        <v>0</v>
      </c>
      <c r="AZ18" s="284">
        <v>0</v>
      </c>
      <c r="BA18" s="284">
        <v>0</v>
      </c>
      <c r="BB18" s="284">
        <v>0</v>
      </c>
      <c r="BC18" s="284">
        <v>0</v>
      </c>
      <c r="BD18" s="284">
        <v>0</v>
      </c>
      <c r="BE18" s="284">
        <v>0</v>
      </c>
      <c r="BJ18" s="205" t="s">
        <v>545</v>
      </c>
      <c r="BK18" s="284">
        <v>0</v>
      </c>
      <c r="BL18" s="284">
        <v>0</v>
      </c>
      <c r="BM18" s="284">
        <v>0</v>
      </c>
      <c r="BN18" s="284">
        <v>0</v>
      </c>
      <c r="BO18" s="284">
        <v>0</v>
      </c>
      <c r="BP18" s="284">
        <v>0</v>
      </c>
      <c r="BQ18" s="284">
        <v>0</v>
      </c>
      <c r="BR18" s="284">
        <v>0</v>
      </c>
      <c r="BS18" s="284">
        <v>0</v>
      </c>
      <c r="BT18" s="284">
        <v>0</v>
      </c>
      <c r="BU18" s="284">
        <v>0</v>
      </c>
      <c r="BV18" s="284">
        <v>0</v>
      </c>
      <c r="BW18" s="284">
        <v>0</v>
      </c>
      <c r="BX18" s="284">
        <v>0</v>
      </c>
      <c r="BY18" s="284">
        <v>0</v>
      </c>
    </row>
    <row r="19" spans="2:77" ht="16" x14ac:dyDescent="0.2">
      <c r="B19" s="205" t="s">
        <v>542</v>
      </c>
      <c r="C19" s="284">
        <v>1</v>
      </c>
      <c r="AP19" s="205" t="s">
        <v>542</v>
      </c>
      <c r="AQ19" s="284">
        <v>0</v>
      </c>
      <c r="AR19" s="284">
        <v>0</v>
      </c>
      <c r="AS19" s="284">
        <v>0</v>
      </c>
      <c r="AT19" s="284">
        <v>0</v>
      </c>
      <c r="AU19" s="284">
        <v>0</v>
      </c>
      <c r="AV19" s="284">
        <v>0</v>
      </c>
      <c r="AW19" s="284">
        <v>0</v>
      </c>
      <c r="AX19" s="284">
        <v>0</v>
      </c>
      <c r="AY19" s="284">
        <v>0</v>
      </c>
      <c r="AZ19" s="284">
        <v>0</v>
      </c>
      <c r="BA19" s="284">
        <v>0</v>
      </c>
      <c r="BB19" s="284">
        <v>0</v>
      </c>
      <c r="BC19" s="284">
        <v>0</v>
      </c>
      <c r="BD19" s="284">
        <v>0</v>
      </c>
      <c r="BE19" s="284">
        <v>0</v>
      </c>
      <c r="BJ19" s="205" t="s">
        <v>542</v>
      </c>
      <c r="BK19" s="284">
        <v>0</v>
      </c>
      <c r="BL19" s="284">
        <v>0</v>
      </c>
      <c r="BM19" s="284">
        <v>0</v>
      </c>
      <c r="BN19" s="284">
        <v>0</v>
      </c>
      <c r="BO19" s="284">
        <v>0</v>
      </c>
      <c r="BP19" s="284">
        <v>0</v>
      </c>
      <c r="BQ19" s="284">
        <v>0</v>
      </c>
      <c r="BR19" s="284">
        <v>0</v>
      </c>
      <c r="BS19" s="284">
        <v>0</v>
      </c>
      <c r="BT19" s="284">
        <v>0</v>
      </c>
      <c r="BU19" s="284">
        <v>0</v>
      </c>
      <c r="BV19" s="284">
        <v>0</v>
      </c>
      <c r="BW19" s="284">
        <v>0</v>
      </c>
      <c r="BX19" s="284">
        <v>0</v>
      </c>
      <c r="BY19" s="284">
        <v>0</v>
      </c>
    </row>
    <row r="20" spans="2:77" ht="16" x14ac:dyDescent="0.2">
      <c r="B20" s="205" t="s">
        <v>548</v>
      </c>
      <c r="C20" s="284">
        <v>1</v>
      </c>
      <c r="AP20" s="205" t="s">
        <v>548</v>
      </c>
      <c r="AQ20" s="284">
        <v>0</v>
      </c>
      <c r="AR20" s="284">
        <v>0</v>
      </c>
      <c r="AS20" s="284">
        <v>0</v>
      </c>
      <c r="AT20" s="284">
        <v>0</v>
      </c>
      <c r="AU20" s="284">
        <v>0</v>
      </c>
      <c r="AV20" s="284">
        <v>0</v>
      </c>
      <c r="AW20" s="284">
        <v>0</v>
      </c>
      <c r="AX20" s="284">
        <v>0</v>
      </c>
      <c r="AY20" s="284">
        <v>0</v>
      </c>
      <c r="AZ20" s="284">
        <v>0</v>
      </c>
      <c r="BA20" s="284">
        <v>0</v>
      </c>
      <c r="BB20" s="284">
        <v>0</v>
      </c>
      <c r="BC20" s="284">
        <v>0</v>
      </c>
      <c r="BD20" s="284">
        <v>0</v>
      </c>
      <c r="BE20" s="284">
        <v>0</v>
      </c>
      <c r="BJ20" s="205" t="s">
        <v>548</v>
      </c>
      <c r="BK20" s="284">
        <v>0</v>
      </c>
      <c r="BL20" s="284">
        <v>0</v>
      </c>
      <c r="BM20" s="284">
        <v>0</v>
      </c>
      <c r="BN20" s="284">
        <v>0</v>
      </c>
      <c r="BO20" s="284">
        <v>0</v>
      </c>
      <c r="BP20" s="284">
        <v>0</v>
      </c>
      <c r="BQ20" s="284">
        <v>0</v>
      </c>
      <c r="BR20" s="284">
        <v>0</v>
      </c>
      <c r="BS20" s="284">
        <v>0</v>
      </c>
      <c r="BT20" s="284">
        <v>0</v>
      </c>
      <c r="BU20" s="284">
        <v>0</v>
      </c>
      <c r="BV20" s="284">
        <v>0</v>
      </c>
      <c r="BW20" s="284">
        <v>0</v>
      </c>
      <c r="BX20" s="284">
        <v>0</v>
      </c>
      <c r="BY20" s="284">
        <v>0</v>
      </c>
    </row>
    <row r="21" spans="2:77" x14ac:dyDescent="0.2">
      <c r="B21" s="206" t="s">
        <v>547</v>
      </c>
      <c r="C21" s="284">
        <v>1</v>
      </c>
      <c r="AP21" s="206" t="s">
        <v>547</v>
      </c>
      <c r="AQ21" s="284">
        <v>0</v>
      </c>
      <c r="AR21" s="284">
        <v>0</v>
      </c>
      <c r="AS21" s="284">
        <v>0</v>
      </c>
      <c r="AT21" s="284">
        <v>0</v>
      </c>
      <c r="AU21" s="284">
        <v>0</v>
      </c>
      <c r="AV21" s="284">
        <v>0</v>
      </c>
      <c r="AW21" s="284">
        <v>0</v>
      </c>
      <c r="AX21" s="284">
        <v>0</v>
      </c>
      <c r="AY21" s="284">
        <v>0</v>
      </c>
      <c r="AZ21" s="284">
        <v>0</v>
      </c>
      <c r="BA21" s="284">
        <v>0</v>
      </c>
      <c r="BB21" s="284">
        <v>0</v>
      </c>
      <c r="BC21" s="284">
        <v>0</v>
      </c>
      <c r="BD21" s="284">
        <v>0</v>
      </c>
      <c r="BE21" s="284">
        <v>0</v>
      </c>
      <c r="BJ21" s="206" t="s">
        <v>547</v>
      </c>
      <c r="BK21" s="284">
        <v>0</v>
      </c>
      <c r="BL21" s="284">
        <v>0</v>
      </c>
      <c r="BM21" s="284">
        <v>0</v>
      </c>
      <c r="BN21" s="284">
        <v>0</v>
      </c>
      <c r="BO21" s="284">
        <v>0</v>
      </c>
      <c r="BP21" s="284">
        <v>0</v>
      </c>
      <c r="BQ21" s="284">
        <v>0</v>
      </c>
      <c r="BR21" s="284">
        <v>0</v>
      </c>
      <c r="BS21" s="284">
        <v>0</v>
      </c>
      <c r="BT21" s="284">
        <v>0</v>
      </c>
      <c r="BU21" s="284">
        <v>0</v>
      </c>
      <c r="BV21" s="284">
        <v>0</v>
      </c>
      <c r="BW21" s="284">
        <v>0</v>
      </c>
      <c r="BX21" s="284">
        <v>0</v>
      </c>
      <c r="BY21" s="284">
        <v>0</v>
      </c>
    </row>
    <row r="22" spans="2:77" x14ac:dyDescent="0.2">
      <c r="B22" s="206" t="s">
        <v>532</v>
      </c>
      <c r="C22" s="284">
        <v>1</v>
      </c>
      <c r="AP22" s="206" t="s">
        <v>532</v>
      </c>
      <c r="AQ22" s="284">
        <v>0</v>
      </c>
      <c r="AR22" s="284">
        <v>0</v>
      </c>
      <c r="AS22" s="284">
        <v>0</v>
      </c>
      <c r="AT22" s="284">
        <v>0</v>
      </c>
      <c r="AU22" s="284">
        <v>0</v>
      </c>
      <c r="AV22" s="284">
        <v>0</v>
      </c>
      <c r="AW22" s="284">
        <v>0</v>
      </c>
      <c r="AX22" s="284">
        <v>0</v>
      </c>
      <c r="AY22" s="284">
        <v>0</v>
      </c>
      <c r="AZ22" s="284">
        <v>0</v>
      </c>
      <c r="BA22" s="284">
        <v>0</v>
      </c>
      <c r="BB22" s="284">
        <v>0</v>
      </c>
      <c r="BC22" s="284">
        <v>0</v>
      </c>
      <c r="BD22" s="284">
        <v>0</v>
      </c>
      <c r="BE22" s="284">
        <v>0</v>
      </c>
      <c r="BJ22" s="206" t="s">
        <v>532</v>
      </c>
      <c r="BK22" s="284">
        <v>0</v>
      </c>
      <c r="BL22" s="284">
        <v>0</v>
      </c>
      <c r="BM22" s="284">
        <v>0</v>
      </c>
      <c r="BN22" s="284">
        <v>0</v>
      </c>
      <c r="BO22" s="284">
        <v>0</v>
      </c>
      <c r="BP22" s="284">
        <v>0</v>
      </c>
      <c r="BQ22" s="284">
        <v>0</v>
      </c>
      <c r="BR22" s="284">
        <v>0</v>
      </c>
      <c r="BS22" s="284">
        <v>0</v>
      </c>
      <c r="BT22" s="284">
        <v>0</v>
      </c>
      <c r="BU22" s="284">
        <v>0</v>
      </c>
      <c r="BV22" s="284">
        <v>0</v>
      </c>
      <c r="BW22" s="284">
        <v>0</v>
      </c>
      <c r="BX22" s="284">
        <v>0</v>
      </c>
      <c r="BY22" s="284">
        <v>0</v>
      </c>
    </row>
    <row r="23" spans="2:77" x14ac:dyDescent="0.2">
      <c r="B23" s="206" t="s">
        <v>566</v>
      </c>
      <c r="C23" s="284">
        <v>1</v>
      </c>
      <c r="AP23" s="206" t="s">
        <v>566</v>
      </c>
      <c r="AQ23" s="284">
        <v>0</v>
      </c>
      <c r="AR23" s="284">
        <v>0</v>
      </c>
      <c r="AS23" s="284">
        <v>0</v>
      </c>
      <c r="AT23" s="284">
        <v>0</v>
      </c>
      <c r="AU23" s="284">
        <v>0</v>
      </c>
      <c r="AV23" s="284">
        <v>0</v>
      </c>
      <c r="AW23" s="284">
        <v>0</v>
      </c>
      <c r="AX23" s="284">
        <v>0</v>
      </c>
      <c r="AY23" s="284">
        <v>0</v>
      </c>
      <c r="AZ23" s="284">
        <v>0</v>
      </c>
      <c r="BA23" s="284">
        <v>0</v>
      </c>
      <c r="BB23" s="284">
        <v>0</v>
      </c>
      <c r="BC23" s="284">
        <v>0</v>
      </c>
      <c r="BD23" s="284">
        <v>0</v>
      </c>
      <c r="BE23" s="284">
        <v>0</v>
      </c>
      <c r="BJ23" s="206" t="s">
        <v>566</v>
      </c>
      <c r="BK23" s="284">
        <v>0</v>
      </c>
      <c r="BL23" s="284">
        <v>0</v>
      </c>
      <c r="BM23" s="284">
        <v>0</v>
      </c>
      <c r="BN23" s="284">
        <v>0</v>
      </c>
      <c r="BO23" s="284">
        <v>0</v>
      </c>
      <c r="BP23" s="284">
        <v>0</v>
      </c>
      <c r="BQ23" s="284">
        <v>0</v>
      </c>
      <c r="BR23" s="284">
        <v>0</v>
      </c>
      <c r="BS23" s="284">
        <v>0</v>
      </c>
      <c r="BT23" s="284">
        <v>0</v>
      </c>
      <c r="BU23" s="284">
        <v>0</v>
      </c>
      <c r="BV23" s="284">
        <v>0</v>
      </c>
      <c r="BW23" s="284">
        <v>0</v>
      </c>
      <c r="BX23" s="284">
        <v>0</v>
      </c>
      <c r="BY23" s="284">
        <v>0</v>
      </c>
    </row>
    <row r="24" spans="2:77" x14ac:dyDescent="0.2">
      <c r="B24" s="206" t="s">
        <v>533</v>
      </c>
      <c r="C24" s="284">
        <v>1</v>
      </c>
      <c r="AP24" s="206" t="s">
        <v>533</v>
      </c>
      <c r="AQ24" s="284">
        <v>0</v>
      </c>
      <c r="AR24" s="284">
        <v>0</v>
      </c>
      <c r="AS24" s="284">
        <v>0</v>
      </c>
      <c r="AT24" s="284">
        <v>0</v>
      </c>
      <c r="AU24" s="284">
        <v>0</v>
      </c>
      <c r="AV24" s="284">
        <v>0</v>
      </c>
      <c r="AW24" s="284">
        <v>0</v>
      </c>
      <c r="AX24" s="284">
        <v>0</v>
      </c>
      <c r="AY24" s="284">
        <v>0</v>
      </c>
      <c r="AZ24" s="284">
        <v>0</v>
      </c>
      <c r="BA24" s="284">
        <v>0</v>
      </c>
      <c r="BB24" s="284">
        <v>0</v>
      </c>
      <c r="BC24" s="284">
        <v>0</v>
      </c>
      <c r="BD24" s="284">
        <v>0</v>
      </c>
      <c r="BE24" s="284">
        <v>0</v>
      </c>
      <c r="BJ24" s="206" t="s">
        <v>533</v>
      </c>
      <c r="BK24" s="284">
        <v>0</v>
      </c>
      <c r="BL24" s="284">
        <v>0</v>
      </c>
      <c r="BM24" s="284">
        <v>0</v>
      </c>
      <c r="BN24" s="284">
        <v>0</v>
      </c>
      <c r="BO24" s="284">
        <v>0</v>
      </c>
      <c r="BP24" s="284">
        <v>0</v>
      </c>
      <c r="BQ24" s="284">
        <v>0</v>
      </c>
      <c r="BR24" s="284">
        <v>0</v>
      </c>
      <c r="BS24" s="284">
        <v>0</v>
      </c>
      <c r="BT24" s="284">
        <v>0</v>
      </c>
      <c r="BU24" s="284">
        <v>0</v>
      </c>
      <c r="BV24" s="284">
        <v>0</v>
      </c>
      <c r="BW24" s="284">
        <v>0</v>
      </c>
      <c r="BX24" s="284">
        <v>0</v>
      </c>
      <c r="BY24" s="284">
        <v>0</v>
      </c>
    </row>
    <row r="25" spans="2:77" x14ac:dyDescent="0.2">
      <c r="B25" s="206" t="s">
        <v>535</v>
      </c>
      <c r="C25" s="284">
        <v>1</v>
      </c>
      <c r="AP25" s="206" t="s">
        <v>535</v>
      </c>
      <c r="AQ25" s="284">
        <v>0</v>
      </c>
      <c r="AR25" s="284">
        <v>0</v>
      </c>
      <c r="AS25" s="284">
        <v>0</v>
      </c>
      <c r="AT25" s="284">
        <v>0</v>
      </c>
      <c r="AU25" s="284">
        <v>0</v>
      </c>
      <c r="AV25" s="284">
        <v>0</v>
      </c>
      <c r="AW25" s="284">
        <v>0</v>
      </c>
      <c r="AX25" s="284">
        <v>0</v>
      </c>
      <c r="AY25" s="284">
        <v>0</v>
      </c>
      <c r="AZ25" s="284">
        <v>0</v>
      </c>
      <c r="BA25" s="284">
        <v>0</v>
      </c>
      <c r="BB25" s="284">
        <v>0</v>
      </c>
      <c r="BC25" s="284">
        <v>0</v>
      </c>
      <c r="BD25" s="284">
        <v>0</v>
      </c>
      <c r="BE25" s="284">
        <v>0</v>
      </c>
      <c r="BJ25" s="206" t="s">
        <v>535</v>
      </c>
      <c r="BK25" s="284">
        <v>0</v>
      </c>
      <c r="BL25" s="284">
        <v>0</v>
      </c>
      <c r="BM25" s="284">
        <v>0</v>
      </c>
      <c r="BN25" s="284">
        <v>0</v>
      </c>
      <c r="BO25" s="284">
        <v>0</v>
      </c>
      <c r="BP25" s="284">
        <v>0</v>
      </c>
      <c r="BQ25" s="284">
        <v>0</v>
      </c>
      <c r="BR25" s="284">
        <v>0</v>
      </c>
      <c r="BS25" s="284">
        <v>0</v>
      </c>
      <c r="BT25" s="284">
        <v>0</v>
      </c>
      <c r="BU25" s="284">
        <v>0</v>
      </c>
      <c r="BV25" s="284">
        <v>0</v>
      </c>
      <c r="BW25" s="284">
        <v>0</v>
      </c>
      <c r="BX25" s="284">
        <v>0</v>
      </c>
      <c r="BY25" s="284">
        <v>0</v>
      </c>
    </row>
    <row r="26" spans="2:77" x14ac:dyDescent="0.2">
      <c r="B26" s="206" t="s">
        <v>534</v>
      </c>
      <c r="C26" s="284">
        <v>1</v>
      </c>
      <c r="AP26" s="206" t="s">
        <v>534</v>
      </c>
      <c r="AQ26" s="284">
        <v>0</v>
      </c>
      <c r="AR26" s="284">
        <v>0</v>
      </c>
      <c r="AS26" s="284">
        <v>0</v>
      </c>
      <c r="AT26" s="284">
        <v>0</v>
      </c>
      <c r="AU26" s="284">
        <v>0</v>
      </c>
      <c r="AV26" s="284">
        <v>0</v>
      </c>
      <c r="AW26" s="284">
        <v>0</v>
      </c>
      <c r="AX26" s="284">
        <v>0</v>
      </c>
      <c r="AY26" s="284">
        <v>0</v>
      </c>
      <c r="AZ26" s="284">
        <v>0</v>
      </c>
      <c r="BA26" s="284">
        <v>0</v>
      </c>
      <c r="BB26" s="284">
        <v>0</v>
      </c>
      <c r="BC26" s="284">
        <v>0</v>
      </c>
      <c r="BD26" s="284">
        <v>0</v>
      </c>
      <c r="BE26" s="284">
        <v>0</v>
      </c>
      <c r="BJ26" s="206" t="s">
        <v>534</v>
      </c>
      <c r="BK26" s="284">
        <v>0</v>
      </c>
      <c r="BL26" s="284">
        <v>0</v>
      </c>
      <c r="BM26" s="284">
        <v>0</v>
      </c>
      <c r="BN26" s="284">
        <v>0</v>
      </c>
      <c r="BO26" s="284">
        <v>0</v>
      </c>
      <c r="BP26" s="284">
        <v>0</v>
      </c>
      <c r="BQ26" s="284">
        <v>0</v>
      </c>
      <c r="BR26" s="284">
        <v>0</v>
      </c>
      <c r="BS26" s="284">
        <v>0</v>
      </c>
      <c r="BT26" s="284">
        <v>0</v>
      </c>
      <c r="BU26" s="284">
        <v>0</v>
      </c>
      <c r="BV26" s="284">
        <v>0</v>
      </c>
      <c r="BW26" s="284">
        <v>0</v>
      </c>
      <c r="BX26" s="284">
        <v>0</v>
      </c>
      <c r="BY26" s="284">
        <v>0</v>
      </c>
    </row>
    <row r="27" spans="2:77" x14ac:dyDescent="0.2">
      <c r="B27" s="206" t="s">
        <v>632</v>
      </c>
      <c r="C27" s="284">
        <v>1</v>
      </c>
      <c r="AP27" s="206" t="s">
        <v>632</v>
      </c>
      <c r="AQ27" s="284">
        <v>0</v>
      </c>
      <c r="AR27" s="284">
        <v>0</v>
      </c>
      <c r="AS27" s="284">
        <v>0</v>
      </c>
      <c r="AT27" s="284">
        <v>0</v>
      </c>
      <c r="AU27" s="284">
        <v>0</v>
      </c>
      <c r="AV27" s="284">
        <v>0</v>
      </c>
      <c r="AW27" s="284">
        <v>0</v>
      </c>
      <c r="AX27" s="284">
        <v>0</v>
      </c>
      <c r="AY27" s="284">
        <v>0</v>
      </c>
      <c r="AZ27" s="284">
        <v>0</v>
      </c>
      <c r="BA27" s="284">
        <v>0</v>
      </c>
      <c r="BB27" s="284">
        <v>0</v>
      </c>
      <c r="BC27" s="284">
        <v>0</v>
      </c>
      <c r="BD27" s="284">
        <v>0</v>
      </c>
      <c r="BE27" s="284">
        <v>0</v>
      </c>
      <c r="BJ27" s="206" t="s">
        <v>632</v>
      </c>
      <c r="BK27" s="284">
        <v>0</v>
      </c>
      <c r="BL27" s="284">
        <v>0</v>
      </c>
      <c r="BM27" s="284">
        <v>0</v>
      </c>
      <c r="BN27" s="284">
        <v>0</v>
      </c>
      <c r="BO27" s="284">
        <v>0</v>
      </c>
      <c r="BP27" s="284">
        <v>0</v>
      </c>
      <c r="BQ27" s="284">
        <v>0</v>
      </c>
      <c r="BR27" s="284">
        <v>0</v>
      </c>
      <c r="BS27" s="284">
        <v>0</v>
      </c>
      <c r="BT27" s="284">
        <v>0</v>
      </c>
      <c r="BU27" s="284">
        <v>0</v>
      </c>
      <c r="BV27" s="284">
        <v>0</v>
      </c>
      <c r="BW27" s="284">
        <v>0</v>
      </c>
      <c r="BX27" s="284">
        <v>0</v>
      </c>
      <c r="BY27" s="284">
        <v>0</v>
      </c>
    </row>
    <row r="28" spans="2:77" ht="16" x14ac:dyDescent="0.2">
      <c r="B28" s="253" t="s">
        <v>530</v>
      </c>
      <c r="C28" s="284">
        <v>1</v>
      </c>
      <c r="AP28" s="253" t="s">
        <v>530</v>
      </c>
      <c r="AQ28" s="284">
        <v>0</v>
      </c>
      <c r="AR28" s="284">
        <v>0</v>
      </c>
      <c r="AS28" s="284">
        <v>0</v>
      </c>
      <c r="AT28" s="284">
        <v>0</v>
      </c>
      <c r="AU28" s="284">
        <v>0</v>
      </c>
      <c r="AV28" s="284">
        <v>0</v>
      </c>
      <c r="AW28" s="284">
        <v>0</v>
      </c>
      <c r="AX28" s="284">
        <v>0</v>
      </c>
      <c r="AY28" s="284">
        <v>0</v>
      </c>
      <c r="AZ28" s="284">
        <v>0</v>
      </c>
      <c r="BA28" s="284">
        <v>0</v>
      </c>
      <c r="BB28" s="284">
        <v>0</v>
      </c>
      <c r="BC28" s="284">
        <v>0</v>
      </c>
      <c r="BD28" s="284">
        <v>0</v>
      </c>
      <c r="BE28" s="284">
        <v>0</v>
      </c>
      <c r="BJ28" s="253" t="s">
        <v>530</v>
      </c>
      <c r="BK28" s="284">
        <v>0</v>
      </c>
      <c r="BL28" s="284">
        <v>0</v>
      </c>
      <c r="BM28" s="284">
        <v>0</v>
      </c>
      <c r="BN28" s="284">
        <v>0</v>
      </c>
      <c r="BO28" s="284">
        <v>0</v>
      </c>
      <c r="BP28" s="284">
        <v>0</v>
      </c>
      <c r="BQ28" s="284">
        <v>0</v>
      </c>
      <c r="BR28" s="284">
        <v>0</v>
      </c>
      <c r="BS28" s="284">
        <v>0</v>
      </c>
      <c r="BT28" s="284">
        <v>0</v>
      </c>
      <c r="BU28" s="284">
        <v>0</v>
      </c>
      <c r="BV28" s="284">
        <v>0</v>
      </c>
      <c r="BW28" s="284">
        <v>0</v>
      </c>
      <c r="BX28" s="284">
        <v>0</v>
      </c>
      <c r="BY28" s="284">
        <v>0</v>
      </c>
    </row>
    <row r="29" spans="2:77" x14ac:dyDescent="0.2">
      <c r="B29" s="206" t="s">
        <v>529</v>
      </c>
      <c r="C29" s="284">
        <v>1</v>
      </c>
      <c r="AP29" s="206" t="s">
        <v>529</v>
      </c>
      <c r="AQ29" s="284">
        <v>0</v>
      </c>
      <c r="AR29" s="284">
        <v>0</v>
      </c>
      <c r="AS29" s="284">
        <v>0</v>
      </c>
      <c r="AT29" s="284">
        <v>0</v>
      </c>
      <c r="AU29" s="284">
        <v>0</v>
      </c>
      <c r="AV29" s="284">
        <v>0</v>
      </c>
      <c r="AW29" s="284">
        <v>0</v>
      </c>
      <c r="AX29" s="284">
        <v>0</v>
      </c>
      <c r="AY29" s="284">
        <v>0</v>
      </c>
      <c r="AZ29" s="284">
        <v>0</v>
      </c>
      <c r="BA29" s="284">
        <v>0</v>
      </c>
      <c r="BB29" s="284">
        <v>0</v>
      </c>
      <c r="BC29" s="284">
        <v>0</v>
      </c>
      <c r="BD29" s="284">
        <v>0</v>
      </c>
      <c r="BE29" s="284">
        <v>0</v>
      </c>
      <c r="BJ29" s="206" t="s">
        <v>529</v>
      </c>
      <c r="BK29" s="284">
        <v>0</v>
      </c>
      <c r="BL29" s="284">
        <v>0</v>
      </c>
      <c r="BM29" s="284">
        <v>0</v>
      </c>
      <c r="BN29" s="284">
        <v>0</v>
      </c>
      <c r="BO29" s="284">
        <v>0</v>
      </c>
      <c r="BP29" s="284">
        <v>0</v>
      </c>
      <c r="BQ29" s="284">
        <v>0</v>
      </c>
      <c r="BR29" s="284">
        <v>0</v>
      </c>
      <c r="BS29" s="284">
        <v>0</v>
      </c>
      <c r="BT29" s="284">
        <v>0</v>
      </c>
      <c r="BU29" s="284">
        <v>0</v>
      </c>
      <c r="BV29" s="284">
        <v>0</v>
      </c>
      <c r="BW29" s="284">
        <v>0</v>
      </c>
      <c r="BX29" s="284">
        <v>0</v>
      </c>
      <c r="BY29" s="284">
        <v>0</v>
      </c>
    </row>
    <row r="30" spans="2:77" x14ac:dyDescent="0.2">
      <c r="B30" s="204" t="s">
        <v>531</v>
      </c>
      <c r="C30" s="284">
        <v>1</v>
      </c>
      <c r="AP30" s="204" t="s">
        <v>531</v>
      </c>
      <c r="AQ30" s="284">
        <v>0</v>
      </c>
      <c r="AR30" s="284">
        <v>0</v>
      </c>
      <c r="AS30" s="284">
        <v>0</v>
      </c>
      <c r="AT30" s="284">
        <v>0</v>
      </c>
      <c r="AU30" s="284">
        <v>0</v>
      </c>
      <c r="AV30" s="284">
        <v>0</v>
      </c>
      <c r="AW30" s="284">
        <v>0</v>
      </c>
      <c r="AX30" s="284">
        <v>0</v>
      </c>
      <c r="AY30" s="284">
        <v>0</v>
      </c>
      <c r="AZ30" s="284">
        <v>0</v>
      </c>
      <c r="BA30" s="284">
        <v>0</v>
      </c>
      <c r="BB30" s="284">
        <v>0</v>
      </c>
      <c r="BC30" s="284">
        <v>0</v>
      </c>
      <c r="BD30" s="284">
        <v>0</v>
      </c>
      <c r="BE30" s="284">
        <v>0</v>
      </c>
      <c r="BJ30" s="204" t="s">
        <v>531</v>
      </c>
      <c r="BK30" s="284">
        <v>0</v>
      </c>
      <c r="BL30" s="284">
        <v>0</v>
      </c>
      <c r="BM30" s="284">
        <v>0</v>
      </c>
      <c r="BN30" s="284">
        <v>0</v>
      </c>
      <c r="BO30" s="284">
        <v>0</v>
      </c>
      <c r="BP30" s="284">
        <v>0</v>
      </c>
      <c r="BQ30" s="284">
        <v>0</v>
      </c>
      <c r="BR30" s="284">
        <v>0</v>
      </c>
      <c r="BS30" s="284">
        <v>0</v>
      </c>
      <c r="BT30" s="284">
        <v>0</v>
      </c>
      <c r="BU30" s="284">
        <v>0</v>
      </c>
      <c r="BV30" s="284">
        <v>0</v>
      </c>
      <c r="BW30" s="284">
        <v>0</v>
      </c>
      <c r="BX30" s="284">
        <v>0</v>
      </c>
      <c r="BY30" s="284">
        <v>0</v>
      </c>
    </row>
    <row r="31" spans="2:77" x14ac:dyDescent="0.2">
      <c r="B31" s="206" t="s">
        <v>527</v>
      </c>
      <c r="C31" s="284">
        <v>1</v>
      </c>
      <c r="AP31" s="206" t="s">
        <v>673</v>
      </c>
      <c r="AQ31" s="284">
        <v>0</v>
      </c>
      <c r="AR31" s="284">
        <v>0</v>
      </c>
      <c r="AS31" s="284">
        <v>0</v>
      </c>
      <c r="AT31" s="284">
        <v>0</v>
      </c>
      <c r="AU31" s="284">
        <v>0</v>
      </c>
      <c r="AV31" s="284">
        <v>0</v>
      </c>
      <c r="AW31" s="284">
        <v>0</v>
      </c>
      <c r="AX31" s="284">
        <v>0</v>
      </c>
      <c r="AY31" s="284">
        <v>0</v>
      </c>
      <c r="AZ31" s="284">
        <v>0</v>
      </c>
      <c r="BA31" s="284">
        <v>0</v>
      </c>
      <c r="BB31" s="284">
        <v>0</v>
      </c>
      <c r="BC31" s="284">
        <v>0</v>
      </c>
      <c r="BD31" s="284">
        <v>0</v>
      </c>
      <c r="BE31" s="284">
        <v>0</v>
      </c>
      <c r="BJ31" s="206" t="s">
        <v>673</v>
      </c>
      <c r="BK31" s="284">
        <v>0</v>
      </c>
      <c r="BL31" s="284">
        <v>0</v>
      </c>
      <c r="BM31" s="284">
        <v>0</v>
      </c>
      <c r="BN31" s="284">
        <v>0</v>
      </c>
      <c r="BO31" s="284">
        <v>0</v>
      </c>
      <c r="BP31" s="284">
        <v>0</v>
      </c>
      <c r="BQ31" s="284">
        <v>0</v>
      </c>
      <c r="BR31" s="284">
        <v>0</v>
      </c>
      <c r="BS31" s="284">
        <v>0</v>
      </c>
      <c r="BT31" s="284">
        <v>0</v>
      </c>
      <c r="BU31" s="284">
        <v>0</v>
      </c>
      <c r="BV31" s="284">
        <v>0</v>
      </c>
      <c r="BW31" s="284">
        <v>0</v>
      </c>
      <c r="BX31" s="284">
        <v>0</v>
      </c>
      <c r="BY31" s="284">
        <v>0</v>
      </c>
    </row>
    <row r="32" spans="2:77" x14ac:dyDescent="0.2">
      <c r="B32" s="206"/>
      <c r="C32" s="284"/>
      <c r="AP32" s="206" t="s">
        <v>676</v>
      </c>
      <c r="AQ32" s="284">
        <v>0</v>
      </c>
      <c r="AR32" s="284">
        <v>0</v>
      </c>
      <c r="AS32" s="284">
        <v>0</v>
      </c>
      <c r="AT32" s="284">
        <v>0</v>
      </c>
      <c r="AU32" s="284">
        <v>0</v>
      </c>
      <c r="AV32" s="284">
        <v>0</v>
      </c>
      <c r="AW32" s="284">
        <v>0</v>
      </c>
      <c r="AX32" s="284">
        <v>0</v>
      </c>
      <c r="AY32" s="284">
        <v>0</v>
      </c>
      <c r="AZ32" s="284">
        <v>0</v>
      </c>
      <c r="BA32" s="284">
        <v>0</v>
      </c>
      <c r="BB32" s="284">
        <v>0</v>
      </c>
      <c r="BC32" s="284">
        <v>0</v>
      </c>
      <c r="BD32" s="284">
        <v>0</v>
      </c>
      <c r="BE32" s="284">
        <v>0</v>
      </c>
      <c r="BJ32" s="206" t="s">
        <v>676</v>
      </c>
      <c r="BK32" s="284">
        <v>0</v>
      </c>
      <c r="BL32" s="284">
        <v>0</v>
      </c>
      <c r="BM32" s="284">
        <v>0</v>
      </c>
      <c r="BN32" s="284">
        <v>0</v>
      </c>
      <c r="BO32" s="284">
        <v>0</v>
      </c>
      <c r="BP32" s="284">
        <v>0</v>
      </c>
      <c r="BQ32" s="284">
        <v>0</v>
      </c>
      <c r="BR32" s="284">
        <v>0</v>
      </c>
      <c r="BS32" s="284">
        <v>0</v>
      </c>
      <c r="BT32" s="284">
        <v>0</v>
      </c>
      <c r="BU32" s="284">
        <v>0</v>
      </c>
      <c r="BV32" s="284">
        <v>0</v>
      </c>
      <c r="BW32" s="284">
        <v>0</v>
      </c>
      <c r="BX32" s="284">
        <v>0</v>
      </c>
      <c r="BY32" s="284">
        <v>0</v>
      </c>
    </row>
    <row r="33" spans="2:77" x14ac:dyDescent="0.2">
      <c r="B33" s="206" t="s">
        <v>554</v>
      </c>
      <c r="C33" s="284">
        <v>1</v>
      </c>
      <c r="AP33" s="206" t="s">
        <v>554</v>
      </c>
      <c r="AQ33" s="284">
        <v>0</v>
      </c>
      <c r="AR33" s="284">
        <v>0</v>
      </c>
      <c r="AS33" s="284">
        <v>0</v>
      </c>
      <c r="AT33" s="284">
        <v>0</v>
      </c>
      <c r="AU33" s="284">
        <v>0</v>
      </c>
      <c r="AV33" s="284">
        <v>0</v>
      </c>
      <c r="AW33" s="284">
        <v>0</v>
      </c>
      <c r="AX33" s="284">
        <v>0</v>
      </c>
      <c r="AY33" s="284">
        <v>0</v>
      </c>
      <c r="AZ33" s="284">
        <v>0</v>
      </c>
      <c r="BA33" s="284">
        <v>0</v>
      </c>
      <c r="BB33" s="284">
        <v>0</v>
      </c>
      <c r="BC33" s="284">
        <v>0</v>
      </c>
      <c r="BD33" s="284">
        <v>0</v>
      </c>
      <c r="BE33" s="284">
        <v>0</v>
      </c>
      <c r="BJ33" s="206" t="s">
        <v>554</v>
      </c>
      <c r="BK33" s="284">
        <v>0</v>
      </c>
      <c r="BL33" s="284">
        <v>0</v>
      </c>
      <c r="BM33" s="284">
        <v>0</v>
      </c>
      <c r="BN33" s="284">
        <v>0</v>
      </c>
      <c r="BO33" s="284">
        <v>0</v>
      </c>
      <c r="BP33" s="284">
        <v>0</v>
      </c>
      <c r="BQ33" s="284">
        <v>0</v>
      </c>
      <c r="BR33" s="284">
        <v>0</v>
      </c>
      <c r="BS33" s="284">
        <v>0</v>
      </c>
      <c r="BT33" s="284">
        <v>0</v>
      </c>
      <c r="BU33" s="284">
        <v>0</v>
      </c>
      <c r="BV33" s="284">
        <v>0</v>
      </c>
      <c r="BW33" s="284">
        <v>0</v>
      </c>
      <c r="BX33" s="284">
        <v>0</v>
      </c>
      <c r="BY33" s="284">
        <v>0</v>
      </c>
    </row>
    <row r="34" spans="2:77" x14ac:dyDescent="0.2">
      <c r="B34" s="206" t="s">
        <v>555</v>
      </c>
      <c r="C34" s="284">
        <v>1</v>
      </c>
      <c r="AP34" s="206" t="s">
        <v>555</v>
      </c>
      <c r="AQ34" s="284">
        <v>0</v>
      </c>
      <c r="AR34" s="284">
        <v>0</v>
      </c>
      <c r="AS34" s="284">
        <v>0</v>
      </c>
      <c r="AT34" s="284">
        <v>0</v>
      </c>
      <c r="AU34" s="284">
        <v>0</v>
      </c>
      <c r="AV34" s="284">
        <v>0</v>
      </c>
      <c r="AW34" s="284">
        <v>0</v>
      </c>
      <c r="AX34" s="284">
        <v>0</v>
      </c>
      <c r="AY34" s="284">
        <v>0</v>
      </c>
      <c r="AZ34" s="284">
        <v>0</v>
      </c>
      <c r="BA34" s="284">
        <v>0</v>
      </c>
      <c r="BB34" s="284">
        <v>0</v>
      </c>
      <c r="BC34" s="284">
        <v>0</v>
      </c>
      <c r="BD34" s="284">
        <v>0</v>
      </c>
      <c r="BE34" s="284">
        <v>0</v>
      </c>
      <c r="BJ34" s="206" t="s">
        <v>555</v>
      </c>
      <c r="BK34" s="284">
        <v>0</v>
      </c>
      <c r="BL34" s="284">
        <v>0</v>
      </c>
      <c r="BM34" s="284">
        <v>0</v>
      </c>
      <c r="BN34" s="284">
        <v>0</v>
      </c>
      <c r="BO34" s="284">
        <v>0</v>
      </c>
      <c r="BP34" s="284">
        <v>0</v>
      </c>
      <c r="BQ34" s="284">
        <v>0</v>
      </c>
      <c r="BR34" s="284">
        <v>0</v>
      </c>
      <c r="BS34" s="284">
        <v>0</v>
      </c>
      <c r="BT34" s="284">
        <v>0</v>
      </c>
      <c r="BU34" s="284">
        <v>0</v>
      </c>
      <c r="BV34" s="284">
        <v>0</v>
      </c>
      <c r="BW34" s="284">
        <v>0</v>
      </c>
      <c r="BX34" s="284">
        <v>0</v>
      </c>
      <c r="BY34" s="284">
        <v>0</v>
      </c>
    </row>
    <row r="35" spans="2:77" x14ac:dyDescent="0.2">
      <c r="B35" s="206" t="s">
        <v>556</v>
      </c>
      <c r="C35" s="284">
        <v>1</v>
      </c>
      <c r="AP35" s="206" t="s">
        <v>556</v>
      </c>
      <c r="AQ35" s="284">
        <v>0</v>
      </c>
      <c r="AR35" s="284">
        <v>0</v>
      </c>
      <c r="AS35" s="284">
        <v>0</v>
      </c>
      <c r="AT35" s="284">
        <v>0</v>
      </c>
      <c r="AU35" s="284">
        <v>0</v>
      </c>
      <c r="AV35" s="284">
        <v>0</v>
      </c>
      <c r="AW35" s="284">
        <v>0</v>
      </c>
      <c r="AX35" s="284">
        <v>0</v>
      </c>
      <c r="AY35" s="284">
        <v>0</v>
      </c>
      <c r="AZ35" s="284">
        <v>0</v>
      </c>
      <c r="BA35" s="284">
        <v>0</v>
      </c>
      <c r="BB35" s="284">
        <v>0</v>
      </c>
      <c r="BC35" s="284">
        <v>0</v>
      </c>
      <c r="BD35" s="284">
        <v>0</v>
      </c>
      <c r="BE35" s="284">
        <v>0</v>
      </c>
      <c r="BJ35" s="206" t="s">
        <v>556</v>
      </c>
      <c r="BK35" s="284">
        <v>0</v>
      </c>
      <c r="BL35" s="284">
        <v>0</v>
      </c>
      <c r="BM35" s="284">
        <v>0</v>
      </c>
      <c r="BN35" s="284">
        <v>0</v>
      </c>
      <c r="BO35" s="284">
        <v>0</v>
      </c>
      <c r="BP35" s="284">
        <v>0</v>
      </c>
      <c r="BQ35" s="284">
        <v>0</v>
      </c>
      <c r="BR35" s="284">
        <v>0</v>
      </c>
      <c r="BS35" s="284">
        <v>0</v>
      </c>
      <c r="BT35" s="284">
        <v>0</v>
      </c>
      <c r="BU35" s="284">
        <v>0</v>
      </c>
      <c r="BV35" s="284">
        <v>0</v>
      </c>
      <c r="BW35" s="284">
        <v>0</v>
      </c>
      <c r="BX35" s="284">
        <v>0</v>
      </c>
      <c r="BY35" s="284">
        <v>0</v>
      </c>
    </row>
    <row r="36" spans="2:77" x14ac:dyDescent="0.2">
      <c r="B36" s="206" t="s">
        <v>567</v>
      </c>
      <c r="C36" s="284">
        <v>1</v>
      </c>
      <c r="AP36" s="206" t="s">
        <v>567</v>
      </c>
      <c r="AQ36" s="284">
        <v>0</v>
      </c>
      <c r="AR36" s="284">
        <v>0</v>
      </c>
      <c r="AS36" s="284">
        <v>0</v>
      </c>
      <c r="AT36" s="284">
        <v>0</v>
      </c>
      <c r="AU36" s="284">
        <v>0</v>
      </c>
      <c r="AV36" s="284">
        <v>0</v>
      </c>
      <c r="AW36" s="284">
        <v>0</v>
      </c>
      <c r="AX36" s="284">
        <v>0</v>
      </c>
      <c r="AY36" s="284">
        <v>0</v>
      </c>
      <c r="AZ36" s="284">
        <v>0</v>
      </c>
      <c r="BA36" s="284">
        <v>0</v>
      </c>
      <c r="BB36" s="284">
        <v>0</v>
      </c>
      <c r="BC36" s="284">
        <v>0</v>
      </c>
      <c r="BD36" s="284">
        <v>0</v>
      </c>
      <c r="BE36" s="284">
        <v>0</v>
      </c>
      <c r="BJ36" s="206" t="s">
        <v>567</v>
      </c>
      <c r="BK36" s="284">
        <v>0</v>
      </c>
      <c r="BL36" s="284">
        <v>0</v>
      </c>
      <c r="BM36" s="284">
        <v>0</v>
      </c>
      <c r="BN36" s="284">
        <v>0</v>
      </c>
      <c r="BO36" s="284">
        <v>0</v>
      </c>
      <c r="BP36" s="284">
        <v>0</v>
      </c>
      <c r="BQ36" s="284">
        <v>0</v>
      </c>
      <c r="BR36" s="284">
        <v>0</v>
      </c>
      <c r="BS36" s="284">
        <v>0</v>
      </c>
      <c r="BT36" s="284">
        <v>0</v>
      </c>
      <c r="BU36" s="284">
        <v>0</v>
      </c>
      <c r="BV36" s="284">
        <v>0</v>
      </c>
      <c r="BW36" s="284">
        <v>0</v>
      </c>
      <c r="BX36" s="284">
        <v>0</v>
      </c>
      <c r="BY36" s="284">
        <v>0</v>
      </c>
    </row>
    <row r="37" spans="2:77" x14ac:dyDescent="0.2">
      <c r="C37" s="171" t="s">
        <v>583</v>
      </c>
      <c r="AP37" s="206"/>
      <c r="AQ37" s="394" t="s">
        <v>580</v>
      </c>
      <c r="AR37" s="394"/>
      <c r="AS37" s="394"/>
      <c r="AT37" s="394"/>
      <c r="AU37" s="394"/>
      <c r="AV37" s="394"/>
      <c r="AW37" s="394"/>
      <c r="AX37" s="394"/>
      <c r="AY37" s="394"/>
      <c r="AZ37" s="394"/>
      <c r="BA37" s="394"/>
      <c r="BB37" s="394"/>
      <c r="BC37" s="394"/>
      <c r="BD37" s="394"/>
      <c r="BE37" s="394"/>
      <c r="BJ37" s="206"/>
      <c r="BK37" s="394" t="s">
        <v>581</v>
      </c>
      <c r="BL37" s="394"/>
      <c r="BM37" s="394"/>
      <c r="BN37" s="394"/>
      <c r="BO37" s="394"/>
      <c r="BP37" s="394"/>
      <c r="BQ37" s="394"/>
      <c r="BR37" s="394"/>
      <c r="BS37" s="394"/>
      <c r="BT37" s="394"/>
      <c r="BU37" s="394"/>
      <c r="BV37" s="394"/>
      <c r="BW37" s="394"/>
      <c r="BX37" s="394"/>
      <c r="BY37" s="394"/>
    </row>
    <row r="38" spans="2:77" x14ac:dyDescent="0.2">
      <c r="AP38" s="206"/>
      <c r="BJ38" s="206"/>
    </row>
    <row r="39" spans="2:77" x14ac:dyDescent="0.2">
      <c r="AP39" s="206"/>
    </row>
    <row r="40" spans="2:77" ht="112" x14ac:dyDescent="0.2">
      <c r="AP40" s="260"/>
      <c r="AQ40" s="207" t="s">
        <v>415</v>
      </c>
      <c r="AR40" s="207" t="s">
        <v>416</v>
      </c>
      <c r="AS40" s="207" t="s">
        <v>417</v>
      </c>
      <c r="AT40" s="207" t="s">
        <v>565</v>
      </c>
      <c r="AU40" s="207" t="s">
        <v>544</v>
      </c>
      <c r="AV40" s="207" t="s">
        <v>543</v>
      </c>
      <c r="AW40" s="207" t="s">
        <v>443</v>
      </c>
      <c r="AX40" s="207" t="s">
        <v>440</v>
      </c>
      <c r="AY40" s="207" t="s">
        <v>458</v>
      </c>
      <c r="AZ40" s="207" t="s">
        <v>441</v>
      </c>
      <c r="BA40" s="207" t="s">
        <v>436</v>
      </c>
      <c r="BB40" s="207" t="s">
        <v>672</v>
      </c>
      <c r="BC40" s="207" t="s">
        <v>675</v>
      </c>
      <c r="BD40" s="207" t="s">
        <v>81</v>
      </c>
      <c r="BE40" s="207" t="s">
        <v>427</v>
      </c>
    </row>
    <row r="41" spans="2:77" x14ac:dyDescent="0.2">
      <c r="AP41" s="204" t="s">
        <v>423</v>
      </c>
      <c r="AQ41" s="284">
        <f>AQ81</f>
        <v>-6442.5099571670216</v>
      </c>
      <c r="AR41" s="284">
        <f t="shared" ref="AR41:BE41" si="0">AR81</f>
        <v>0</v>
      </c>
      <c r="AS41" s="284">
        <f t="shared" si="0"/>
        <v>0</v>
      </c>
      <c r="AT41" s="284">
        <f t="shared" si="0"/>
        <v>0</v>
      </c>
      <c r="AU41" s="284">
        <f t="shared" si="0"/>
        <v>0</v>
      </c>
      <c r="AV41" s="284">
        <f t="shared" si="0"/>
        <v>0</v>
      </c>
      <c r="AW41" s="284">
        <f t="shared" si="0"/>
        <v>0</v>
      </c>
      <c r="AX41" s="284">
        <f t="shared" si="0"/>
        <v>0</v>
      </c>
      <c r="AY41" s="284">
        <f t="shared" si="0"/>
        <v>0</v>
      </c>
      <c r="AZ41" s="284">
        <f t="shared" si="0"/>
        <v>0</v>
      </c>
      <c r="BA41" s="284">
        <f t="shared" si="0"/>
        <v>0</v>
      </c>
      <c r="BB41" s="284">
        <f t="shared" si="0"/>
        <v>0</v>
      </c>
      <c r="BC41" s="284">
        <f t="shared" si="0"/>
        <v>0</v>
      </c>
      <c r="BD41" s="284">
        <f t="shared" si="0"/>
        <v>0</v>
      </c>
      <c r="BE41" s="284">
        <f t="shared" si="0"/>
        <v>0</v>
      </c>
    </row>
    <row r="42" spans="2:77" x14ac:dyDescent="0.2">
      <c r="AP42" s="204" t="s">
        <v>425</v>
      </c>
      <c r="AQ42" s="284">
        <f t="shared" ref="AQ42:BE75" si="1">AQ82</f>
        <v>0</v>
      </c>
      <c r="AR42" s="284">
        <f t="shared" si="1"/>
        <v>-12112.03618380849</v>
      </c>
      <c r="AS42" s="284">
        <f t="shared" si="1"/>
        <v>0</v>
      </c>
      <c r="AT42" s="284">
        <f t="shared" si="1"/>
        <v>0</v>
      </c>
      <c r="AU42" s="284">
        <f t="shared" si="1"/>
        <v>0</v>
      </c>
      <c r="AV42" s="284">
        <f t="shared" si="1"/>
        <v>0</v>
      </c>
      <c r="AW42" s="284">
        <f t="shared" si="1"/>
        <v>0</v>
      </c>
      <c r="AX42" s="284">
        <f t="shared" si="1"/>
        <v>0</v>
      </c>
      <c r="AY42" s="284">
        <f t="shared" si="1"/>
        <v>0</v>
      </c>
      <c r="AZ42" s="284">
        <f t="shared" si="1"/>
        <v>0</v>
      </c>
      <c r="BA42" s="284">
        <f t="shared" si="1"/>
        <v>0</v>
      </c>
      <c r="BB42" s="284">
        <f t="shared" si="1"/>
        <v>0</v>
      </c>
      <c r="BC42" s="284">
        <f t="shared" si="1"/>
        <v>0</v>
      </c>
      <c r="BD42" s="284">
        <f t="shared" si="1"/>
        <v>0</v>
      </c>
      <c r="BE42" s="284">
        <f t="shared" si="1"/>
        <v>0</v>
      </c>
    </row>
    <row r="43" spans="2:77" x14ac:dyDescent="0.2">
      <c r="AP43" s="204" t="s">
        <v>426</v>
      </c>
      <c r="AQ43" s="284">
        <f t="shared" si="1"/>
        <v>0</v>
      </c>
      <c r="AR43" s="284">
        <f t="shared" si="1"/>
        <v>0</v>
      </c>
      <c r="AS43" s="284">
        <f t="shared" si="1"/>
        <v>27180.660725538582</v>
      </c>
      <c r="AT43" s="284">
        <f t="shared" si="1"/>
        <v>0</v>
      </c>
      <c r="AU43" s="284">
        <f t="shared" si="1"/>
        <v>0</v>
      </c>
      <c r="AV43" s="284">
        <f t="shared" si="1"/>
        <v>0</v>
      </c>
      <c r="AW43" s="284">
        <f t="shared" si="1"/>
        <v>0</v>
      </c>
      <c r="AX43" s="284">
        <f t="shared" si="1"/>
        <v>0</v>
      </c>
      <c r="AY43" s="284">
        <f t="shared" si="1"/>
        <v>0</v>
      </c>
      <c r="AZ43" s="284">
        <f t="shared" si="1"/>
        <v>0</v>
      </c>
      <c r="BA43" s="284">
        <f t="shared" si="1"/>
        <v>0</v>
      </c>
      <c r="BB43" s="284">
        <f t="shared" si="1"/>
        <v>0</v>
      </c>
      <c r="BC43" s="284">
        <f t="shared" si="1"/>
        <v>0</v>
      </c>
      <c r="BD43" s="284">
        <f t="shared" si="1"/>
        <v>0</v>
      </c>
      <c r="BE43" s="284">
        <f t="shared" si="1"/>
        <v>0</v>
      </c>
    </row>
    <row r="44" spans="2:77" x14ac:dyDescent="0.2">
      <c r="AP44" s="204" t="s">
        <v>447</v>
      </c>
      <c r="AQ44" s="284">
        <f t="shared" si="1"/>
        <v>0</v>
      </c>
      <c r="AR44" s="284">
        <f t="shared" si="1"/>
        <v>0</v>
      </c>
      <c r="AS44" s="284">
        <f t="shared" si="1"/>
        <v>0</v>
      </c>
      <c r="AT44" s="284">
        <f t="shared" si="1"/>
        <v>0</v>
      </c>
      <c r="AU44" s="284">
        <f t="shared" si="1"/>
        <v>0</v>
      </c>
      <c r="AV44" s="284">
        <f t="shared" si="1"/>
        <v>0</v>
      </c>
      <c r="AW44" s="284">
        <f t="shared" si="1"/>
        <v>0</v>
      </c>
      <c r="AX44" s="284">
        <f t="shared" si="1"/>
        <v>0</v>
      </c>
      <c r="AY44" s="284">
        <f t="shared" si="1"/>
        <v>0</v>
      </c>
      <c r="AZ44" s="284">
        <f t="shared" si="1"/>
        <v>0</v>
      </c>
      <c r="BA44" s="284">
        <f t="shared" si="1"/>
        <v>0</v>
      </c>
      <c r="BB44" s="284">
        <f t="shared" si="1"/>
        <v>0</v>
      </c>
      <c r="BC44" s="284">
        <f t="shared" si="1"/>
        <v>0</v>
      </c>
      <c r="BD44" s="284">
        <f t="shared" si="1"/>
        <v>0</v>
      </c>
      <c r="BE44" s="284">
        <f t="shared" si="1"/>
        <v>0</v>
      </c>
    </row>
    <row r="45" spans="2:77" x14ac:dyDescent="0.2">
      <c r="AP45" s="204" t="s">
        <v>477</v>
      </c>
      <c r="AQ45" s="284">
        <f t="shared" si="1"/>
        <v>0</v>
      </c>
      <c r="AR45" s="284">
        <f t="shared" si="1"/>
        <v>0</v>
      </c>
      <c r="AS45" s="284">
        <f t="shared" si="1"/>
        <v>0</v>
      </c>
      <c r="AT45" s="284">
        <f t="shared" si="1"/>
        <v>0</v>
      </c>
      <c r="AU45" s="284">
        <f t="shared" si="1"/>
        <v>0</v>
      </c>
      <c r="AV45" s="284">
        <f t="shared" si="1"/>
        <v>0</v>
      </c>
      <c r="AW45" s="284">
        <f t="shared" si="1"/>
        <v>0</v>
      </c>
      <c r="AX45" s="284">
        <f t="shared" si="1"/>
        <v>0</v>
      </c>
      <c r="AY45" s="284">
        <f t="shared" si="1"/>
        <v>0</v>
      </c>
      <c r="AZ45" s="284">
        <f t="shared" si="1"/>
        <v>1.604276E-2</v>
      </c>
      <c r="BA45" s="284">
        <f t="shared" si="1"/>
        <v>1.604276E-2</v>
      </c>
      <c r="BB45" s="284">
        <f t="shared" si="1"/>
        <v>0</v>
      </c>
      <c r="BC45" s="284">
        <f t="shared" si="1"/>
        <v>0</v>
      </c>
      <c r="BD45" s="284">
        <f t="shared" si="1"/>
        <v>0</v>
      </c>
      <c r="BE45" s="284">
        <f t="shared" si="1"/>
        <v>1.604276E-2</v>
      </c>
    </row>
    <row r="46" spans="2:77" x14ac:dyDescent="0.2">
      <c r="AP46" s="204" t="s">
        <v>576</v>
      </c>
      <c r="AQ46" s="284">
        <f t="shared" si="1"/>
        <v>42600</v>
      </c>
      <c r="AR46" s="284">
        <f t="shared" si="1"/>
        <v>42600</v>
      </c>
      <c r="AS46" s="284">
        <f t="shared" si="1"/>
        <v>42600</v>
      </c>
      <c r="AT46" s="284">
        <f t="shared" si="1"/>
        <v>0</v>
      </c>
      <c r="AU46" s="284">
        <f t="shared" si="1"/>
        <v>0</v>
      </c>
      <c r="AV46" s="284">
        <f t="shared" si="1"/>
        <v>0</v>
      </c>
      <c r="AW46" s="284">
        <f t="shared" si="1"/>
        <v>0</v>
      </c>
      <c r="AX46" s="284">
        <f t="shared" si="1"/>
        <v>0</v>
      </c>
      <c r="AY46" s="284">
        <f t="shared" si="1"/>
        <v>0</v>
      </c>
      <c r="AZ46" s="284">
        <f t="shared" si="1"/>
        <v>0</v>
      </c>
      <c r="BA46" s="284">
        <f t="shared" si="1"/>
        <v>0</v>
      </c>
      <c r="BB46" s="284">
        <f t="shared" si="1"/>
        <v>0</v>
      </c>
      <c r="BC46" s="284">
        <f t="shared" si="1"/>
        <v>0</v>
      </c>
      <c r="BD46" s="284">
        <f t="shared" si="1"/>
        <v>0</v>
      </c>
      <c r="BE46" s="284">
        <f t="shared" si="1"/>
        <v>0</v>
      </c>
    </row>
    <row r="47" spans="2:77" x14ac:dyDescent="0.2">
      <c r="AP47" s="204" t="s">
        <v>577</v>
      </c>
      <c r="AQ47" s="284">
        <f t="shared" si="1"/>
        <v>0</v>
      </c>
      <c r="AR47" s="284">
        <f t="shared" si="1"/>
        <v>-2189.4247196818515</v>
      </c>
      <c r="AS47" s="284">
        <f t="shared" si="1"/>
        <v>0</v>
      </c>
      <c r="AT47" s="284">
        <f t="shared" si="1"/>
        <v>0</v>
      </c>
      <c r="AU47" s="284">
        <f t="shared" si="1"/>
        <v>0</v>
      </c>
      <c r="AV47" s="284">
        <f t="shared" si="1"/>
        <v>0</v>
      </c>
      <c r="AW47" s="284">
        <f t="shared" si="1"/>
        <v>0</v>
      </c>
      <c r="AX47" s="284">
        <f t="shared" si="1"/>
        <v>0</v>
      </c>
      <c r="AY47" s="284">
        <f t="shared" si="1"/>
        <v>0</v>
      </c>
      <c r="AZ47" s="284">
        <f t="shared" si="1"/>
        <v>0</v>
      </c>
      <c r="BA47" s="284">
        <f t="shared" si="1"/>
        <v>0</v>
      </c>
      <c r="BB47" s="284">
        <f t="shared" si="1"/>
        <v>0</v>
      </c>
      <c r="BC47" s="284">
        <f t="shared" si="1"/>
        <v>0</v>
      </c>
      <c r="BD47" s="284">
        <f t="shared" si="1"/>
        <v>0</v>
      </c>
      <c r="BE47" s="284">
        <f t="shared" si="1"/>
        <v>0</v>
      </c>
    </row>
    <row r="48" spans="2:77" x14ac:dyDescent="0.2">
      <c r="AP48" s="204" t="s">
        <v>519</v>
      </c>
      <c r="AQ48" s="284">
        <f t="shared" si="1"/>
        <v>0</v>
      </c>
      <c r="AR48" s="284">
        <f t="shared" si="1"/>
        <v>0</v>
      </c>
      <c r="AS48" s="284">
        <f t="shared" si="1"/>
        <v>0</v>
      </c>
      <c r="AT48" s="284">
        <f t="shared" si="1"/>
        <v>0</v>
      </c>
      <c r="AU48" s="284">
        <f t="shared" si="1"/>
        <v>0</v>
      </c>
      <c r="AV48" s="284">
        <f t="shared" si="1"/>
        <v>0</v>
      </c>
      <c r="AW48" s="284">
        <f t="shared" si="1"/>
        <v>0</v>
      </c>
      <c r="AX48" s="284">
        <f t="shared" si="1"/>
        <v>0</v>
      </c>
      <c r="AY48" s="284">
        <f t="shared" si="1"/>
        <v>0</v>
      </c>
      <c r="AZ48" s="284">
        <f t="shared" si="1"/>
        <v>0</v>
      </c>
      <c r="BA48" s="284">
        <f t="shared" si="1"/>
        <v>0</v>
      </c>
      <c r="BB48" s="284">
        <f t="shared" si="1"/>
        <v>0</v>
      </c>
      <c r="BC48" s="284">
        <f t="shared" si="1"/>
        <v>0</v>
      </c>
      <c r="BD48" s="284">
        <f t="shared" si="1"/>
        <v>0</v>
      </c>
      <c r="BE48" s="284">
        <f t="shared" si="1"/>
        <v>39500</v>
      </c>
    </row>
    <row r="49" spans="42:57" x14ac:dyDescent="0.2">
      <c r="AP49" s="204" t="s">
        <v>569</v>
      </c>
      <c r="AQ49" s="284">
        <f t="shared" si="1"/>
        <v>0</v>
      </c>
      <c r="AR49" s="284">
        <f t="shared" si="1"/>
        <v>0</v>
      </c>
      <c r="AS49" s="284">
        <f t="shared" si="1"/>
        <v>0</v>
      </c>
      <c r="AT49" s="284">
        <f t="shared" si="1"/>
        <v>0</v>
      </c>
      <c r="AU49" s="284">
        <f t="shared" si="1"/>
        <v>0</v>
      </c>
      <c r="AV49" s="284">
        <f t="shared" si="1"/>
        <v>0</v>
      </c>
      <c r="AW49" s="284">
        <f t="shared" si="1"/>
        <v>0</v>
      </c>
      <c r="AX49" s="284">
        <f t="shared" si="1"/>
        <v>0</v>
      </c>
      <c r="AY49" s="284">
        <f t="shared" si="1"/>
        <v>0</v>
      </c>
      <c r="AZ49" s="284">
        <f t="shared" si="1"/>
        <v>0</v>
      </c>
      <c r="BA49" s="284">
        <f t="shared" si="1"/>
        <v>0</v>
      </c>
      <c r="BB49" s="284">
        <f t="shared" si="1"/>
        <v>0</v>
      </c>
      <c r="BC49" s="284">
        <f t="shared" si="1"/>
        <v>0</v>
      </c>
      <c r="BD49" s="284">
        <f t="shared" si="1"/>
        <v>0</v>
      </c>
      <c r="BE49" s="284">
        <f t="shared" si="1"/>
        <v>0</v>
      </c>
    </row>
    <row r="50" spans="42:57" ht="16" x14ac:dyDescent="0.2">
      <c r="AP50" s="205" t="s">
        <v>551</v>
      </c>
      <c r="AQ50" s="284">
        <f t="shared" si="1"/>
        <v>0</v>
      </c>
      <c r="AR50" s="284">
        <f t="shared" si="1"/>
        <v>0</v>
      </c>
      <c r="AS50" s="284">
        <f t="shared" si="1"/>
        <v>0</v>
      </c>
      <c r="AT50" s="284">
        <f t="shared" si="1"/>
        <v>-6442.5099571670216</v>
      </c>
      <c r="AU50" s="284">
        <f t="shared" si="1"/>
        <v>0</v>
      </c>
      <c r="AV50" s="284">
        <f t="shared" si="1"/>
        <v>0</v>
      </c>
      <c r="AW50" s="284">
        <f t="shared" si="1"/>
        <v>0</v>
      </c>
      <c r="AX50" s="284">
        <f t="shared" si="1"/>
        <v>0</v>
      </c>
      <c r="AY50" s="284">
        <f t="shared" si="1"/>
        <v>0</v>
      </c>
      <c r="AZ50" s="284">
        <f t="shared" si="1"/>
        <v>0</v>
      </c>
      <c r="BA50" s="284">
        <f t="shared" si="1"/>
        <v>0</v>
      </c>
      <c r="BB50" s="284">
        <f t="shared" si="1"/>
        <v>0</v>
      </c>
      <c r="BC50" s="284">
        <f t="shared" si="1"/>
        <v>0</v>
      </c>
      <c r="BD50" s="284">
        <f t="shared" si="1"/>
        <v>0</v>
      </c>
      <c r="BE50" s="284">
        <f t="shared" si="1"/>
        <v>0</v>
      </c>
    </row>
    <row r="51" spans="42:57" x14ac:dyDescent="0.2">
      <c r="AP51" s="204" t="s">
        <v>517</v>
      </c>
      <c r="AQ51" s="284">
        <f t="shared" si="1"/>
        <v>0</v>
      </c>
      <c r="AR51" s="284">
        <f t="shared" si="1"/>
        <v>0</v>
      </c>
      <c r="AS51" s="284">
        <f t="shared" si="1"/>
        <v>0</v>
      </c>
      <c r="AT51" s="284">
        <f t="shared" si="1"/>
        <v>0</v>
      </c>
      <c r="AU51" s="284">
        <f t="shared" si="1"/>
        <v>0</v>
      </c>
      <c r="AV51" s="284">
        <f t="shared" si="1"/>
        <v>0</v>
      </c>
      <c r="AW51" s="284">
        <f t="shared" si="1"/>
        <v>0</v>
      </c>
      <c r="AX51" s="284">
        <f t="shared" si="1"/>
        <v>0</v>
      </c>
      <c r="AY51" s="284">
        <f t="shared" si="1"/>
        <v>0</v>
      </c>
      <c r="AZ51" s="284">
        <f t="shared" si="1"/>
        <v>0</v>
      </c>
      <c r="BA51" s="284">
        <f t="shared" si="1"/>
        <v>0</v>
      </c>
      <c r="BB51" s="284">
        <f t="shared" si="1"/>
        <v>0</v>
      </c>
      <c r="BC51" s="284">
        <f t="shared" si="1"/>
        <v>0</v>
      </c>
      <c r="BD51" s="284">
        <f t="shared" si="1"/>
        <v>0</v>
      </c>
      <c r="BE51" s="284">
        <f t="shared" si="1"/>
        <v>0</v>
      </c>
    </row>
    <row r="52" spans="42:57" ht="16" x14ac:dyDescent="0.2">
      <c r="AP52" s="205" t="s">
        <v>520</v>
      </c>
      <c r="AQ52" s="284">
        <f t="shared" si="1"/>
        <v>0</v>
      </c>
      <c r="AR52" s="284">
        <f t="shared" si="1"/>
        <v>0</v>
      </c>
      <c r="AS52" s="284">
        <f t="shared" si="1"/>
        <v>0</v>
      </c>
      <c r="AT52" s="284">
        <f t="shared" si="1"/>
        <v>0</v>
      </c>
      <c r="AU52" s="284">
        <f t="shared" si="1"/>
        <v>-12112.03618380849</v>
      </c>
      <c r="AV52" s="284">
        <f t="shared" si="1"/>
        <v>0</v>
      </c>
      <c r="AW52" s="284">
        <f t="shared" si="1"/>
        <v>0</v>
      </c>
      <c r="AX52" s="284">
        <f t="shared" si="1"/>
        <v>0</v>
      </c>
      <c r="AY52" s="284">
        <f t="shared" si="1"/>
        <v>0</v>
      </c>
      <c r="AZ52" s="284">
        <f t="shared" si="1"/>
        <v>0</v>
      </c>
      <c r="BA52" s="284">
        <f t="shared" si="1"/>
        <v>0</v>
      </c>
      <c r="BB52" s="284">
        <f t="shared" si="1"/>
        <v>0</v>
      </c>
      <c r="BC52" s="284">
        <f t="shared" si="1"/>
        <v>0</v>
      </c>
      <c r="BD52" s="284">
        <f t="shared" si="1"/>
        <v>0</v>
      </c>
      <c r="BE52" s="284">
        <f t="shared" si="1"/>
        <v>0</v>
      </c>
    </row>
    <row r="53" spans="42:57" x14ac:dyDescent="0.2">
      <c r="AP53" s="204" t="s">
        <v>546</v>
      </c>
      <c r="AQ53" s="284">
        <f t="shared" si="1"/>
        <v>0</v>
      </c>
      <c r="AR53" s="284">
        <f t="shared" si="1"/>
        <v>0</v>
      </c>
      <c r="AS53" s="284">
        <f t="shared" si="1"/>
        <v>0</v>
      </c>
      <c r="AT53" s="284">
        <f t="shared" si="1"/>
        <v>0</v>
      </c>
      <c r="AU53" s="284">
        <f t="shared" si="1"/>
        <v>0</v>
      </c>
      <c r="AV53" s="284">
        <f t="shared" si="1"/>
        <v>0</v>
      </c>
      <c r="AW53" s="284">
        <f t="shared" si="1"/>
        <v>0</v>
      </c>
      <c r="AX53" s="284">
        <f t="shared" si="1"/>
        <v>0</v>
      </c>
      <c r="AY53" s="284">
        <f t="shared" si="1"/>
        <v>0</v>
      </c>
      <c r="AZ53" s="284">
        <f t="shared" si="1"/>
        <v>0</v>
      </c>
      <c r="BA53" s="284">
        <f t="shared" si="1"/>
        <v>0</v>
      </c>
      <c r="BB53" s="284">
        <f t="shared" si="1"/>
        <v>0</v>
      </c>
      <c r="BC53" s="284">
        <f t="shared" si="1"/>
        <v>0</v>
      </c>
      <c r="BD53" s="284">
        <f t="shared" si="1"/>
        <v>0</v>
      </c>
      <c r="BE53" s="284">
        <f t="shared" si="1"/>
        <v>0</v>
      </c>
    </row>
    <row r="54" spans="42:57" x14ac:dyDescent="0.2">
      <c r="AP54" s="206" t="s">
        <v>538</v>
      </c>
      <c r="AQ54" s="284">
        <f t="shared" si="1"/>
        <v>0</v>
      </c>
      <c r="AR54" s="284">
        <f t="shared" si="1"/>
        <v>0</v>
      </c>
      <c r="AS54" s="284">
        <f t="shared" si="1"/>
        <v>0</v>
      </c>
      <c r="AT54" s="284">
        <f t="shared" si="1"/>
        <v>0</v>
      </c>
      <c r="AU54" s="284">
        <f t="shared" si="1"/>
        <v>0</v>
      </c>
      <c r="AV54" s="284">
        <f t="shared" si="1"/>
        <v>27180.660725538582</v>
      </c>
      <c r="AW54" s="284">
        <f t="shared" si="1"/>
        <v>0</v>
      </c>
      <c r="AX54" s="284">
        <f t="shared" si="1"/>
        <v>0</v>
      </c>
      <c r="AY54" s="284">
        <f t="shared" si="1"/>
        <v>0</v>
      </c>
      <c r="AZ54" s="284">
        <f t="shared" si="1"/>
        <v>0</v>
      </c>
      <c r="BA54" s="284">
        <f t="shared" si="1"/>
        <v>0</v>
      </c>
      <c r="BB54" s="284">
        <f t="shared" si="1"/>
        <v>0</v>
      </c>
      <c r="BC54" s="284">
        <f t="shared" si="1"/>
        <v>0</v>
      </c>
      <c r="BD54" s="284">
        <f t="shared" si="1"/>
        <v>0</v>
      </c>
      <c r="BE54" s="284">
        <f t="shared" si="1"/>
        <v>0</v>
      </c>
    </row>
    <row r="55" spans="42:57" x14ac:dyDescent="0.2">
      <c r="AP55" s="204" t="s">
        <v>524</v>
      </c>
      <c r="AQ55" s="284">
        <f t="shared" si="1"/>
        <v>0</v>
      </c>
      <c r="AR55" s="284">
        <f t="shared" si="1"/>
        <v>0</v>
      </c>
      <c r="AS55" s="284">
        <f t="shared" si="1"/>
        <v>0</v>
      </c>
      <c r="AT55" s="284">
        <f t="shared" si="1"/>
        <v>0</v>
      </c>
      <c r="AU55" s="284">
        <f t="shared" si="1"/>
        <v>0</v>
      </c>
      <c r="AV55" s="284">
        <f t="shared" si="1"/>
        <v>0</v>
      </c>
      <c r="AW55" s="284">
        <f t="shared" si="1"/>
        <v>0</v>
      </c>
      <c r="AX55" s="284">
        <f t="shared" si="1"/>
        <v>0</v>
      </c>
      <c r="AY55" s="284">
        <f t="shared" si="1"/>
        <v>0</v>
      </c>
      <c r="AZ55" s="284">
        <f t="shared" si="1"/>
        <v>0</v>
      </c>
      <c r="BA55" s="284">
        <f t="shared" si="1"/>
        <v>0</v>
      </c>
      <c r="BB55" s="284">
        <f t="shared" si="1"/>
        <v>0</v>
      </c>
      <c r="BC55" s="284">
        <f t="shared" si="1"/>
        <v>0</v>
      </c>
      <c r="BD55" s="284">
        <f t="shared" si="1"/>
        <v>0</v>
      </c>
      <c r="BE55" s="284">
        <f t="shared" si="1"/>
        <v>0</v>
      </c>
    </row>
    <row r="56" spans="42:57" ht="16" x14ac:dyDescent="0.2">
      <c r="AP56" s="205" t="s">
        <v>550</v>
      </c>
      <c r="AQ56" s="284">
        <f t="shared" si="1"/>
        <v>0</v>
      </c>
      <c r="AR56" s="284">
        <f t="shared" si="1"/>
        <v>0</v>
      </c>
      <c r="AS56" s="284">
        <f t="shared" si="1"/>
        <v>0</v>
      </c>
      <c r="AT56" s="284">
        <f t="shared" si="1"/>
        <v>0</v>
      </c>
      <c r="AU56" s="284">
        <f t="shared" si="1"/>
        <v>0</v>
      </c>
      <c r="AV56" s="284">
        <f t="shared" si="1"/>
        <v>0</v>
      </c>
      <c r="AW56" s="284">
        <f t="shared" si="1"/>
        <v>-6442.5099571670216</v>
      </c>
      <c r="AX56" s="284">
        <f t="shared" si="1"/>
        <v>0</v>
      </c>
      <c r="AY56" s="284">
        <f t="shared" si="1"/>
        <v>0</v>
      </c>
      <c r="AZ56" s="284">
        <f t="shared" si="1"/>
        <v>0</v>
      </c>
      <c r="BA56" s="284">
        <f t="shared" si="1"/>
        <v>0</v>
      </c>
      <c r="BB56" s="284">
        <f t="shared" si="1"/>
        <v>0</v>
      </c>
      <c r="BC56" s="284">
        <f t="shared" si="1"/>
        <v>0</v>
      </c>
      <c r="BD56" s="284">
        <f t="shared" si="1"/>
        <v>0</v>
      </c>
      <c r="BE56" s="284">
        <f t="shared" si="1"/>
        <v>0</v>
      </c>
    </row>
    <row r="57" spans="42:57" ht="16" x14ac:dyDescent="0.2">
      <c r="AP57" s="205" t="s">
        <v>545</v>
      </c>
      <c r="AQ57" s="284">
        <f t="shared" si="1"/>
        <v>0</v>
      </c>
      <c r="AR57" s="284">
        <f t="shared" si="1"/>
        <v>0</v>
      </c>
      <c r="AS57" s="284">
        <f t="shared" si="1"/>
        <v>0</v>
      </c>
      <c r="AT57" s="284">
        <f t="shared" si="1"/>
        <v>0</v>
      </c>
      <c r="AU57" s="284">
        <f t="shared" si="1"/>
        <v>0</v>
      </c>
      <c r="AV57" s="284">
        <f t="shared" si="1"/>
        <v>0</v>
      </c>
      <c r="AW57" s="284">
        <f t="shared" si="1"/>
        <v>0</v>
      </c>
      <c r="AX57" s="284">
        <f t="shared" si="1"/>
        <v>-12112.03618380849</v>
      </c>
      <c r="AY57" s="284">
        <f t="shared" si="1"/>
        <v>0</v>
      </c>
      <c r="AZ57" s="284">
        <f t="shared" si="1"/>
        <v>0</v>
      </c>
      <c r="BA57" s="284">
        <f t="shared" si="1"/>
        <v>0</v>
      </c>
      <c r="BB57" s="284">
        <f t="shared" si="1"/>
        <v>0</v>
      </c>
      <c r="BC57" s="284">
        <f t="shared" ref="AR57:BE72" si="2">BC97</f>
        <v>0</v>
      </c>
      <c r="BD57" s="284">
        <f t="shared" si="2"/>
        <v>0</v>
      </c>
      <c r="BE57" s="284">
        <f t="shared" si="2"/>
        <v>0</v>
      </c>
    </row>
    <row r="58" spans="42:57" ht="16" x14ac:dyDescent="0.2">
      <c r="AP58" s="205" t="s">
        <v>542</v>
      </c>
      <c r="AQ58" s="284">
        <f t="shared" si="1"/>
        <v>0</v>
      </c>
      <c r="AR58" s="284">
        <f t="shared" si="2"/>
        <v>0</v>
      </c>
      <c r="AS58" s="284">
        <f t="shared" si="2"/>
        <v>0</v>
      </c>
      <c r="AT58" s="284">
        <f t="shared" si="2"/>
        <v>0</v>
      </c>
      <c r="AU58" s="284">
        <f t="shared" si="2"/>
        <v>0</v>
      </c>
      <c r="AV58" s="284">
        <f t="shared" si="2"/>
        <v>0</v>
      </c>
      <c r="AW58" s="284">
        <f t="shared" si="2"/>
        <v>0</v>
      </c>
      <c r="AX58" s="284">
        <f t="shared" si="2"/>
        <v>0</v>
      </c>
      <c r="AY58" s="284">
        <f t="shared" si="2"/>
        <v>27180.660725538582</v>
      </c>
      <c r="AZ58" s="284">
        <f t="shared" si="2"/>
        <v>0</v>
      </c>
      <c r="BA58" s="284">
        <f t="shared" si="2"/>
        <v>0</v>
      </c>
      <c r="BB58" s="284">
        <f t="shared" si="2"/>
        <v>0</v>
      </c>
      <c r="BC58" s="284">
        <f t="shared" si="2"/>
        <v>0</v>
      </c>
      <c r="BD58" s="284">
        <f t="shared" si="2"/>
        <v>0</v>
      </c>
      <c r="BE58" s="284">
        <f t="shared" si="2"/>
        <v>0</v>
      </c>
    </row>
    <row r="59" spans="42:57" ht="16" x14ac:dyDescent="0.2">
      <c r="AP59" s="205" t="s">
        <v>548</v>
      </c>
      <c r="AQ59" s="284">
        <f t="shared" si="1"/>
        <v>0</v>
      </c>
      <c r="AR59" s="284">
        <f t="shared" si="2"/>
        <v>0</v>
      </c>
      <c r="AS59" s="284">
        <f t="shared" si="2"/>
        <v>0</v>
      </c>
      <c r="AT59" s="284">
        <f t="shared" si="2"/>
        <v>0</v>
      </c>
      <c r="AU59" s="284">
        <f t="shared" si="2"/>
        <v>0</v>
      </c>
      <c r="AV59" s="284">
        <f t="shared" si="2"/>
        <v>0</v>
      </c>
      <c r="AW59" s="284">
        <f t="shared" si="2"/>
        <v>0</v>
      </c>
      <c r="AX59" s="284">
        <f t="shared" si="2"/>
        <v>0</v>
      </c>
      <c r="AY59" s="284">
        <f t="shared" si="2"/>
        <v>0</v>
      </c>
      <c r="AZ59" s="284">
        <f t="shared" si="2"/>
        <v>0</v>
      </c>
      <c r="BA59" s="284">
        <f t="shared" si="2"/>
        <v>0</v>
      </c>
      <c r="BB59" s="284">
        <f t="shared" si="2"/>
        <v>0</v>
      </c>
      <c r="BC59" s="284">
        <f t="shared" si="2"/>
        <v>0</v>
      </c>
      <c r="BD59" s="284">
        <f t="shared" si="2"/>
        <v>-6350.2001773318216</v>
      </c>
      <c r="BE59" s="284">
        <f t="shared" si="2"/>
        <v>0</v>
      </c>
    </row>
    <row r="60" spans="42:57" x14ac:dyDescent="0.2">
      <c r="AP60" s="206" t="s">
        <v>547</v>
      </c>
      <c r="AQ60" s="284">
        <f t="shared" si="1"/>
        <v>0</v>
      </c>
      <c r="AR60" s="284">
        <f t="shared" si="2"/>
        <v>0</v>
      </c>
      <c r="AS60" s="284">
        <f t="shared" si="2"/>
        <v>0</v>
      </c>
      <c r="AT60" s="284">
        <f t="shared" si="2"/>
        <v>0</v>
      </c>
      <c r="AU60" s="284">
        <f t="shared" si="2"/>
        <v>0</v>
      </c>
      <c r="AV60" s="284">
        <f t="shared" si="2"/>
        <v>0</v>
      </c>
      <c r="AW60" s="284">
        <f t="shared" si="2"/>
        <v>0</v>
      </c>
      <c r="AX60" s="284">
        <f t="shared" si="2"/>
        <v>0</v>
      </c>
      <c r="AY60" s="284">
        <f t="shared" si="2"/>
        <v>0</v>
      </c>
      <c r="AZ60" s="284">
        <f t="shared" si="2"/>
        <v>0</v>
      </c>
      <c r="BA60" s="284">
        <f t="shared" si="2"/>
        <v>0</v>
      </c>
      <c r="BB60" s="284">
        <f t="shared" si="2"/>
        <v>0</v>
      </c>
      <c r="BC60" s="284">
        <f t="shared" si="2"/>
        <v>0</v>
      </c>
      <c r="BD60" s="284">
        <f t="shared" si="2"/>
        <v>0</v>
      </c>
      <c r="BE60" s="284">
        <f t="shared" si="2"/>
        <v>0</v>
      </c>
    </row>
    <row r="61" spans="42:57" x14ac:dyDescent="0.2">
      <c r="AP61" s="206" t="s">
        <v>532</v>
      </c>
      <c r="AQ61" s="284">
        <f t="shared" si="1"/>
        <v>0</v>
      </c>
      <c r="AR61" s="284">
        <f t="shared" si="2"/>
        <v>0</v>
      </c>
      <c r="AS61" s="284">
        <f t="shared" si="2"/>
        <v>0</v>
      </c>
      <c r="AT61" s="284">
        <f t="shared" si="2"/>
        <v>0</v>
      </c>
      <c r="AU61" s="284">
        <f t="shared" si="2"/>
        <v>0</v>
      </c>
      <c r="AV61" s="284">
        <f t="shared" si="2"/>
        <v>0</v>
      </c>
      <c r="AW61" s="284">
        <f t="shared" si="2"/>
        <v>0</v>
      </c>
      <c r="AX61" s="284">
        <f t="shared" si="2"/>
        <v>0</v>
      </c>
      <c r="AY61" s="284">
        <f t="shared" si="2"/>
        <v>0</v>
      </c>
      <c r="AZ61" s="284">
        <f t="shared" si="2"/>
        <v>-12112.03618380849</v>
      </c>
      <c r="BA61" s="284">
        <f t="shared" si="2"/>
        <v>0</v>
      </c>
      <c r="BB61" s="284">
        <f t="shared" si="2"/>
        <v>0</v>
      </c>
      <c r="BC61" s="284">
        <f t="shared" si="2"/>
        <v>0</v>
      </c>
      <c r="BD61" s="284">
        <f t="shared" si="2"/>
        <v>0</v>
      </c>
      <c r="BE61" s="284">
        <f t="shared" si="2"/>
        <v>0</v>
      </c>
    </row>
    <row r="62" spans="42:57" x14ac:dyDescent="0.2">
      <c r="AP62" s="206" t="s">
        <v>566</v>
      </c>
      <c r="AQ62" s="284">
        <f t="shared" si="1"/>
        <v>0</v>
      </c>
      <c r="AR62" s="284">
        <f t="shared" si="2"/>
        <v>0</v>
      </c>
      <c r="AS62" s="284">
        <f t="shared" si="2"/>
        <v>0</v>
      </c>
      <c r="AT62" s="284">
        <f t="shared" si="2"/>
        <v>0</v>
      </c>
      <c r="AU62" s="284">
        <f t="shared" si="2"/>
        <v>0</v>
      </c>
      <c r="AV62" s="284">
        <f t="shared" si="2"/>
        <v>0</v>
      </c>
      <c r="AW62" s="284">
        <f t="shared" si="2"/>
        <v>0</v>
      </c>
      <c r="AX62" s="284">
        <f t="shared" si="2"/>
        <v>0</v>
      </c>
      <c r="AY62" s="284">
        <f t="shared" si="2"/>
        <v>0</v>
      </c>
      <c r="AZ62" s="284">
        <f t="shared" si="2"/>
        <v>0</v>
      </c>
      <c r="BA62" s="284">
        <f t="shared" si="2"/>
        <v>27180.660725538582</v>
      </c>
      <c r="BB62" s="284">
        <f t="shared" si="2"/>
        <v>0</v>
      </c>
      <c r="BC62" s="284">
        <f t="shared" si="2"/>
        <v>0</v>
      </c>
      <c r="BD62" s="284">
        <f t="shared" si="2"/>
        <v>0</v>
      </c>
      <c r="BE62" s="284">
        <f t="shared" si="2"/>
        <v>0</v>
      </c>
    </row>
    <row r="63" spans="42:57" x14ac:dyDescent="0.2">
      <c r="AP63" s="206" t="s">
        <v>533</v>
      </c>
      <c r="AQ63" s="284">
        <f t="shared" si="1"/>
        <v>0</v>
      </c>
      <c r="AR63" s="284">
        <f t="shared" si="2"/>
        <v>0</v>
      </c>
      <c r="AS63" s="284">
        <f t="shared" si="2"/>
        <v>0</v>
      </c>
      <c r="AT63" s="284">
        <f t="shared" si="2"/>
        <v>0</v>
      </c>
      <c r="AU63" s="284">
        <f t="shared" si="2"/>
        <v>0</v>
      </c>
      <c r="AV63" s="284">
        <f t="shared" si="2"/>
        <v>0</v>
      </c>
      <c r="AW63" s="284">
        <f t="shared" si="2"/>
        <v>0</v>
      </c>
      <c r="AX63" s="284">
        <f t="shared" si="2"/>
        <v>0</v>
      </c>
      <c r="AY63" s="284">
        <f t="shared" si="2"/>
        <v>0</v>
      </c>
      <c r="AZ63" s="284">
        <f t="shared" si="2"/>
        <v>0</v>
      </c>
      <c r="BA63" s="284">
        <f t="shared" si="2"/>
        <v>0</v>
      </c>
      <c r="BB63" s="284">
        <f t="shared" si="2"/>
        <v>0</v>
      </c>
      <c r="BC63" s="284">
        <f t="shared" si="2"/>
        <v>0</v>
      </c>
      <c r="BD63" s="284">
        <f t="shared" si="2"/>
        <v>-11321.85158370395</v>
      </c>
      <c r="BE63" s="284">
        <f t="shared" si="2"/>
        <v>0</v>
      </c>
    </row>
    <row r="64" spans="42:57" x14ac:dyDescent="0.2">
      <c r="AP64" s="206" t="s">
        <v>535</v>
      </c>
      <c r="AQ64" s="284">
        <f t="shared" si="1"/>
        <v>0</v>
      </c>
      <c r="AR64" s="284">
        <f t="shared" si="2"/>
        <v>0</v>
      </c>
      <c r="AS64" s="284">
        <f t="shared" si="2"/>
        <v>0</v>
      </c>
      <c r="AT64" s="284">
        <f t="shared" si="2"/>
        <v>0</v>
      </c>
      <c r="AU64" s="284">
        <f t="shared" si="2"/>
        <v>0</v>
      </c>
      <c r="AV64" s="284">
        <f t="shared" si="2"/>
        <v>0</v>
      </c>
      <c r="AW64" s="284">
        <f t="shared" si="2"/>
        <v>0</v>
      </c>
      <c r="AX64" s="284">
        <f t="shared" si="2"/>
        <v>0</v>
      </c>
      <c r="AY64" s="284">
        <f t="shared" si="2"/>
        <v>0</v>
      </c>
      <c r="AZ64" s="284">
        <f t="shared" si="2"/>
        <v>0</v>
      </c>
      <c r="BA64" s="284">
        <f t="shared" si="2"/>
        <v>0</v>
      </c>
      <c r="BB64" s="284">
        <f t="shared" si="2"/>
        <v>0</v>
      </c>
      <c r="BC64" s="284">
        <f t="shared" si="2"/>
        <v>0</v>
      </c>
      <c r="BD64" s="284">
        <f t="shared" si="2"/>
        <v>0</v>
      </c>
      <c r="BE64" s="284">
        <f t="shared" si="2"/>
        <v>0</v>
      </c>
    </row>
    <row r="65" spans="42:64" x14ac:dyDescent="0.2">
      <c r="AP65" s="206" t="s">
        <v>534</v>
      </c>
      <c r="AQ65" s="284">
        <f t="shared" si="1"/>
        <v>0</v>
      </c>
      <c r="AR65" s="284">
        <f t="shared" si="2"/>
        <v>0</v>
      </c>
      <c r="AS65" s="284">
        <f t="shared" si="2"/>
        <v>0</v>
      </c>
      <c r="AT65" s="284">
        <f t="shared" si="2"/>
        <v>0</v>
      </c>
      <c r="AU65" s="284">
        <f t="shared" si="2"/>
        <v>0</v>
      </c>
      <c r="AV65" s="284">
        <f t="shared" si="2"/>
        <v>0</v>
      </c>
      <c r="AW65" s="284">
        <f t="shared" si="2"/>
        <v>0</v>
      </c>
      <c r="AX65" s="284">
        <f t="shared" si="2"/>
        <v>0</v>
      </c>
      <c r="AY65" s="284">
        <f t="shared" si="2"/>
        <v>0</v>
      </c>
      <c r="AZ65" s="284">
        <f t="shared" si="2"/>
        <v>0</v>
      </c>
      <c r="BA65" s="284">
        <f t="shared" si="2"/>
        <v>0</v>
      </c>
      <c r="BB65" s="284">
        <f t="shared" si="2"/>
        <v>0</v>
      </c>
      <c r="BC65" s="284">
        <f t="shared" si="2"/>
        <v>0</v>
      </c>
      <c r="BD65" s="284">
        <f t="shared" si="2"/>
        <v>0</v>
      </c>
      <c r="BE65" s="284">
        <f t="shared" si="2"/>
        <v>0</v>
      </c>
    </row>
    <row r="66" spans="42:64" x14ac:dyDescent="0.2">
      <c r="AP66" s="206" t="s">
        <v>632</v>
      </c>
      <c r="AQ66" s="284">
        <f t="shared" si="1"/>
        <v>0</v>
      </c>
      <c r="AR66" s="284">
        <f t="shared" si="2"/>
        <v>0</v>
      </c>
      <c r="AS66" s="284">
        <f t="shared" si="2"/>
        <v>0</v>
      </c>
      <c r="AT66" s="284">
        <f t="shared" si="2"/>
        <v>0</v>
      </c>
      <c r="AU66" s="284">
        <f t="shared" si="2"/>
        <v>0</v>
      </c>
      <c r="AV66" s="284">
        <f t="shared" si="2"/>
        <v>0</v>
      </c>
      <c r="AW66" s="284">
        <f t="shared" si="2"/>
        <v>0</v>
      </c>
      <c r="AX66" s="284">
        <f t="shared" si="2"/>
        <v>0</v>
      </c>
      <c r="AY66" s="284">
        <f t="shared" si="2"/>
        <v>0</v>
      </c>
      <c r="AZ66" s="284">
        <f t="shared" si="2"/>
        <v>0</v>
      </c>
      <c r="BA66" s="284">
        <f t="shared" si="2"/>
        <v>0</v>
      </c>
      <c r="BB66" s="284">
        <f t="shared" si="2"/>
        <v>0</v>
      </c>
      <c r="BC66" s="284">
        <f t="shared" si="2"/>
        <v>0</v>
      </c>
      <c r="BD66" s="284">
        <f t="shared" si="2"/>
        <v>0</v>
      </c>
      <c r="BE66" s="284">
        <f t="shared" si="2"/>
        <v>0</v>
      </c>
    </row>
    <row r="67" spans="42:64" ht="16" x14ac:dyDescent="0.2">
      <c r="AP67" s="253" t="s">
        <v>530</v>
      </c>
      <c r="AQ67" s="284">
        <f t="shared" si="1"/>
        <v>0</v>
      </c>
      <c r="AR67" s="284">
        <f t="shared" si="2"/>
        <v>0</v>
      </c>
      <c r="AS67" s="284">
        <f t="shared" si="2"/>
        <v>0</v>
      </c>
      <c r="AT67" s="284">
        <f t="shared" si="2"/>
        <v>0</v>
      </c>
      <c r="AU67" s="284">
        <f t="shared" si="2"/>
        <v>0</v>
      </c>
      <c r="AV67" s="284">
        <f t="shared" si="2"/>
        <v>0</v>
      </c>
      <c r="AW67" s="284">
        <f t="shared" si="2"/>
        <v>0</v>
      </c>
      <c r="AX67" s="284">
        <f t="shared" si="2"/>
        <v>0</v>
      </c>
      <c r="AY67" s="284">
        <f t="shared" si="2"/>
        <v>0</v>
      </c>
      <c r="AZ67" s="284">
        <f t="shared" si="2"/>
        <v>0</v>
      </c>
      <c r="BA67" s="284">
        <f t="shared" si="2"/>
        <v>0</v>
      </c>
      <c r="BB67" s="284">
        <f t="shared" si="2"/>
        <v>-265.33787327335835</v>
      </c>
      <c r="BC67" s="284">
        <f t="shared" si="2"/>
        <v>0</v>
      </c>
      <c r="BD67" s="284">
        <f t="shared" si="2"/>
        <v>0</v>
      </c>
      <c r="BE67" s="284">
        <f t="shared" si="2"/>
        <v>0</v>
      </c>
    </row>
    <row r="68" spans="42:64" x14ac:dyDescent="0.2">
      <c r="AP68" s="206" t="s">
        <v>529</v>
      </c>
      <c r="AQ68" s="284">
        <f t="shared" si="1"/>
        <v>0</v>
      </c>
      <c r="AR68" s="284">
        <f t="shared" si="2"/>
        <v>0</v>
      </c>
      <c r="AS68" s="284">
        <f t="shared" si="2"/>
        <v>0</v>
      </c>
      <c r="AT68" s="284">
        <f t="shared" si="2"/>
        <v>0</v>
      </c>
      <c r="AU68" s="284">
        <f t="shared" si="2"/>
        <v>0</v>
      </c>
      <c r="AV68" s="284">
        <f t="shared" si="2"/>
        <v>0</v>
      </c>
      <c r="AW68" s="284">
        <f t="shared" si="2"/>
        <v>0</v>
      </c>
      <c r="AX68" s="284">
        <f t="shared" si="2"/>
        <v>0</v>
      </c>
      <c r="AY68" s="284">
        <f t="shared" si="2"/>
        <v>0</v>
      </c>
      <c r="AZ68" s="284">
        <f t="shared" si="2"/>
        <v>0</v>
      </c>
      <c r="BA68" s="284">
        <f t="shared" si="2"/>
        <v>0</v>
      </c>
      <c r="BB68" s="284">
        <f t="shared" si="2"/>
        <v>0</v>
      </c>
      <c r="BC68" s="284">
        <f t="shared" si="2"/>
        <v>0</v>
      </c>
      <c r="BD68" s="284">
        <f t="shared" si="2"/>
        <v>0</v>
      </c>
      <c r="BE68" s="284">
        <f t="shared" si="2"/>
        <v>0</v>
      </c>
    </row>
    <row r="69" spans="42:64" x14ac:dyDescent="0.2">
      <c r="AP69" s="204" t="s">
        <v>531</v>
      </c>
      <c r="AQ69" s="284">
        <f t="shared" si="1"/>
        <v>0</v>
      </c>
      <c r="AR69" s="284">
        <f t="shared" si="2"/>
        <v>0</v>
      </c>
      <c r="AS69" s="284">
        <f t="shared" si="2"/>
        <v>0</v>
      </c>
      <c r="AT69" s="284">
        <f t="shared" si="2"/>
        <v>0</v>
      </c>
      <c r="AU69" s="284">
        <f t="shared" si="2"/>
        <v>0</v>
      </c>
      <c r="AV69" s="284">
        <f t="shared" si="2"/>
        <v>0</v>
      </c>
      <c r="AW69" s="284">
        <f t="shared" si="2"/>
        <v>0</v>
      </c>
      <c r="AX69" s="284">
        <f t="shared" si="2"/>
        <v>0</v>
      </c>
      <c r="AY69" s="284">
        <f t="shared" si="2"/>
        <v>0</v>
      </c>
      <c r="AZ69" s="284">
        <f t="shared" si="2"/>
        <v>0</v>
      </c>
      <c r="BA69" s="284">
        <f t="shared" si="2"/>
        <v>0</v>
      </c>
      <c r="BB69" s="284">
        <f t="shared" si="2"/>
        <v>0</v>
      </c>
      <c r="BC69" s="284">
        <f t="shared" si="2"/>
        <v>0</v>
      </c>
      <c r="BD69" s="284">
        <f t="shared" si="2"/>
        <v>0</v>
      </c>
      <c r="BE69" s="284">
        <f t="shared" si="2"/>
        <v>0</v>
      </c>
    </row>
    <row r="70" spans="42:64" x14ac:dyDescent="0.2">
      <c r="AP70" s="206" t="s">
        <v>673</v>
      </c>
      <c r="AQ70" s="284">
        <f t="shared" si="1"/>
        <v>0</v>
      </c>
      <c r="AR70" s="284">
        <f t="shared" si="2"/>
        <v>0</v>
      </c>
      <c r="AS70" s="284">
        <f t="shared" si="2"/>
        <v>0</v>
      </c>
      <c r="AT70" s="284">
        <f t="shared" si="2"/>
        <v>0</v>
      </c>
      <c r="AU70" s="284">
        <f t="shared" si="2"/>
        <v>0</v>
      </c>
      <c r="AV70" s="284">
        <f t="shared" si="2"/>
        <v>0</v>
      </c>
      <c r="AW70" s="284">
        <f t="shared" si="2"/>
        <v>0</v>
      </c>
      <c r="AX70" s="284">
        <f t="shared" si="2"/>
        <v>0</v>
      </c>
      <c r="AY70" s="284">
        <f t="shared" si="2"/>
        <v>0</v>
      </c>
      <c r="AZ70" s="284">
        <f t="shared" si="2"/>
        <v>0</v>
      </c>
      <c r="BA70" s="284">
        <f t="shared" si="2"/>
        <v>0</v>
      </c>
      <c r="BB70" s="284">
        <f t="shared" si="2"/>
        <v>0</v>
      </c>
      <c r="BC70" s="284">
        <f t="shared" si="2"/>
        <v>6.1564271489094446E-3</v>
      </c>
      <c r="BD70" s="284">
        <f t="shared" si="2"/>
        <v>0</v>
      </c>
      <c r="BE70" s="284">
        <f t="shared" si="2"/>
        <v>0</v>
      </c>
    </row>
    <row r="71" spans="42:64" x14ac:dyDescent="0.2">
      <c r="AP71" s="206" t="s">
        <v>676</v>
      </c>
      <c r="AQ71" s="284">
        <f t="shared" si="1"/>
        <v>0</v>
      </c>
      <c r="AR71" s="284">
        <f t="shared" si="2"/>
        <v>0</v>
      </c>
      <c r="AS71" s="284">
        <f t="shared" si="2"/>
        <v>0</v>
      </c>
      <c r="AT71" s="284">
        <f t="shared" si="2"/>
        <v>0</v>
      </c>
      <c r="AU71" s="284">
        <f t="shared" si="2"/>
        <v>0</v>
      </c>
      <c r="AV71" s="284">
        <f t="shared" si="2"/>
        <v>0</v>
      </c>
      <c r="AW71" s="284">
        <f t="shared" si="2"/>
        <v>0</v>
      </c>
      <c r="AX71" s="284">
        <f t="shared" si="2"/>
        <v>0</v>
      </c>
      <c r="AY71" s="284">
        <f t="shared" si="2"/>
        <v>0</v>
      </c>
      <c r="AZ71" s="284">
        <f t="shared" si="2"/>
        <v>0</v>
      </c>
      <c r="BA71" s="284">
        <f t="shared" si="2"/>
        <v>6.1564271489094446E-3</v>
      </c>
      <c r="BB71" s="284">
        <f t="shared" si="2"/>
        <v>0</v>
      </c>
      <c r="BC71" s="284">
        <f t="shared" si="2"/>
        <v>0</v>
      </c>
      <c r="BD71" s="284">
        <f t="shared" si="2"/>
        <v>0</v>
      </c>
      <c r="BE71" s="284">
        <f t="shared" si="2"/>
        <v>6.1564271489094437E-3</v>
      </c>
    </row>
    <row r="72" spans="42:64" x14ac:dyDescent="0.2">
      <c r="AP72" s="206" t="s">
        <v>554</v>
      </c>
      <c r="AQ72" s="284">
        <f t="shared" si="1"/>
        <v>0</v>
      </c>
      <c r="AR72" s="284">
        <f t="shared" si="2"/>
        <v>0</v>
      </c>
      <c r="AS72" s="284">
        <f t="shared" si="2"/>
        <v>0</v>
      </c>
      <c r="AT72" s="284">
        <f t="shared" si="2"/>
        <v>0</v>
      </c>
      <c r="AU72" s="284">
        <f t="shared" si="2"/>
        <v>0</v>
      </c>
      <c r="AV72" s="284">
        <f t="shared" si="2"/>
        <v>0</v>
      </c>
      <c r="AW72" s="284">
        <f t="shared" si="2"/>
        <v>0</v>
      </c>
      <c r="AX72" s="284">
        <f t="shared" si="2"/>
        <v>0</v>
      </c>
      <c r="AY72" s="284">
        <f t="shared" si="2"/>
        <v>0</v>
      </c>
      <c r="AZ72" s="284">
        <f t="shared" si="2"/>
        <v>0</v>
      </c>
      <c r="BA72" s="284">
        <f t="shared" si="2"/>
        <v>0</v>
      </c>
      <c r="BB72" s="284">
        <f t="shared" si="2"/>
        <v>0</v>
      </c>
      <c r="BC72" s="284">
        <f t="shared" si="2"/>
        <v>0</v>
      </c>
      <c r="BD72" s="284">
        <f t="shared" si="2"/>
        <v>0</v>
      </c>
      <c r="BE72" s="284">
        <f t="shared" si="2"/>
        <v>-5807.700525901595</v>
      </c>
    </row>
    <row r="73" spans="42:64" x14ac:dyDescent="0.2">
      <c r="AP73" s="206" t="s">
        <v>555</v>
      </c>
      <c r="AQ73" s="284">
        <f t="shared" si="1"/>
        <v>0</v>
      </c>
      <c r="AR73" s="284">
        <f t="shared" ref="AR73:BE75" si="3">AR113</f>
        <v>0</v>
      </c>
      <c r="AS73" s="284">
        <f t="shared" si="3"/>
        <v>0</v>
      </c>
      <c r="AT73" s="284">
        <f t="shared" si="3"/>
        <v>0</v>
      </c>
      <c r="AU73" s="284">
        <f t="shared" si="3"/>
        <v>0</v>
      </c>
      <c r="AV73" s="284">
        <f t="shared" si="3"/>
        <v>0</v>
      </c>
      <c r="AW73" s="284">
        <f t="shared" si="3"/>
        <v>0</v>
      </c>
      <c r="AX73" s="284">
        <f t="shared" si="3"/>
        <v>0</v>
      </c>
      <c r="AY73" s="284">
        <f t="shared" si="3"/>
        <v>0</v>
      </c>
      <c r="AZ73" s="284">
        <f t="shared" si="3"/>
        <v>0</v>
      </c>
      <c r="BA73" s="284">
        <f t="shared" si="3"/>
        <v>0</v>
      </c>
      <c r="BB73" s="284">
        <f t="shared" si="3"/>
        <v>0</v>
      </c>
      <c r="BC73" s="284">
        <f t="shared" si="3"/>
        <v>0</v>
      </c>
      <c r="BD73" s="284">
        <f t="shared" si="3"/>
        <v>0</v>
      </c>
      <c r="BE73" s="284">
        <f t="shared" si="3"/>
        <v>0</v>
      </c>
    </row>
    <row r="74" spans="42:64" x14ac:dyDescent="0.2">
      <c r="AP74" s="206" t="s">
        <v>556</v>
      </c>
      <c r="AQ74" s="284">
        <f t="shared" si="1"/>
        <v>0</v>
      </c>
      <c r="AR74" s="284">
        <f t="shared" si="3"/>
        <v>0</v>
      </c>
      <c r="AS74" s="284">
        <f t="shared" si="3"/>
        <v>0</v>
      </c>
      <c r="AT74" s="284">
        <f t="shared" si="3"/>
        <v>0</v>
      </c>
      <c r="AU74" s="284">
        <f t="shared" si="3"/>
        <v>0</v>
      </c>
      <c r="AV74" s="284">
        <f t="shared" si="3"/>
        <v>0</v>
      </c>
      <c r="AW74" s="284">
        <f t="shared" si="3"/>
        <v>0</v>
      </c>
      <c r="AX74" s="284">
        <f t="shared" si="3"/>
        <v>0</v>
      </c>
      <c r="AY74" s="284">
        <f t="shared" si="3"/>
        <v>0</v>
      </c>
      <c r="AZ74" s="284">
        <f t="shared" si="3"/>
        <v>0</v>
      </c>
      <c r="BA74" s="284">
        <f t="shared" si="3"/>
        <v>0</v>
      </c>
      <c r="BB74" s="284">
        <f t="shared" si="3"/>
        <v>0</v>
      </c>
      <c r="BC74" s="284">
        <f t="shared" si="3"/>
        <v>0</v>
      </c>
      <c r="BD74" s="284">
        <f t="shared" si="3"/>
        <v>0</v>
      </c>
      <c r="BE74" s="284">
        <f t="shared" si="3"/>
        <v>0</v>
      </c>
    </row>
    <row r="75" spans="42:64" x14ac:dyDescent="0.2">
      <c r="AP75" s="206" t="s">
        <v>567</v>
      </c>
      <c r="AQ75" s="284">
        <f t="shared" si="1"/>
        <v>0</v>
      </c>
      <c r="AR75" s="284">
        <f t="shared" si="3"/>
        <v>0</v>
      </c>
      <c r="AS75" s="284">
        <f t="shared" si="3"/>
        <v>0</v>
      </c>
      <c r="AT75" s="284">
        <f t="shared" si="3"/>
        <v>0</v>
      </c>
      <c r="AU75" s="284">
        <f t="shared" si="3"/>
        <v>0</v>
      </c>
      <c r="AV75" s="284">
        <f t="shared" si="3"/>
        <v>0</v>
      </c>
      <c r="AW75" s="284">
        <f t="shared" si="3"/>
        <v>0</v>
      </c>
      <c r="AX75" s="284">
        <f t="shared" si="3"/>
        <v>0</v>
      </c>
      <c r="AY75" s="284">
        <f t="shared" si="3"/>
        <v>0</v>
      </c>
      <c r="AZ75" s="284">
        <f t="shared" si="3"/>
        <v>0</v>
      </c>
      <c r="BA75" s="284">
        <f t="shared" si="3"/>
        <v>0</v>
      </c>
      <c r="BB75" s="284">
        <f t="shared" si="3"/>
        <v>0</v>
      </c>
      <c r="BC75" s="284">
        <f t="shared" si="3"/>
        <v>0</v>
      </c>
      <c r="BD75" s="284">
        <f t="shared" si="3"/>
        <v>0</v>
      </c>
      <c r="BE75" s="284">
        <f t="shared" si="3"/>
        <v>0</v>
      </c>
    </row>
    <row r="76" spans="42:64" x14ac:dyDescent="0.2">
      <c r="AP76" s="206"/>
      <c r="AQ76" s="394" t="s">
        <v>582</v>
      </c>
      <c r="AR76" s="394"/>
      <c r="AS76" s="394"/>
      <c r="AT76" s="394"/>
      <c r="AU76" s="394"/>
      <c r="AV76" s="394"/>
      <c r="AW76" s="394"/>
      <c r="AX76" s="394"/>
      <c r="AY76" s="394"/>
      <c r="AZ76" s="394"/>
      <c r="BA76" s="394"/>
      <c r="BB76" s="394"/>
      <c r="BC76" s="394"/>
      <c r="BD76" s="394"/>
      <c r="BE76" s="394"/>
    </row>
    <row r="80" spans="42:64" ht="112" x14ac:dyDescent="0.2">
      <c r="AP80" s="260"/>
      <c r="AQ80" s="207" t="s">
        <v>415</v>
      </c>
      <c r="AR80" s="207" t="s">
        <v>416</v>
      </c>
      <c r="AS80" s="207" t="s">
        <v>417</v>
      </c>
      <c r="AT80" s="207" t="s">
        <v>565</v>
      </c>
      <c r="AU80" s="207" t="s">
        <v>544</v>
      </c>
      <c r="AV80" s="207" t="s">
        <v>543</v>
      </c>
      <c r="AW80" s="207" t="s">
        <v>443</v>
      </c>
      <c r="AX80" s="207" t="s">
        <v>440</v>
      </c>
      <c r="AY80" s="207" t="s">
        <v>458</v>
      </c>
      <c r="AZ80" s="207" t="s">
        <v>441</v>
      </c>
      <c r="BA80" s="207" t="s">
        <v>436</v>
      </c>
      <c r="BB80" s="207" t="s">
        <v>672</v>
      </c>
      <c r="BC80" s="207" t="s">
        <v>675</v>
      </c>
      <c r="BD80" s="207" t="s">
        <v>81</v>
      </c>
      <c r="BE80" s="207" t="s">
        <v>427</v>
      </c>
      <c r="BJ80" s="207"/>
      <c r="BK80" s="207" t="s">
        <v>421</v>
      </c>
      <c r="BL80" s="207" t="s">
        <v>356</v>
      </c>
    </row>
    <row r="81" spans="32:70" x14ac:dyDescent="0.2">
      <c r="AF81" s="204"/>
      <c r="AG81" s="204"/>
      <c r="AP81" s="204" t="s">
        <v>423</v>
      </c>
      <c r="AQ81" s="230">
        <f>'Ore-&gt;PI'!O52</f>
        <v>-6442.5099571670216</v>
      </c>
      <c r="AR81" s="230"/>
      <c r="AS81" s="230"/>
      <c r="AT81" s="230"/>
      <c r="AU81" s="230"/>
      <c r="AV81" s="230"/>
      <c r="AW81" s="230"/>
      <c r="AX81" s="230"/>
      <c r="AY81" s="230"/>
      <c r="AZ81" s="230"/>
      <c r="BA81" s="230"/>
      <c r="BB81" s="230"/>
      <c r="BC81" s="230"/>
      <c r="BD81" s="230"/>
      <c r="BE81" s="230"/>
      <c r="BF81" s="252">
        <f>SUM(AQ81:BE81)</f>
        <v>-6442.5099571670216</v>
      </c>
      <c r="BJ81" s="204" t="s">
        <v>423</v>
      </c>
      <c r="BK81" s="244"/>
      <c r="BL81" s="244"/>
      <c r="BM81" s="252">
        <f>SUM(BK81:BL81)</f>
        <v>0</v>
      </c>
    </row>
    <row r="82" spans="32:70" x14ac:dyDescent="0.2">
      <c r="AF82" s="204"/>
      <c r="AG82" s="204"/>
      <c r="AP82" s="204" t="s">
        <v>425</v>
      </c>
      <c r="AQ82" s="230"/>
      <c r="AR82" s="230">
        <f>'Ore-&gt;PI'!O132</f>
        <v>-12112.03618380849</v>
      </c>
      <c r="AS82" s="230"/>
      <c r="AT82" s="230"/>
      <c r="AU82" s="230"/>
      <c r="AV82" s="230"/>
      <c r="AW82" s="230"/>
      <c r="AX82" s="230"/>
      <c r="AY82" s="230"/>
      <c r="AZ82" s="230"/>
      <c r="BA82" s="230"/>
      <c r="BB82" s="230"/>
      <c r="BC82" s="230"/>
      <c r="BD82" s="230"/>
      <c r="BE82" s="230"/>
      <c r="BF82" s="252">
        <f>SUM(AQ82:BE82)</f>
        <v>-12112.03618380849</v>
      </c>
      <c r="BJ82" s="204" t="s">
        <v>425</v>
      </c>
      <c r="BK82" s="244"/>
      <c r="BL82" s="244"/>
      <c r="BM82" s="252">
        <f>SUM(BK82:BL82)</f>
        <v>0</v>
      </c>
    </row>
    <row r="83" spans="32:70" x14ac:dyDescent="0.2">
      <c r="AF83" s="204"/>
      <c r="AG83" s="204"/>
      <c r="AP83" s="204" t="s">
        <v>426</v>
      </c>
      <c r="AQ83" s="230"/>
      <c r="AR83" s="230"/>
      <c r="AS83" s="230">
        <f>'Ore-&gt;PI'!O217</f>
        <v>27180.660725538582</v>
      </c>
      <c r="AT83" s="230"/>
      <c r="AU83" s="230"/>
      <c r="AV83" s="230"/>
      <c r="AW83" s="230"/>
      <c r="AX83" s="230"/>
      <c r="AY83" s="230"/>
      <c r="AZ83" s="230"/>
      <c r="BA83" s="230"/>
      <c r="BB83" s="230"/>
      <c r="BC83" s="230"/>
      <c r="BD83" s="230"/>
      <c r="BE83" s="230"/>
      <c r="BF83" s="252">
        <f t="shared" ref="BF83:BF115" si="4">SUM(AQ83:BE83)</f>
        <v>27180.660725538582</v>
      </c>
      <c r="BJ83" s="204" t="s">
        <v>426</v>
      </c>
      <c r="BK83" s="244"/>
      <c r="BL83" s="244"/>
      <c r="BM83" s="252">
        <f>SUM(BK83:BL83)</f>
        <v>0</v>
      </c>
    </row>
    <row r="84" spans="32:70" x14ac:dyDescent="0.2">
      <c r="AF84" s="204"/>
      <c r="AG84" s="204"/>
      <c r="AP84" s="204" t="s">
        <v>447</v>
      </c>
      <c r="AQ84" s="230">
        <f>'Ore-&gt;PI'!O78</f>
        <v>0</v>
      </c>
      <c r="AR84" s="230">
        <f>'Ore-&gt;PI'!O169</f>
        <v>0</v>
      </c>
      <c r="AS84" s="230">
        <f>'Ore-&gt;PI'!O242</f>
        <v>0</v>
      </c>
      <c r="AT84" s="230"/>
      <c r="AU84" s="230"/>
      <c r="AV84" s="230"/>
      <c r="AW84" s="230"/>
      <c r="AX84" s="230"/>
      <c r="AY84" s="230"/>
      <c r="AZ84" s="230">
        <f>'Ore-&gt;PI'!BU146</f>
        <v>0</v>
      </c>
      <c r="BA84" s="230">
        <f>'Ore-&gt;PI'!BU248</f>
        <v>0</v>
      </c>
      <c r="BB84" s="230"/>
      <c r="BC84" s="230"/>
      <c r="BD84" s="230"/>
      <c r="BE84" s="243">
        <f>'Ore-&gt;PI'!EF146</f>
        <v>0</v>
      </c>
      <c r="BF84" s="252">
        <f t="shared" si="4"/>
        <v>0</v>
      </c>
      <c r="BJ84" s="204" t="s">
        <v>447</v>
      </c>
      <c r="BK84" s="244"/>
      <c r="BL84" s="244"/>
      <c r="BM84" s="252">
        <f t="shared" ref="BM84:BM115" si="5">SUM(BK84:BL84)</f>
        <v>0</v>
      </c>
    </row>
    <row r="85" spans="32:70" x14ac:dyDescent="0.2">
      <c r="AF85" s="204"/>
      <c r="AG85" s="204"/>
      <c r="AP85" s="204" t="s">
        <v>477</v>
      </c>
      <c r="AQ85" s="230"/>
      <c r="AR85" s="230"/>
      <c r="AS85" s="230"/>
      <c r="AT85" s="230"/>
      <c r="AU85" s="230"/>
      <c r="AV85" s="230"/>
      <c r="AW85" s="230"/>
      <c r="AX85" s="230"/>
      <c r="AY85" s="230"/>
      <c r="AZ85" s="230">
        <f>'Ore-&gt;PI'!BU157</f>
        <v>1.604276E-2</v>
      </c>
      <c r="BA85" s="230">
        <f>'Ore-&gt;PI'!BU259</f>
        <v>1.604276E-2</v>
      </c>
      <c r="BB85" s="230"/>
      <c r="BC85" s="230"/>
      <c r="BD85" s="230"/>
      <c r="BE85" s="230">
        <f>'Ore-&gt;PI'!EF119</f>
        <v>1.604276E-2</v>
      </c>
      <c r="BF85" s="252">
        <f t="shared" si="4"/>
        <v>4.8128279999999996E-2</v>
      </c>
      <c r="BJ85" s="204" t="s">
        <v>477</v>
      </c>
      <c r="BK85" s="244"/>
      <c r="BL85" s="244"/>
      <c r="BM85" s="252">
        <f t="shared" si="5"/>
        <v>0</v>
      </c>
    </row>
    <row r="86" spans="32:70" x14ac:dyDescent="0.2">
      <c r="AF86" s="204"/>
      <c r="AG86" s="204"/>
      <c r="AP86" s="204" t="s">
        <v>576</v>
      </c>
      <c r="AQ86" s="230">
        <f>'Ore-&gt;PI'!O64</f>
        <v>42600</v>
      </c>
      <c r="AR86" s="230">
        <f>'Ore-&gt;PI'!O145</f>
        <v>42600</v>
      </c>
      <c r="AS86" s="230">
        <f>'Ore-&gt;PI'!O227</f>
        <v>42600</v>
      </c>
      <c r="AT86" s="230"/>
      <c r="AU86" s="230"/>
      <c r="AV86" s="230"/>
      <c r="AW86" s="230"/>
      <c r="AX86" s="230"/>
      <c r="AY86" s="230"/>
      <c r="AZ86" s="230"/>
      <c r="BA86" s="230"/>
      <c r="BB86" s="230"/>
      <c r="BC86" s="230"/>
      <c r="BD86" s="230"/>
      <c r="BE86" s="230"/>
      <c r="BF86" s="252">
        <f t="shared" si="4"/>
        <v>127800</v>
      </c>
      <c r="BJ86" s="204" t="s">
        <v>576</v>
      </c>
      <c r="BK86" s="244"/>
      <c r="BL86" s="244"/>
      <c r="BM86" s="252">
        <f t="shared" si="5"/>
        <v>0</v>
      </c>
    </row>
    <row r="87" spans="32:70" x14ac:dyDescent="0.2">
      <c r="AF87" s="204"/>
      <c r="AG87" s="204"/>
      <c r="AP87" s="204" t="s">
        <v>577</v>
      </c>
      <c r="AQ87" s="230"/>
      <c r="AR87" s="230">
        <f>'Ore-&gt;PI'!O156</f>
        <v>-2189.4247196818515</v>
      </c>
      <c r="AS87" s="230"/>
      <c r="AT87" s="230"/>
      <c r="AU87" s="230"/>
      <c r="AV87" s="230"/>
      <c r="AW87" s="230"/>
      <c r="AX87" s="230"/>
      <c r="AY87" s="230"/>
      <c r="AZ87" s="230"/>
      <c r="BA87" s="230"/>
      <c r="BB87" s="230"/>
      <c r="BC87" s="230"/>
      <c r="BD87" s="230"/>
      <c r="BE87" s="230"/>
      <c r="BF87" s="252">
        <f t="shared" si="4"/>
        <v>-2189.4247196818515</v>
      </c>
      <c r="BJ87" s="204" t="s">
        <v>577</v>
      </c>
      <c r="BK87" s="244"/>
      <c r="BL87" s="244"/>
      <c r="BM87" s="252">
        <f t="shared" si="5"/>
        <v>0</v>
      </c>
    </row>
    <row r="88" spans="32:70" x14ac:dyDescent="0.2">
      <c r="AF88" s="204"/>
      <c r="AG88" s="204"/>
      <c r="AP88" s="204" t="s">
        <v>519</v>
      </c>
      <c r="AQ88" s="230"/>
      <c r="AR88" s="230"/>
      <c r="AS88" s="230"/>
      <c r="AT88" s="230"/>
      <c r="AU88" s="230"/>
      <c r="AV88" s="230"/>
      <c r="AW88" s="230"/>
      <c r="AX88" s="230"/>
      <c r="AY88" s="230"/>
      <c r="AZ88" s="230"/>
      <c r="BA88" s="230"/>
      <c r="BB88" s="230"/>
      <c r="BC88" s="230"/>
      <c r="BD88" s="230"/>
      <c r="BE88" s="230">
        <f>'Ore-&gt;PI'!EF106</f>
        <v>39500</v>
      </c>
      <c r="BF88" s="252">
        <f t="shared" si="4"/>
        <v>39500</v>
      </c>
      <c r="BJ88" s="204" t="s">
        <v>519</v>
      </c>
      <c r="BK88" s="244"/>
      <c r="BL88" s="244"/>
      <c r="BM88" s="252">
        <f t="shared" si="5"/>
        <v>0</v>
      </c>
    </row>
    <row r="89" spans="32:70" x14ac:dyDescent="0.2">
      <c r="AF89" s="204"/>
      <c r="AG89" s="204"/>
      <c r="AP89" s="204" t="s">
        <v>569</v>
      </c>
      <c r="AQ89" s="230"/>
      <c r="AR89" s="230"/>
      <c r="AS89" s="230">
        <v>0</v>
      </c>
      <c r="AT89" s="230">
        <v>0</v>
      </c>
      <c r="AU89" s="230">
        <v>0</v>
      </c>
      <c r="AV89" s="230">
        <v>0</v>
      </c>
      <c r="AW89" s="230">
        <v>0</v>
      </c>
      <c r="AX89" s="230">
        <v>0</v>
      </c>
      <c r="AY89" s="230">
        <v>0</v>
      </c>
      <c r="AZ89" s="230"/>
      <c r="BA89" s="230"/>
      <c r="BB89" s="230">
        <v>0</v>
      </c>
      <c r="BC89" s="230"/>
      <c r="BD89" s="230"/>
      <c r="BE89" s="230">
        <v>0</v>
      </c>
      <c r="BF89" s="252">
        <f t="shared" si="4"/>
        <v>0</v>
      </c>
      <c r="BJ89" s="204" t="s">
        <v>569</v>
      </c>
      <c r="BK89" s="244"/>
      <c r="BL89" s="244"/>
      <c r="BM89" s="252">
        <f t="shared" si="5"/>
        <v>0</v>
      </c>
    </row>
    <row r="90" spans="32:70" ht="16" x14ac:dyDescent="0.2">
      <c r="AF90" s="246"/>
      <c r="AG90" s="246"/>
      <c r="AP90" s="205" t="s">
        <v>551</v>
      </c>
      <c r="AQ90" s="230"/>
      <c r="AR90" s="230"/>
      <c r="AS90" s="230"/>
      <c r="AT90" s="230">
        <f>'Ore-&gt;PI'!AH52</f>
        <v>-6442.5099571670216</v>
      </c>
      <c r="AU90" s="230"/>
      <c r="AV90" s="230"/>
      <c r="AW90" s="230"/>
      <c r="AX90" s="230"/>
      <c r="AY90" s="230"/>
      <c r="AZ90" s="230"/>
      <c r="BA90" s="230"/>
      <c r="BB90" s="230"/>
      <c r="BC90" s="230"/>
      <c r="BD90" s="230"/>
      <c r="BE90" s="230"/>
      <c r="BF90" s="252">
        <f t="shared" si="4"/>
        <v>-6442.5099571670216</v>
      </c>
      <c r="BJ90" s="205" t="s">
        <v>551</v>
      </c>
      <c r="BK90" s="244"/>
      <c r="BL90" s="244"/>
      <c r="BM90" s="252">
        <f t="shared" si="5"/>
        <v>0</v>
      </c>
    </row>
    <row r="91" spans="32:70" ht="16" x14ac:dyDescent="0.2">
      <c r="AF91" s="205"/>
      <c r="AG91" s="205"/>
      <c r="AP91" s="204" t="s">
        <v>517</v>
      </c>
      <c r="AQ91" s="230"/>
      <c r="AR91" s="230"/>
      <c r="AS91" s="230"/>
      <c r="AT91" s="230"/>
      <c r="AU91" s="230"/>
      <c r="AV91" s="230"/>
      <c r="AW91" s="230"/>
      <c r="AX91" s="230"/>
      <c r="AY91" s="230"/>
      <c r="AZ91" s="230"/>
      <c r="BA91" s="230"/>
      <c r="BB91" s="230"/>
      <c r="BC91" s="230"/>
      <c r="BD91" s="230"/>
      <c r="BE91" s="230"/>
      <c r="BF91" s="252">
        <f t="shared" si="4"/>
        <v>0</v>
      </c>
      <c r="BJ91" s="204" t="s">
        <v>517</v>
      </c>
      <c r="BK91" s="244"/>
      <c r="BL91" s="244">
        <f>'Ore-&gt;PI'!AH70</f>
        <v>-2880.21138188847</v>
      </c>
      <c r="BM91" s="252">
        <f t="shared" si="5"/>
        <v>-2880.21138188847</v>
      </c>
    </row>
    <row r="92" spans="32:70" ht="16" x14ac:dyDescent="0.2">
      <c r="AF92" s="206"/>
      <c r="AG92" s="206"/>
      <c r="AP92" s="205" t="s">
        <v>520</v>
      </c>
      <c r="AQ92" s="230"/>
      <c r="AR92" s="230"/>
      <c r="AS92" s="230"/>
      <c r="AT92" s="230"/>
      <c r="AU92" s="230">
        <f>'Ore-&gt;PI'!AI132</f>
        <v>-12112.03618380849</v>
      </c>
      <c r="AV92" s="230"/>
      <c r="AW92" s="230"/>
      <c r="AX92" s="230"/>
      <c r="AY92" s="230"/>
      <c r="AZ92" s="230"/>
      <c r="BA92" s="230"/>
      <c r="BB92" s="230"/>
      <c r="BC92" s="230"/>
      <c r="BD92" s="230"/>
      <c r="BE92" s="230"/>
      <c r="BF92" s="252">
        <f t="shared" si="4"/>
        <v>-12112.03618380849</v>
      </c>
      <c r="BJ92" s="205" t="s">
        <v>520</v>
      </c>
      <c r="BK92" s="244"/>
      <c r="BL92" s="248"/>
      <c r="BM92" s="252">
        <f t="shared" si="5"/>
        <v>0</v>
      </c>
    </row>
    <row r="93" spans="32:70" x14ac:dyDescent="0.2">
      <c r="AF93" s="206"/>
      <c r="AG93" s="206"/>
      <c r="AP93" s="204" t="s">
        <v>546</v>
      </c>
      <c r="AQ93" s="230"/>
      <c r="AR93" s="230"/>
      <c r="AS93" s="230"/>
      <c r="AT93" s="230"/>
      <c r="AU93" s="230"/>
      <c r="AV93" s="230"/>
      <c r="AW93" s="230"/>
      <c r="AX93" s="230"/>
      <c r="AY93" s="230"/>
      <c r="AZ93" s="230"/>
      <c r="BA93" s="230"/>
      <c r="BB93" s="230"/>
      <c r="BC93" s="230"/>
      <c r="BD93" s="243"/>
      <c r="BE93" s="230"/>
      <c r="BF93" s="252">
        <f t="shared" si="4"/>
        <v>0</v>
      </c>
      <c r="BJ93" s="204" t="s">
        <v>546</v>
      </c>
      <c r="BK93" s="244"/>
      <c r="BL93" s="244">
        <f>'Ore-&gt;PI'!AI149</f>
        <v>-2882.6003576350172</v>
      </c>
      <c r="BM93" s="252">
        <f t="shared" si="5"/>
        <v>-2882.6003576350172</v>
      </c>
    </row>
    <row r="94" spans="32:70" x14ac:dyDescent="0.2">
      <c r="AF94" s="206"/>
      <c r="AG94" s="206"/>
      <c r="AP94" s="206" t="s">
        <v>538</v>
      </c>
      <c r="AQ94" s="230"/>
      <c r="AR94" s="230"/>
      <c r="AS94" s="230"/>
      <c r="AT94" s="230"/>
      <c r="AU94" s="230"/>
      <c r="AV94" s="230">
        <f>'Ore-&gt;PI'!AI217</f>
        <v>27180.660725538582</v>
      </c>
      <c r="AW94" s="230"/>
      <c r="AX94" s="230"/>
      <c r="AY94" s="230"/>
      <c r="AZ94" s="230"/>
      <c r="BA94" s="230"/>
      <c r="BB94" s="230"/>
      <c r="BC94" s="230"/>
      <c r="BD94" s="230"/>
      <c r="BE94" s="243"/>
      <c r="BF94" s="252">
        <f t="shared" si="4"/>
        <v>27180.660725538582</v>
      </c>
      <c r="BJ94" s="206" t="s">
        <v>538</v>
      </c>
      <c r="BK94" s="244"/>
      <c r="BL94" s="244"/>
      <c r="BM94" s="252">
        <f t="shared" si="5"/>
        <v>0</v>
      </c>
    </row>
    <row r="95" spans="32:70" x14ac:dyDescent="0.2">
      <c r="AF95" s="206"/>
      <c r="AG95" s="206"/>
      <c r="AP95" s="204" t="s">
        <v>524</v>
      </c>
      <c r="AQ95" s="230"/>
      <c r="AR95" s="230"/>
      <c r="AS95" s="230"/>
      <c r="AT95" s="230"/>
      <c r="AU95" s="230"/>
      <c r="AV95" s="230"/>
      <c r="AW95" s="230"/>
      <c r="AX95" s="230"/>
      <c r="AY95" s="230"/>
      <c r="AZ95" s="230"/>
      <c r="BA95" s="230"/>
      <c r="BB95" s="230"/>
      <c r="BC95" s="230"/>
      <c r="BD95" s="230"/>
      <c r="BE95" s="230"/>
      <c r="BF95" s="252">
        <f t="shared" si="4"/>
        <v>0</v>
      </c>
      <c r="BJ95" s="204" t="s">
        <v>524</v>
      </c>
      <c r="BK95" s="244"/>
      <c r="BL95" s="244">
        <f>'Ore-&gt;PI'!AI234</f>
        <v>-2880.2113818884714</v>
      </c>
      <c r="BM95" s="252">
        <f t="shared" si="5"/>
        <v>-2880.2113818884714</v>
      </c>
      <c r="BN95" s="25"/>
      <c r="BO95" s="25"/>
      <c r="BP95" s="25"/>
      <c r="BQ95" s="25"/>
      <c r="BR95" s="25"/>
    </row>
    <row r="96" spans="32:70" ht="16" x14ac:dyDescent="0.2">
      <c r="AF96" s="206"/>
      <c r="AG96" s="206"/>
      <c r="AP96" s="205" t="s">
        <v>550</v>
      </c>
      <c r="AQ96" s="230"/>
      <c r="AR96" s="230"/>
      <c r="AS96" s="230"/>
      <c r="AT96" s="230"/>
      <c r="AU96" s="230"/>
      <c r="AV96" s="230"/>
      <c r="AW96" s="230">
        <f>'Ore-&gt;PI'!BA52</f>
        <v>-6442.5099571670216</v>
      </c>
      <c r="AX96" s="230"/>
      <c r="AY96" s="230"/>
      <c r="AZ96" s="230"/>
      <c r="BA96" s="230"/>
      <c r="BB96" s="230"/>
      <c r="BC96" s="230"/>
      <c r="BD96" s="230"/>
      <c r="BE96" s="230"/>
      <c r="BF96" s="252">
        <f t="shared" si="4"/>
        <v>-6442.5099571670216</v>
      </c>
      <c r="BJ96" s="205" t="s">
        <v>550</v>
      </c>
      <c r="BK96" s="244"/>
      <c r="BL96" s="244"/>
      <c r="BM96" s="252">
        <f t="shared" si="5"/>
        <v>0</v>
      </c>
    </row>
    <row r="97" spans="32:65" ht="16" x14ac:dyDescent="0.2">
      <c r="AF97" s="206"/>
      <c r="AG97" s="206"/>
      <c r="AP97" s="205" t="s">
        <v>545</v>
      </c>
      <c r="AQ97" s="230"/>
      <c r="AR97" s="230"/>
      <c r="AS97" s="230"/>
      <c r="AT97" s="230"/>
      <c r="AU97" s="230"/>
      <c r="AV97" s="230"/>
      <c r="AW97" s="230"/>
      <c r="AX97" s="230">
        <f>'Ore-&gt;PI'!BB132</f>
        <v>-12112.03618380849</v>
      </c>
      <c r="AY97" s="230"/>
      <c r="AZ97" s="230"/>
      <c r="BA97" s="230"/>
      <c r="BB97" s="230"/>
      <c r="BC97" s="230"/>
      <c r="BD97" s="230"/>
      <c r="BE97" s="230"/>
      <c r="BF97" s="252">
        <f t="shared" si="4"/>
        <v>-12112.03618380849</v>
      </c>
      <c r="BJ97" s="205" t="s">
        <v>545</v>
      </c>
      <c r="BK97" s="244"/>
      <c r="BL97" s="244"/>
      <c r="BM97" s="252">
        <f t="shared" si="5"/>
        <v>0</v>
      </c>
    </row>
    <row r="98" spans="32:65" ht="16" x14ac:dyDescent="0.2">
      <c r="AF98" s="206"/>
      <c r="AG98" s="206"/>
      <c r="AP98" s="205" t="s">
        <v>542</v>
      </c>
      <c r="AQ98" s="230"/>
      <c r="AR98" s="230"/>
      <c r="AS98" s="230"/>
      <c r="AT98" s="230"/>
      <c r="AU98" s="230"/>
      <c r="AV98" s="230"/>
      <c r="AW98" s="230"/>
      <c r="AX98" s="230"/>
      <c r="AY98" s="230">
        <f>'Ore-&gt;PI'!BB217</f>
        <v>27180.660725538582</v>
      </c>
      <c r="AZ98" s="230"/>
      <c r="BA98" s="230"/>
      <c r="BB98" s="230"/>
      <c r="BC98" s="230"/>
      <c r="BD98" s="230"/>
      <c r="BE98" s="230"/>
      <c r="BF98" s="252">
        <f t="shared" si="4"/>
        <v>27180.660725538582</v>
      </c>
      <c r="BJ98" s="205" t="s">
        <v>542</v>
      </c>
      <c r="BK98" s="244"/>
      <c r="BL98" s="244"/>
      <c r="BM98" s="252">
        <f t="shared" si="5"/>
        <v>0</v>
      </c>
    </row>
    <row r="99" spans="32:65" ht="16" x14ac:dyDescent="0.2">
      <c r="AF99" s="253"/>
      <c r="AG99" s="253"/>
      <c r="AP99" s="205" t="s">
        <v>548</v>
      </c>
      <c r="AQ99" s="230"/>
      <c r="AR99" s="230"/>
      <c r="AS99" s="230"/>
      <c r="AT99" s="230"/>
      <c r="AU99" s="230"/>
      <c r="AV99" s="230"/>
      <c r="AW99" s="230"/>
      <c r="AX99" s="230"/>
      <c r="AY99" s="230"/>
      <c r="AZ99" s="230"/>
      <c r="BA99" s="230"/>
      <c r="BB99" s="230"/>
      <c r="BC99" s="230"/>
      <c r="BD99" s="230">
        <f>'Ore-&gt;PI'!BT48</f>
        <v>-6350.2001773318216</v>
      </c>
      <c r="BE99" s="230"/>
      <c r="BF99" s="252">
        <f t="shared" si="4"/>
        <v>-6350.2001773318216</v>
      </c>
      <c r="BJ99" s="205" t="s">
        <v>548</v>
      </c>
      <c r="BK99" s="244"/>
      <c r="BL99" s="244"/>
      <c r="BM99" s="252">
        <f t="shared" si="5"/>
        <v>0</v>
      </c>
    </row>
    <row r="100" spans="32:65" x14ac:dyDescent="0.2">
      <c r="AF100" s="206"/>
      <c r="AG100" s="206"/>
      <c r="AP100" s="206" t="s">
        <v>547</v>
      </c>
      <c r="AQ100" s="230"/>
      <c r="AR100" s="230"/>
      <c r="AS100" s="230"/>
      <c r="AT100" s="230"/>
      <c r="AU100" s="230"/>
      <c r="AV100" s="230"/>
      <c r="AW100" s="230"/>
      <c r="AX100" s="230"/>
      <c r="AY100" s="230"/>
      <c r="AZ100" s="230"/>
      <c r="BA100" s="230"/>
      <c r="BB100" s="230"/>
      <c r="BC100" s="230"/>
      <c r="BD100" s="230"/>
      <c r="BE100" s="243"/>
      <c r="BF100" s="252">
        <f t="shared" si="4"/>
        <v>0</v>
      </c>
      <c r="BG100" s="25"/>
      <c r="BH100" s="25"/>
      <c r="BJ100" s="206" t="s">
        <v>547</v>
      </c>
      <c r="BK100" s="244"/>
      <c r="BL100" s="244">
        <f>'Ore-&gt;PI'!BT63</f>
        <v>-14287.000845881314</v>
      </c>
      <c r="BM100" s="252">
        <f t="shared" si="5"/>
        <v>-14287.000845881314</v>
      </c>
    </row>
    <row r="101" spans="32:65" x14ac:dyDescent="0.2">
      <c r="AF101" s="206"/>
      <c r="AG101" s="206"/>
      <c r="AP101" s="206" t="s">
        <v>532</v>
      </c>
      <c r="AQ101" s="230"/>
      <c r="AR101" s="230"/>
      <c r="AS101" s="230"/>
      <c r="AT101" s="230"/>
      <c r="AU101" s="230"/>
      <c r="AV101" s="230"/>
      <c r="AW101" s="230"/>
      <c r="AX101" s="230"/>
      <c r="AY101" s="230"/>
      <c r="AZ101" s="230">
        <f>'Ore-&gt;PI'!BU132</f>
        <v>-12112.03618380849</v>
      </c>
      <c r="BA101" s="230"/>
      <c r="BB101" s="230"/>
      <c r="BC101" s="230"/>
      <c r="BD101" s="230"/>
      <c r="BE101" s="230"/>
      <c r="BF101" s="252">
        <f t="shared" si="4"/>
        <v>-12112.03618380849</v>
      </c>
      <c r="BJ101" s="206" t="s">
        <v>532</v>
      </c>
      <c r="BK101" s="244"/>
      <c r="BL101" s="244"/>
      <c r="BM101" s="252">
        <f t="shared" si="5"/>
        <v>0</v>
      </c>
    </row>
    <row r="102" spans="32:65" x14ac:dyDescent="0.2">
      <c r="AF102" s="206"/>
      <c r="AG102" s="206"/>
      <c r="AP102" s="206" t="s">
        <v>566</v>
      </c>
      <c r="AQ102" s="230"/>
      <c r="AR102" s="230"/>
      <c r="AS102" s="230"/>
      <c r="AT102" s="230"/>
      <c r="AU102" s="230"/>
      <c r="AV102" s="230"/>
      <c r="AW102" s="230"/>
      <c r="AX102" s="230"/>
      <c r="AY102" s="230"/>
      <c r="AZ102" s="230"/>
      <c r="BA102" s="230">
        <f>'Ore-&gt;PI'!BU217</f>
        <v>27180.660725538582</v>
      </c>
      <c r="BB102" s="230"/>
      <c r="BC102" s="230"/>
      <c r="BD102" s="230"/>
      <c r="BE102" s="230"/>
      <c r="BF102" s="252">
        <f t="shared" si="4"/>
        <v>27180.660725538582</v>
      </c>
      <c r="BJ102" s="206" t="s">
        <v>566</v>
      </c>
      <c r="BK102" s="244"/>
      <c r="BL102" s="244"/>
      <c r="BM102" s="252">
        <f t="shared" si="5"/>
        <v>0</v>
      </c>
    </row>
    <row r="103" spans="32:65" x14ac:dyDescent="0.2">
      <c r="AF103" s="206"/>
      <c r="AG103" s="206"/>
      <c r="AP103" s="206" t="s">
        <v>533</v>
      </c>
      <c r="AQ103" s="230"/>
      <c r="AR103" s="230"/>
      <c r="AS103" s="230"/>
      <c r="AT103" s="230"/>
      <c r="AU103" s="230"/>
      <c r="AV103" s="230"/>
      <c r="AW103" s="230"/>
      <c r="AX103" s="230"/>
      <c r="AY103" s="230"/>
      <c r="AZ103" s="230"/>
      <c r="BA103" s="230"/>
      <c r="BB103" s="230"/>
      <c r="BC103" s="230"/>
      <c r="BD103" s="230">
        <f>'Ore-&gt;PI'!CP131</f>
        <v>-11321.85158370395</v>
      </c>
      <c r="BE103" s="230"/>
      <c r="BF103" s="252">
        <f t="shared" si="4"/>
        <v>-11321.85158370395</v>
      </c>
      <c r="BJ103" s="206" t="s">
        <v>533</v>
      </c>
      <c r="BK103" s="244"/>
      <c r="BL103" s="244"/>
      <c r="BM103" s="252">
        <f t="shared" si="5"/>
        <v>0</v>
      </c>
    </row>
    <row r="104" spans="32:65" x14ac:dyDescent="0.2">
      <c r="AF104" s="206"/>
      <c r="AG104" s="206"/>
      <c r="AP104" s="206" t="s">
        <v>535</v>
      </c>
      <c r="AQ104" s="230"/>
      <c r="AR104" s="230"/>
      <c r="AS104" s="230"/>
      <c r="AT104" s="230"/>
      <c r="AU104" s="230"/>
      <c r="AV104" s="230"/>
      <c r="AW104" s="230"/>
      <c r="AX104" s="230"/>
      <c r="AY104" s="230"/>
      <c r="AZ104" s="230"/>
      <c r="BA104" s="230"/>
      <c r="BB104" s="230"/>
      <c r="BC104" s="230"/>
      <c r="BD104" s="230"/>
      <c r="BE104" s="243"/>
      <c r="BF104" s="252">
        <f t="shared" si="4"/>
        <v>0</v>
      </c>
      <c r="BJ104" s="206" t="s">
        <v>535</v>
      </c>
      <c r="BK104" s="244"/>
      <c r="BL104" s="244">
        <f>'Ore-&gt;PI'!CP119</f>
        <v>-14926.410019749705</v>
      </c>
      <c r="BM104" s="252">
        <f t="shared" si="5"/>
        <v>-14926.410019749705</v>
      </c>
    </row>
    <row r="105" spans="32:65" x14ac:dyDescent="0.2">
      <c r="AF105" s="206"/>
      <c r="AG105" s="206"/>
      <c r="AP105" s="206" t="s">
        <v>534</v>
      </c>
      <c r="AQ105" s="230"/>
      <c r="AR105" s="230"/>
      <c r="AS105" s="230"/>
      <c r="AT105" s="230"/>
      <c r="AU105" s="230"/>
      <c r="AV105" s="230"/>
      <c r="AW105" s="230"/>
      <c r="AX105" s="230"/>
      <c r="AY105" s="230"/>
      <c r="AZ105" s="230"/>
      <c r="BA105" s="230"/>
      <c r="BB105" s="230"/>
      <c r="BC105" s="230"/>
      <c r="BD105" s="230"/>
      <c r="BE105" s="230"/>
      <c r="BF105" s="252">
        <f t="shared" si="4"/>
        <v>0</v>
      </c>
      <c r="BJ105" s="206" t="s">
        <v>534</v>
      </c>
      <c r="BK105" s="244"/>
      <c r="BL105" s="244">
        <f>'Ore-&gt;PI'!CP147</f>
        <v>-224.75252172010772</v>
      </c>
      <c r="BM105" s="252">
        <f t="shared" si="5"/>
        <v>-224.75252172010772</v>
      </c>
    </row>
    <row r="106" spans="32:65" x14ac:dyDescent="0.2">
      <c r="AF106" s="206"/>
      <c r="AG106" s="206"/>
      <c r="AP106" s="206" t="s">
        <v>632</v>
      </c>
      <c r="AQ106" s="230"/>
      <c r="AR106" s="230"/>
      <c r="AS106" s="230"/>
      <c r="AT106" s="230"/>
      <c r="AU106" s="230"/>
      <c r="AV106" s="230"/>
      <c r="AW106" s="230"/>
      <c r="AX106" s="230"/>
      <c r="AY106" s="230"/>
      <c r="AZ106" s="230"/>
      <c r="BA106" s="230"/>
      <c r="BB106" s="230"/>
      <c r="BC106" s="230"/>
      <c r="BD106" s="230">
        <f>'Ore-&gt;PI'!CP211</f>
        <v>0</v>
      </c>
      <c r="BE106" s="230"/>
      <c r="BF106" s="252">
        <f t="shared" si="4"/>
        <v>0</v>
      </c>
      <c r="BJ106" s="206" t="s">
        <v>632</v>
      </c>
      <c r="BK106" s="244"/>
      <c r="BL106" s="244"/>
      <c r="BM106" s="252">
        <f t="shared" si="5"/>
        <v>0</v>
      </c>
    </row>
    <row r="107" spans="32:65" ht="16" x14ac:dyDescent="0.2">
      <c r="AF107" s="206"/>
      <c r="AG107" s="206"/>
      <c r="AP107" s="253" t="s">
        <v>530</v>
      </c>
      <c r="AQ107" s="230"/>
      <c r="AR107" s="230"/>
      <c r="AS107" s="230"/>
      <c r="AT107" s="230"/>
      <c r="AU107" s="230"/>
      <c r="AV107" s="230"/>
      <c r="AW107" s="230"/>
      <c r="AX107" s="230"/>
      <c r="AY107" s="230"/>
      <c r="AZ107" s="230"/>
      <c r="BA107" s="230"/>
      <c r="BB107" s="230">
        <f>'Ore-&gt;PI'!CP243</f>
        <v>-265.33787327335835</v>
      </c>
      <c r="BC107" s="230"/>
      <c r="BD107" s="230"/>
      <c r="BE107" s="230"/>
      <c r="BF107" s="252">
        <f t="shared" si="4"/>
        <v>-265.33787327335835</v>
      </c>
      <c r="BJ107" s="253" t="s">
        <v>530</v>
      </c>
      <c r="BK107" s="244"/>
      <c r="BL107" s="244"/>
      <c r="BM107" s="252">
        <f t="shared" si="5"/>
        <v>0</v>
      </c>
    </row>
    <row r="108" spans="32:65" x14ac:dyDescent="0.2">
      <c r="AF108" s="206"/>
      <c r="AG108" s="206"/>
      <c r="AP108" s="206" t="s">
        <v>529</v>
      </c>
      <c r="AQ108" s="230"/>
      <c r="AR108" s="230"/>
      <c r="AS108" s="230"/>
      <c r="AT108" s="230"/>
      <c r="AU108" s="230"/>
      <c r="AV108" s="230"/>
      <c r="AW108" s="230"/>
      <c r="AX108" s="230"/>
      <c r="AY108" s="230"/>
      <c r="AZ108" s="230"/>
      <c r="BA108" s="230"/>
      <c r="BB108" s="230"/>
      <c r="BC108" s="230"/>
      <c r="BD108" s="230"/>
      <c r="BE108" s="230"/>
      <c r="BF108" s="252">
        <f t="shared" si="4"/>
        <v>0</v>
      </c>
      <c r="BJ108" s="206" t="s">
        <v>529</v>
      </c>
      <c r="BK108" s="244"/>
      <c r="BL108" s="244">
        <f>'Ore-&gt;PI'!CP227</f>
        <v>-14896.000495082701</v>
      </c>
      <c r="BM108" s="252">
        <f t="shared" si="5"/>
        <v>-14896.000495082701</v>
      </c>
    </row>
    <row r="109" spans="32:65" x14ac:dyDescent="0.2">
      <c r="AF109" s="206"/>
      <c r="AG109" s="206"/>
      <c r="AP109" s="204" t="s">
        <v>531</v>
      </c>
      <c r="AQ109" s="230"/>
      <c r="AR109" s="230"/>
      <c r="AS109" s="230"/>
      <c r="AT109" s="230"/>
      <c r="AU109" s="230"/>
      <c r="AV109" s="230"/>
      <c r="AW109" s="230"/>
      <c r="AX109" s="230"/>
      <c r="AY109" s="230"/>
      <c r="AZ109" s="230"/>
      <c r="BA109" s="230"/>
      <c r="BB109" s="230"/>
      <c r="BC109" s="230"/>
      <c r="BD109" s="230"/>
      <c r="BE109" s="230"/>
      <c r="BF109" s="252">
        <f t="shared" si="4"/>
        <v>0</v>
      </c>
      <c r="BJ109" s="204" t="s">
        <v>531</v>
      </c>
      <c r="BK109" s="244"/>
      <c r="BL109" s="244">
        <f>'Ore-&gt;PI'!CP257</f>
        <v>-3164.4942013988057</v>
      </c>
      <c r="BM109" s="252">
        <f t="shared" si="5"/>
        <v>-3164.4942013988057</v>
      </c>
    </row>
    <row r="110" spans="32:65" x14ac:dyDescent="0.2">
      <c r="AF110" s="206"/>
      <c r="AG110" s="206"/>
      <c r="AP110" s="206" t="s">
        <v>673</v>
      </c>
      <c r="AQ110" s="230"/>
      <c r="AR110" s="230"/>
      <c r="AS110" s="230"/>
      <c r="AT110" s="230"/>
      <c r="AU110" s="230"/>
      <c r="AV110" s="230"/>
      <c r="AW110" s="230"/>
      <c r="AX110" s="230"/>
      <c r="AY110" s="230"/>
      <c r="AZ110" s="230"/>
      <c r="BA110" s="230"/>
      <c r="BB110" s="230"/>
      <c r="BC110" s="230">
        <f>'Ore-&gt;PI'!DJ241</f>
        <v>6.1564271489094446E-3</v>
      </c>
      <c r="BD110" s="230"/>
      <c r="BE110" s="243"/>
      <c r="BF110" s="252">
        <f t="shared" si="4"/>
        <v>6.1564271489094446E-3</v>
      </c>
      <c r="BJ110" s="206" t="s">
        <v>673</v>
      </c>
      <c r="BK110" s="244"/>
      <c r="BL110" s="244"/>
      <c r="BM110" s="252">
        <f t="shared" si="5"/>
        <v>0</v>
      </c>
    </row>
    <row r="111" spans="32:65" x14ac:dyDescent="0.2">
      <c r="AF111" s="206"/>
      <c r="AG111" s="206"/>
      <c r="AP111" s="206" t="s">
        <v>676</v>
      </c>
      <c r="AQ111" s="230"/>
      <c r="AR111" s="230"/>
      <c r="AS111" s="230"/>
      <c r="AT111" s="230"/>
      <c r="AU111" s="230"/>
      <c r="AV111" s="230"/>
      <c r="AW111" s="230"/>
      <c r="AX111" s="230"/>
      <c r="AY111" s="230"/>
      <c r="AZ111" s="230"/>
      <c r="BA111" s="230">
        <f>'Ore-&gt;PI'!BU233</f>
        <v>6.1564271489094446E-3</v>
      </c>
      <c r="BB111" s="230"/>
      <c r="BC111" s="230"/>
      <c r="BD111" s="230"/>
      <c r="BE111" s="243">
        <f>'Ore-&gt;PI'!EF160</f>
        <v>6.1564271489094437E-3</v>
      </c>
      <c r="BF111" s="252">
        <f t="shared" si="4"/>
        <v>1.2312854297818889E-2</v>
      </c>
      <c r="BJ111" s="206" t="s">
        <v>676</v>
      </c>
      <c r="BK111" s="244">
        <f>'Ore-&gt;PI'!EZ241</f>
        <v>6.1564271489094446E-3</v>
      </c>
      <c r="BL111" s="244"/>
      <c r="BM111" s="252">
        <f t="shared" si="5"/>
        <v>6.1564271489094446E-3</v>
      </c>
    </row>
    <row r="112" spans="32:65" x14ac:dyDescent="0.2">
      <c r="AF112" s="206"/>
      <c r="AG112" s="206"/>
      <c r="AP112" s="206" t="s">
        <v>554</v>
      </c>
      <c r="AQ112" s="230"/>
      <c r="AR112" s="230"/>
      <c r="AS112" s="230"/>
      <c r="AT112" s="230"/>
      <c r="AU112" s="230"/>
      <c r="AV112" s="230"/>
      <c r="AW112" s="230"/>
      <c r="AX112" s="230"/>
      <c r="AY112" s="230"/>
      <c r="AZ112" s="230"/>
      <c r="BA112" s="230"/>
      <c r="BB112" s="230"/>
      <c r="BC112" s="230"/>
      <c r="BD112" s="230"/>
      <c r="BE112" s="243">
        <f>'Ore-&gt;PI'!EF134</f>
        <v>-5807.700525901595</v>
      </c>
      <c r="BF112" s="252">
        <f t="shared" si="4"/>
        <v>-5807.700525901595</v>
      </c>
      <c r="BJ112" s="206" t="s">
        <v>554</v>
      </c>
      <c r="BK112" s="244"/>
      <c r="BL112" s="244"/>
      <c r="BM112" s="252">
        <f t="shared" si="5"/>
        <v>0</v>
      </c>
    </row>
    <row r="113" spans="2:65" x14ac:dyDescent="0.2">
      <c r="AF113" s="206"/>
      <c r="AG113" s="206"/>
      <c r="AP113" s="206" t="s">
        <v>555</v>
      </c>
      <c r="AQ113" s="230"/>
      <c r="AR113" s="230"/>
      <c r="AS113" s="230"/>
      <c r="AT113" s="230"/>
      <c r="AU113" s="230"/>
      <c r="AV113" s="230"/>
      <c r="AW113" s="230"/>
      <c r="AX113" s="230"/>
      <c r="AY113" s="230"/>
      <c r="AZ113" s="230"/>
      <c r="BA113" s="230"/>
      <c r="BB113" s="230"/>
      <c r="BC113" s="230"/>
      <c r="BD113" s="230"/>
      <c r="BE113" s="230"/>
      <c r="BF113" s="252">
        <f t="shared" si="4"/>
        <v>0</v>
      </c>
      <c r="BJ113" s="206" t="s">
        <v>555</v>
      </c>
      <c r="BK113" s="244">
        <f>'Ore-&gt;PI'!FF131</f>
        <v>0</v>
      </c>
      <c r="BL113" s="244"/>
      <c r="BM113" s="252">
        <f t="shared" si="5"/>
        <v>0</v>
      </c>
    </row>
    <row r="114" spans="2:65" x14ac:dyDescent="0.2">
      <c r="AF114" s="206"/>
      <c r="AG114" s="206"/>
      <c r="AP114" s="206" t="s">
        <v>556</v>
      </c>
      <c r="AQ114" s="230"/>
      <c r="AR114" s="230"/>
      <c r="AS114" s="230"/>
      <c r="AT114" s="230"/>
      <c r="AU114" s="230"/>
      <c r="AV114" s="230"/>
      <c r="AW114" s="230"/>
      <c r="AX114" s="230"/>
      <c r="AY114" s="230"/>
      <c r="AZ114" s="230"/>
      <c r="BA114" s="230"/>
      <c r="BB114" s="230"/>
      <c r="BC114" s="230"/>
      <c r="BD114" s="230"/>
      <c r="BE114" s="230"/>
      <c r="BF114" s="252">
        <f t="shared" si="4"/>
        <v>0</v>
      </c>
      <c r="BJ114" s="206" t="s">
        <v>556</v>
      </c>
      <c r="BK114" s="244"/>
      <c r="BL114" s="244">
        <f>'Ore-&gt;PI'!FF148</f>
        <v>-3928.1295638135666</v>
      </c>
      <c r="BM114" s="252">
        <f t="shared" si="5"/>
        <v>-3928.1295638135666</v>
      </c>
    </row>
    <row r="115" spans="2:65" x14ac:dyDescent="0.2">
      <c r="AF115" s="206"/>
      <c r="AG115" s="206"/>
      <c r="AP115" s="206" t="s">
        <v>567</v>
      </c>
      <c r="AQ115" s="230"/>
      <c r="AR115" s="230"/>
      <c r="AS115" s="230"/>
      <c r="AT115" s="230"/>
      <c r="AU115" s="230"/>
      <c r="AV115" s="230"/>
      <c r="AW115" s="230"/>
      <c r="AX115" s="230"/>
      <c r="AY115" s="230"/>
      <c r="AZ115" s="230"/>
      <c r="BA115" s="230"/>
      <c r="BB115" s="230"/>
      <c r="BC115" s="230"/>
      <c r="BD115" s="230"/>
      <c r="BE115" s="230"/>
      <c r="BF115" s="252">
        <f t="shared" si="4"/>
        <v>0</v>
      </c>
      <c r="BJ115" s="206" t="s">
        <v>567</v>
      </c>
      <c r="BK115" s="244"/>
      <c r="BL115" s="244">
        <f>'Ore-&gt;PI'!FF109</f>
        <v>-771.42466062394067</v>
      </c>
      <c r="BM115" s="252">
        <f t="shared" si="5"/>
        <v>-771.42466062394067</v>
      </c>
    </row>
    <row r="116" spans="2:65" x14ac:dyDescent="0.2">
      <c r="AF116" s="206"/>
      <c r="AG116" s="206"/>
      <c r="AP116" s="206"/>
      <c r="AQ116" s="394" t="s">
        <v>418</v>
      </c>
      <c r="AR116" s="394"/>
      <c r="AS116" s="394"/>
      <c r="AT116" s="394"/>
      <c r="AU116" s="394"/>
      <c r="AV116" s="394"/>
      <c r="AW116" s="394"/>
      <c r="AX116" s="394"/>
      <c r="AY116" s="394"/>
      <c r="AZ116" s="394"/>
      <c r="BA116" s="394"/>
      <c r="BB116" s="394"/>
      <c r="BC116" s="394"/>
      <c r="BD116" s="394"/>
      <c r="BE116" s="394"/>
      <c r="BF116" s="25" t="s">
        <v>469</v>
      </c>
      <c r="BK116" s="394" t="s">
        <v>420</v>
      </c>
      <c r="BL116" s="394"/>
      <c r="BM116" s="25" t="s">
        <v>484</v>
      </c>
    </row>
    <row r="117" spans="2:65" x14ac:dyDescent="0.2">
      <c r="AF117" s="206"/>
      <c r="AG117" s="206"/>
      <c r="AP117" s="206"/>
      <c r="AQ117" s="252">
        <f>SUM(AQ81:AQ115)</f>
        <v>36157.490042832978</v>
      </c>
      <c r="AR117" s="252">
        <f>SUM(AR81:AR115)</f>
        <v>28298.539096509659</v>
      </c>
      <c r="AS117" s="252">
        <f>SUM(AS81:AS115)</f>
        <v>69780.66072553859</v>
      </c>
      <c r="AT117" s="252">
        <f t="shared" ref="AT117:BE117" si="6">SUM(AT81:AT115)</f>
        <v>-6442.5099571670216</v>
      </c>
      <c r="AU117" s="252">
        <f t="shared" si="6"/>
        <v>-12112.03618380849</v>
      </c>
      <c r="AV117" s="252">
        <f t="shared" si="6"/>
        <v>27180.660725538582</v>
      </c>
      <c r="AW117" s="252">
        <f t="shared" si="6"/>
        <v>-6442.5099571670216</v>
      </c>
      <c r="AX117" s="252">
        <f t="shared" si="6"/>
        <v>-12112.03618380849</v>
      </c>
      <c r="AY117" s="252">
        <f t="shared" si="6"/>
        <v>27180.660725538582</v>
      </c>
      <c r="AZ117" s="252">
        <f t="shared" si="6"/>
        <v>-12112.02014104849</v>
      </c>
      <c r="BA117" s="252">
        <f t="shared" si="6"/>
        <v>27180.68292472573</v>
      </c>
      <c r="BB117" s="252">
        <f t="shared" si="6"/>
        <v>-265.33787327335835</v>
      </c>
      <c r="BC117" s="252">
        <f t="shared" si="6"/>
        <v>6.1564271489094446E-3</v>
      </c>
      <c r="BD117" s="252">
        <f t="shared" si="6"/>
        <v>-17672.051761035771</v>
      </c>
      <c r="BE117" s="252">
        <f t="shared" si="6"/>
        <v>33692.321673285551</v>
      </c>
      <c r="BK117" s="25"/>
      <c r="BL117" s="25"/>
    </row>
    <row r="118" spans="2:65" ht="13" customHeight="1" x14ac:dyDescent="0.2">
      <c r="C118" s="395"/>
      <c r="D118" s="395"/>
      <c r="E118" s="233"/>
      <c r="F118" s="233"/>
      <c r="G118" s="233"/>
      <c r="H118" s="233"/>
      <c r="I118" s="233"/>
      <c r="J118" s="233"/>
      <c r="K118" s="233"/>
      <c r="L118" s="233"/>
      <c r="M118" s="233"/>
      <c r="N118" s="233"/>
      <c r="O118" s="233"/>
      <c r="P118" s="233"/>
      <c r="Q118" s="233"/>
      <c r="R118" s="233"/>
      <c r="S118" s="233"/>
      <c r="T118" s="233"/>
      <c r="U118" s="233"/>
      <c r="V118" s="233"/>
      <c r="W118" s="233"/>
      <c r="X118" s="233"/>
      <c r="Y118" s="233"/>
      <c r="Z118" s="233"/>
      <c r="AA118" s="233"/>
      <c r="AB118" s="233"/>
      <c r="AC118" s="233"/>
      <c r="AD118" s="233"/>
      <c r="AE118" s="233"/>
      <c r="AF118" s="206"/>
      <c r="AG118" s="206"/>
      <c r="AH118" s="233"/>
      <c r="AI118" s="233"/>
      <c r="AJ118" s="233"/>
      <c r="AK118" s="233"/>
      <c r="AL118" s="233"/>
      <c r="AM118" s="233"/>
      <c r="AN118" s="233"/>
      <c r="AQ118" s="394" t="s">
        <v>468</v>
      </c>
      <c r="AR118" s="394"/>
      <c r="AS118" s="394"/>
      <c r="AT118" s="394"/>
      <c r="AU118" s="394"/>
      <c r="AV118" s="394"/>
      <c r="AW118" s="394"/>
      <c r="AX118" s="394"/>
      <c r="AY118" s="394"/>
      <c r="AZ118" s="394"/>
      <c r="BA118" s="394"/>
      <c r="BB118" s="394"/>
      <c r="BC118" s="394"/>
      <c r="BD118" s="394"/>
      <c r="BE118" s="394"/>
      <c r="BK118" s="25"/>
      <c r="BL118" s="25"/>
    </row>
    <row r="119" spans="2:65" ht="236" x14ac:dyDescent="0.2">
      <c r="B119" s="240"/>
      <c r="C119" s="207" t="s">
        <v>423</v>
      </c>
      <c r="D119" s="207" t="s">
        <v>425</v>
      </c>
      <c r="E119" s="207" t="s">
        <v>426</v>
      </c>
      <c r="F119" s="207" t="s">
        <v>447</v>
      </c>
      <c r="G119" s="207" t="s">
        <v>477</v>
      </c>
      <c r="H119" s="207" t="s">
        <v>515</v>
      </c>
      <c r="I119" s="207" t="s">
        <v>576</v>
      </c>
      <c r="J119" s="207" t="s">
        <v>577</v>
      </c>
      <c r="K119" s="207" t="s">
        <v>569</v>
      </c>
      <c r="L119" s="209" t="s">
        <v>551</v>
      </c>
      <c r="M119" s="207" t="s">
        <v>517</v>
      </c>
      <c r="N119" s="209" t="s">
        <v>520</v>
      </c>
      <c r="O119" s="207" t="s">
        <v>546</v>
      </c>
      <c r="P119" s="210" t="s">
        <v>538</v>
      </c>
      <c r="Q119" s="207" t="s">
        <v>524</v>
      </c>
      <c r="R119" s="209" t="s">
        <v>550</v>
      </c>
      <c r="S119" s="209" t="s">
        <v>545</v>
      </c>
      <c r="T119" s="209" t="s">
        <v>542</v>
      </c>
      <c r="U119" s="209" t="s">
        <v>548</v>
      </c>
      <c r="V119" s="210" t="s">
        <v>547</v>
      </c>
      <c r="W119" s="210" t="s">
        <v>532</v>
      </c>
      <c r="X119" s="210" t="s">
        <v>566</v>
      </c>
      <c r="Y119" s="210" t="s">
        <v>533</v>
      </c>
      <c r="Z119" s="210" t="s">
        <v>535</v>
      </c>
      <c r="AA119" s="210" t="s">
        <v>534</v>
      </c>
      <c r="AB119" s="210" t="s">
        <v>632</v>
      </c>
      <c r="AC119" s="232" t="s">
        <v>530</v>
      </c>
      <c r="AD119" s="210" t="s">
        <v>529</v>
      </c>
      <c r="AE119" s="207" t="s">
        <v>531</v>
      </c>
      <c r="AF119" s="210" t="s">
        <v>673</v>
      </c>
      <c r="AG119" s="210" t="s">
        <v>676</v>
      </c>
      <c r="AH119" s="210" t="s">
        <v>554</v>
      </c>
      <c r="AI119" s="210" t="s">
        <v>555</v>
      </c>
      <c r="AJ119" s="210" t="s">
        <v>556</v>
      </c>
      <c r="AK119" s="210" t="s">
        <v>567</v>
      </c>
    </row>
    <row r="120" spans="2:65" x14ac:dyDescent="0.2">
      <c r="B120" s="204" t="s">
        <v>415</v>
      </c>
      <c r="C120" s="230"/>
      <c r="D120" s="230"/>
      <c r="E120" s="230"/>
      <c r="F120" s="230"/>
      <c r="G120" s="230"/>
      <c r="H120" s="230"/>
      <c r="I120" s="230"/>
      <c r="J120" s="230"/>
      <c r="K120" s="230"/>
      <c r="L120" s="230">
        <f>'Ore-&gt;PI'!AH52</f>
        <v>-6442.5099571670216</v>
      </c>
      <c r="M120" s="230">
        <f>'Ore-&gt;PI'!AH70</f>
        <v>-2880.21138188847</v>
      </c>
      <c r="N120" s="230"/>
      <c r="O120" s="230"/>
      <c r="P120" s="230"/>
      <c r="Q120" s="230"/>
      <c r="R120" s="230"/>
      <c r="S120" s="230"/>
      <c r="T120" s="230"/>
      <c r="U120" s="230"/>
      <c r="V120" s="230"/>
      <c r="W120" s="230"/>
      <c r="X120" s="230"/>
      <c r="Y120" s="230"/>
      <c r="Z120" s="230"/>
      <c r="AA120" s="230"/>
      <c r="AB120" s="230"/>
      <c r="AC120" s="230"/>
      <c r="AD120" s="230"/>
      <c r="AE120" s="230"/>
      <c r="AF120" s="230"/>
      <c r="AG120" s="230"/>
      <c r="AH120" s="230"/>
      <c r="AI120" s="230"/>
      <c r="AJ120" s="230"/>
      <c r="AK120" s="230"/>
      <c r="AL120" s="252">
        <f>SUM(C120:AK120)</f>
        <v>-9322.7213390554916</v>
      </c>
    </row>
    <row r="121" spans="2:65" x14ac:dyDescent="0.2">
      <c r="B121" s="204" t="s">
        <v>416</v>
      </c>
      <c r="C121" s="230"/>
      <c r="D121" s="230"/>
      <c r="E121" s="230"/>
      <c r="F121" s="230"/>
      <c r="G121" s="230"/>
      <c r="H121" s="230"/>
      <c r="I121" s="230"/>
      <c r="J121" s="230"/>
      <c r="K121" s="230"/>
      <c r="L121" s="230"/>
      <c r="M121" s="230"/>
      <c r="N121" s="230">
        <f>'Ore-&gt;PI'!AI132</f>
        <v>-12112.03618380849</v>
      </c>
      <c r="O121" s="230">
        <f>'Ore-&gt;PI'!AI149</f>
        <v>-2882.6003576350172</v>
      </c>
      <c r="P121" s="230"/>
      <c r="Q121" s="230"/>
      <c r="R121" s="230"/>
      <c r="S121" s="230"/>
      <c r="T121" s="230"/>
      <c r="U121" s="230"/>
      <c r="V121" s="230"/>
      <c r="W121" s="230"/>
      <c r="X121" s="230"/>
      <c r="Y121" s="230"/>
      <c r="Z121" s="230"/>
      <c r="AA121" s="230"/>
      <c r="AB121" s="230"/>
      <c r="AC121" s="230"/>
      <c r="AD121" s="230"/>
      <c r="AE121" s="230"/>
      <c r="AF121" s="230"/>
      <c r="AG121" s="230"/>
      <c r="AH121" s="230"/>
      <c r="AI121" s="230"/>
      <c r="AJ121" s="230"/>
      <c r="AK121" s="230"/>
      <c r="AL121" s="252">
        <f>SUM(C121:AK121)</f>
        <v>-14994.636541443508</v>
      </c>
    </row>
    <row r="122" spans="2:65" x14ac:dyDescent="0.2">
      <c r="B122" s="204" t="s">
        <v>417</v>
      </c>
      <c r="C122" s="230"/>
      <c r="D122" s="230"/>
      <c r="E122" s="230"/>
      <c r="F122" s="230"/>
      <c r="G122" s="230"/>
      <c r="H122" s="230"/>
      <c r="I122" s="230"/>
      <c r="J122" s="230"/>
      <c r="K122" s="230"/>
      <c r="L122" s="230"/>
      <c r="M122" s="230"/>
      <c r="N122" s="230"/>
      <c r="O122" s="230"/>
      <c r="P122" s="230">
        <f>'Ore-&gt;PI'!AI217</f>
        <v>27180.660725538582</v>
      </c>
      <c r="Q122" s="230">
        <f>'Ore-&gt;PI'!AI234</f>
        <v>-2880.2113818884714</v>
      </c>
      <c r="R122" s="230"/>
      <c r="S122" s="230"/>
      <c r="T122" s="230"/>
      <c r="U122" s="230"/>
      <c r="V122" s="230"/>
      <c r="W122" s="230"/>
      <c r="X122" s="230"/>
      <c r="Y122" s="230"/>
      <c r="Z122" s="230"/>
      <c r="AA122" s="230"/>
      <c r="AB122" s="230"/>
      <c r="AC122" s="230"/>
      <c r="AD122" s="230"/>
      <c r="AE122" s="230"/>
      <c r="AF122" s="230"/>
      <c r="AG122" s="230"/>
      <c r="AH122" s="230"/>
      <c r="AI122" s="230"/>
      <c r="AJ122" s="230"/>
      <c r="AK122" s="230"/>
      <c r="AL122" s="252">
        <f t="shared" ref="AL122:AL134" si="7">SUM(C122:AK122)</f>
        <v>24300.449343650111</v>
      </c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K122" s="25"/>
      <c r="BL122" s="25"/>
    </row>
    <row r="123" spans="2:65" x14ac:dyDescent="0.2">
      <c r="B123" s="204" t="s">
        <v>565</v>
      </c>
      <c r="C123" s="230"/>
      <c r="D123" s="230"/>
      <c r="E123" s="230"/>
      <c r="F123" s="230"/>
      <c r="G123" s="230"/>
      <c r="H123" s="230"/>
      <c r="I123" s="230"/>
      <c r="J123" s="230"/>
      <c r="K123" s="230"/>
      <c r="L123" s="230"/>
      <c r="M123" s="230"/>
      <c r="N123" s="230"/>
      <c r="O123" s="230"/>
      <c r="P123" s="230"/>
      <c r="Q123" s="230"/>
      <c r="R123" s="230">
        <f>'Ore-&gt;PI'!BA52</f>
        <v>-6442.5099571670216</v>
      </c>
      <c r="S123" s="230"/>
      <c r="T123" s="230"/>
      <c r="U123" s="230"/>
      <c r="V123" s="230"/>
      <c r="W123" s="230"/>
      <c r="X123" s="230"/>
      <c r="Y123" s="230"/>
      <c r="Z123" s="230"/>
      <c r="AA123" s="230"/>
      <c r="AB123" s="230"/>
      <c r="AC123" s="230"/>
      <c r="AD123" s="230"/>
      <c r="AE123" s="230"/>
      <c r="AF123" s="230"/>
      <c r="AG123" s="230"/>
      <c r="AH123" s="230"/>
      <c r="AI123" s="230"/>
      <c r="AJ123" s="230"/>
      <c r="AK123" s="230"/>
      <c r="AL123" s="252">
        <f t="shared" si="7"/>
        <v>-6442.5099571670216</v>
      </c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K123" s="25"/>
      <c r="BL123" s="25"/>
    </row>
    <row r="124" spans="2:65" x14ac:dyDescent="0.2">
      <c r="B124" s="204" t="s">
        <v>544</v>
      </c>
      <c r="C124" s="230"/>
      <c r="D124" s="230"/>
      <c r="E124" s="230"/>
      <c r="F124" s="230"/>
      <c r="G124" s="230"/>
      <c r="H124" s="230"/>
      <c r="I124" s="230"/>
      <c r="J124" s="230"/>
      <c r="K124" s="230"/>
      <c r="L124" s="230"/>
      <c r="M124" s="230"/>
      <c r="N124" s="230"/>
      <c r="O124" s="230"/>
      <c r="P124" s="230"/>
      <c r="Q124" s="230"/>
      <c r="R124" s="230"/>
      <c r="S124" s="230">
        <f>'Ore-&gt;PI'!BB132</f>
        <v>-12112.03618380849</v>
      </c>
      <c r="T124" s="230"/>
      <c r="U124" s="230"/>
      <c r="V124" s="230"/>
      <c r="W124" s="230"/>
      <c r="X124" s="230"/>
      <c r="Y124" s="230"/>
      <c r="Z124" s="230"/>
      <c r="AA124" s="230"/>
      <c r="AB124" s="230"/>
      <c r="AC124" s="230"/>
      <c r="AD124" s="230"/>
      <c r="AE124" s="230"/>
      <c r="AF124" s="230"/>
      <c r="AG124" s="230"/>
      <c r="AH124" s="230"/>
      <c r="AI124" s="230"/>
      <c r="AJ124" s="230"/>
      <c r="AK124" s="230"/>
      <c r="AL124" s="252">
        <f t="shared" si="7"/>
        <v>-12112.03618380849</v>
      </c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K124" s="25"/>
      <c r="BL124" s="25"/>
    </row>
    <row r="125" spans="2:65" x14ac:dyDescent="0.2">
      <c r="B125" s="204" t="s">
        <v>543</v>
      </c>
      <c r="C125" s="230"/>
      <c r="D125" s="230"/>
      <c r="E125" s="230"/>
      <c r="F125" s="230"/>
      <c r="G125" s="230"/>
      <c r="H125" s="230"/>
      <c r="I125" s="230"/>
      <c r="J125" s="230"/>
      <c r="K125" s="230"/>
      <c r="L125" s="230"/>
      <c r="M125" s="230"/>
      <c r="N125" s="230"/>
      <c r="O125" s="230"/>
      <c r="P125" s="230"/>
      <c r="Q125" s="230"/>
      <c r="R125" s="230"/>
      <c r="S125" s="230"/>
      <c r="T125" s="230">
        <f>'Ore-&gt;PI'!BB217</f>
        <v>27180.660725538582</v>
      </c>
      <c r="U125" s="230"/>
      <c r="V125" s="230"/>
      <c r="W125" s="230"/>
      <c r="X125" s="230"/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0"/>
      <c r="AI125" s="230"/>
      <c r="AJ125" s="230"/>
      <c r="AK125" s="230"/>
      <c r="AL125" s="252">
        <f t="shared" si="7"/>
        <v>27180.660725538582</v>
      </c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K125" s="25"/>
      <c r="BL125" s="25"/>
    </row>
    <row r="126" spans="2:65" x14ac:dyDescent="0.2">
      <c r="B126" s="204" t="s">
        <v>443</v>
      </c>
      <c r="C126" s="230"/>
      <c r="D126" s="230"/>
      <c r="E126" s="230"/>
      <c r="F126" s="230"/>
      <c r="G126" s="230"/>
      <c r="H126" s="230"/>
      <c r="I126" s="230"/>
      <c r="J126" s="230"/>
      <c r="K126" s="230"/>
      <c r="L126" s="230"/>
      <c r="M126" s="230"/>
      <c r="N126" s="230"/>
      <c r="O126" s="230"/>
      <c r="P126" s="230"/>
      <c r="Q126" s="230"/>
      <c r="R126" s="230"/>
      <c r="S126" s="230"/>
      <c r="T126" s="230"/>
      <c r="U126" s="230">
        <f>'Ore-&gt;PI'!BT48</f>
        <v>-6350.2001773318216</v>
      </c>
      <c r="V126" s="230">
        <f>'Ore-&gt;PI'!BT63</f>
        <v>-14287.000845881314</v>
      </c>
      <c r="W126" s="230"/>
      <c r="X126" s="230"/>
      <c r="Y126" s="230"/>
      <c r="Z126" s="230"/>
      <c r="AA126" s="230"/>
      <c r="AB126" s="230"/>
      <c r="AC126" s="230"/>
      <c r="AD126" s="230"/>
      <c r="AE126" s="230"/>
      <c r="AF126" s="230"/>
      <c r="AG126" s="230"/>
      <c r="AH126" s="230"/>
      <c r="AI126" s="230"/>
      <c r="AJ126" s="230"/>
      <c r="AK126" s="230"/>
      <c r="AL126" s="252">
        <f t="shared" si="7"/>
        <v>-20637.201023213136</v>
      </c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K126" s="25"/>
      <c r="BL126" s="25"/>
    </row>
    <row r="127" spans="2:65" x14ac:dyDescent="0.2">
      <c r="B127" s="204" t="s">
        <v>440</v>
      </c>
      <c r="C127" s="230"/>
      <c r="D127" s="230"/>
      <c r="E127" s="230"/>
      <c r="F127" s="230"/>
      <c r="G127" s="230"/>
      <c r="H127" s="230"/>
      <c r="I127" s="230"/>
      <c r="J127" s="230"/>
      <c r="K127" s="230"/>
      <c r="L127" s="230"/>
      <c r="M127" s="230"/>
      <c r="N127" s="230"/>
      <c r="O127" s="230"/>
      <c r="P127" s="230"/>
      <c r="Q127" s="230"/>
      <c r="R127" s="230"/>
      <c r="S127" s="230"/>
      <c r="T127" s="230"/>
      <c r="U127" s="230"/>
      <c r="V127" s="230"/>
      <c r="W127" s="230">
        <f>'Ore-&gt;PI'!BU132</f>
        <v>-12112.03618380849</v>
      </c>
      <c r="X127" s="230"/>
      <c r="Y127" s="230"/>
      <c r="Z127" s="230"/>
      <c r="AA127" s="230"/>
      <c r="AB127" s="230"/>
      <c r="AC127" s="230"/>
      <c r="AD127" s="230"/>
      <c r="AE127" s="230"/>
      <c r="AF127" s="230"/>
      <c r="AG127" s="230"/>
      <c r="AH127" s="230"/>
      <c r="AI127" s="230"/>
      <c r="AJ127" s="230"/>
      <c r="AK127" s="230"/>
      <c r="AL127" s="252">
        <f t="shared" si="7"/>
        <v>-12112.03618380849</v>
      </c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K127" s="25"/>
      <c r="BL127" s="25"/>
    </row>
    <row r="128" spans="2:65" x14ac:dyDescent="0.2">
      <c r="B128" s="204" t="s">
        <v>458</v>
      </c>
      <c r="C128" s="230"/>
      <c r="D128" s="230"/>
      <c r="E128" s="230"/>
      <c r="F128" s="230"/>
      <c r="G128" s="230"/>
      <c r="H128" s="230"/>
      <c r="I128" s="230"/>
      <c r="J128" s="230"/>
      <c r="K128" s="230"/>
      <c r="L128" s="230"/>
      <c r="M128" s="230"/>
      <c r="N128" s="230"/>
      <c r="O128" s="230"/>
      <c r="P128" s="230"/>
      <c r="Q128" s="230"/>
      <c r="R128" s="230"/>
      <c r="S128" s="230"/>
      <c r="T128" s="230"/>
      <c r="U128" s="230"/>
      <c r="V128" s="230"/>
      <c r="W128" s="230"/>
      <c r="X128" s="230">
        <f>'Ore-&gt;PI'!BU217</f>
        <v>27180.660725538582</v>
      </c>
      <c r="Y128" s="230"/>
      <c r="Z128" s="230"/>
      <c r="AA128" s="230"/>
      <c r="AB128" s="230"/>
      <c r="AC128" s="230"/>
      <c r="AD128" s="230"/>
      <c r="AE128" s="230"/>
      <c r="AF128" s="230"/>
      <c r="AG128" s="230"/>
      <c r="AH128" s="230"/>
      <c r="AI128" s="230"/>
      <c r="AJ128" s="230"/>
      <c r="AK128" s="230"/>
      <c r="AL128" s="252">
        <f t="shared" si="7"/>
        <v>27180.660725538582</v>
      </c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K128" s="25"/>
      <c r="BL128" s="25"/>
    </row>
    <row r="129" spans="2:64" x14ac:dyDescent="0.2">
      <c r="B129" s="204" t="s">
        <v>441</v>
      </c>
      <c r="C129" s="230"/>
      <c r="D129" s="230"/>
      <c r="E129" s="230"/>
      <c r="F129" s="230"/>
      <c r="G129" s="230"/>
      <c r="H129" s="230"/>
      <c r="I129" s="230"/>
      <c r="J129" s="230"/>
      <c r="K129" s="230"/>
      <c r="L129" s="230"/>
      <c r="M129" s="230"/>
      <c r="N129" s="230"/>
      <c r="O129" s="230"/>
      <c r="P129" s="230"/>
      <c r="Q129" s="230"/>
      <c r="R129" s="230"/>
      <c r="S129" s="230"/>
      <c r="T129" s="230"/>
      <c r="U129" s="230"/>
      <c r="V129" s="230"/>
      <c r="W129" s="230"/>
      <c r="X129" s="230"/>
      <c r="Y129" s="230">
        <f>'Ore-&gt;PI'!CP131</f>
        <v>-11321.85158370395</v>
      </c>
      <c r="Z129" s="230">
        <f>'Ore-&gt;PI'!CP119</f>
        <v>-14926.410019749705</v>
      </c>
      <c r="AA129" s="230">
        <f>'Ore-&gt;PI'!CP147</f>
        <v>-224.75252172010772</v>
      </c>
      <c r="AB129" s="230"/>
      <c r="AC129" s="230"/>
      <c r="AD129" s="230"/>
      <c r="AE129" s="230"/>
      <c r="AF129" s="230"/>
      <c r="AG129" s="230"/>
      <c r="AH129" s="230"/>
      <c r="AI129" s="230"/>
      <c r="AJ129" s="230"/>
      <c r="AK129" s="230"/>
      <c r="AL129" s="252">
        <f t="shared" si="7"/>
        <v>-26473.014125173762</v>
      </c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K129" s="25"/>
      <c r="BL129" s="25"/>
    </row>
    <row r="130" spans="2:64" x14ac:dyDescent="0.2">
      <c r="B130" s="204" t="s">
        <v>436</v>
      </c>
      <c r="C130" s="230"/>
      <c r="D130" s="230"/>
      <c r="E130" s="230"/>
      <c r="F130" s="230"/>
      <c r="G130" s="230"/>
      <c r="H130" s="230"/>
      <c r="I130" s="230"/>
      <c r="J130" s="230"/>
      <c r="K130" s="230"/>
      <c r="L130" s="230"/>
      <c r="M130" s="230"/>
      <c r="N130" s="230"/>
      <c r="O130" s="230"/>
      <c r="P130" s="230"/>
      <c r="Q130" s="230"/>
      <c r="R130" s="230"/>
      <c r="S130" s="230"/>
      <c r="T130" s="230"/>
      <c r="U130" s="230"/>
      <c r="V130" s="230"/>
      <c r="W130" s="230"/>
      <c r="X130" s="230"/>
      <c r="Y130" s="230"/>
      <c r="Z130" s="230"/>
      <c r="AA130" s="230"/>
      <c r="AB130" s="230">
        <f>'Ore-&gt;PI'!CP211</f>
        <v>0</v>
      </c>
      <c r="AC130" s="230">
        <f>'Ore-&gt;PI'!CP243</f>
        <v>-265.33787327335835</v>
      </c>
      <c r="AD130" s="230">
        <f>'Ore-&gt;PI'!CP227</f>
        <v>-14896.000495082701</v>
      </c>
      <c r="AE130" s="230">
        <f>'Ore-&gt;PI'!CP257</f>
        <v>-3164.4942013988057</v>
      </c>
      <c r="AF130" s="230"/>
      <c r="AG130" s="230"/>
      <c r="AH130" s="230"/>
      <c r="AI130" s="230"/>
      <c r="AJ130" s="230"/>
      <c r="AK130" s="230"/>
      <c r="AL130" s="252">
        <f t="shared" si="7"/>
        <v>-18325.832569754864</v>
      </c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K130" s="25"/>
      <c r="BL130" s="25"/>
    </row>
    <row r="131" spans="2:64" x14ac:dyDescent="0.2">
      <c r="B131" s="204" t="s">
        <v>672</v>
      </c>
      <c r="C131" s="230"/>
      <c r="D131" s="230"/>
      <c r="E131" s="230"/>
      <c r="F131" s="230"/>
      <c r="G131" s="230"/>
      <c r="H131" s="230"/>
      <c r="I131" s="230"/>
      <c r="J131" s="230"/>
      <c r="K131" s="230"/>
      <c r="L131" s="230"/>
      <c r="M131" s="230"/>
      <c r="N131" s="230"/>
      <c r="O131" s="230"/>
      <c r="P131" s="230"/>
      <c r="Q131" s="230"/>
      <c r="R131" s="230"/>
      <c r="S131" s="230"/>
      <c r="T131" s="230"/>
      <c r="U131" s="230"/>
      <c r="V131" s="230"/>
      <c r="W131" s="230"/>
      <c r="X131" s="230"/>
      <c r="Y131" s="230"/>
      <c r="Z131" s="230"/>
      <c r="AA131" s="230"/>
      <c r="AB131" s="230"/>
      <c r="AC131" s="230"/>
      <c r="AD131" s="230"/>
      <c r="AE131" s="230"/>
      <c r="AF131" s="230">
        <f>'Ore-&gt;PI'!DJ241</f>
        <v>6.1564271489094446E-3</v>
      </c>
      <c r="AG131" s="230"/>
      <c r="AH131" s="230"/>
      <c r="AI131" s="230"/>
      <c r="AJ131" s="230"/>
      <c r="AK131" s="230"/>
      <c r="AL131" s="252">
        <f t="shared" si="7"/>
        <v>6.1564271489094446E-3</v>
      </c>
    </row>
    <row r="132" spans="2:64" x14ac:dyDescent="0.2">
      <c r="B132" s="204" t="s">
        <v>675</v>
      </c>
      <c r="C132" s="230"/>
      <c r="D132" s="230"/>
      <c r="E132" s="230"/>
      <c r="F132" s="230"/>
      <c r="G132" s="230"/>
      <c r="H132" s="230"/>
      <c r="I132" s="230"/>
      <c r="J132" s="230"/>
      <c r="K132" s="230"/>
      <c r="L132" s="230"/>
      <c r="M132" s="230"/>
      <c r="N132" s="230"/>
      <c r="O132" s="230"/>
      <c r="P132" s="230"/>
      <c r="Q132" s="230"/>
      <c r="R132" s="230"/>
      <c r="S132" s="230"/>
      <c r="T132" s="230"/>
      <c r="U132" s="230"/>
      <c r="V132" s="230"/>
      <c r="W132" s="230"/>
      <c r="X132" s="230"/>
      <c r="Y132" s="230"/>
      <c r="Z132" s="230"/>
      <c r="AA132" s="230"/>
      <c r="AB132" s="230"/>
      <c r="AC132" s="230"/>
      <c r="AD132" s="230"/>
      <c r="AE132" s="230"/>
      <c r="AF132" s="230"/>
      <c r="AG132" s="230">
        <f>'Ore-&gt;PI'!$EE$241</f>
        <v>6.1564271489094446E-3</v>
      </c>
      <c r="AH132" s="230"/>
      <c r="AI132" s="230"/>
      <c r="AJ132" s="230"/>
      <c r="AK132" s="230"/>
      <c r="AL132" s="252">
        <f t="shared" si="7"/>
        <v>6.1564271489094446E-3</v>
      </c>
    </row>
    <row r="133" spans="2:64" x14ac:dyDescent="0.2">
      <c r="B133" s="204" t="s">
        <v>81</v>
      </c>
      <c r="C133" s="230"/>
      <c r="D133" s="230"/>
      <c r="E133" s="230"/>
      <c r="F133" s="230"/>
      <c r="G133" s="230"/>
      <c r="H133" s="230"/>
      <c r="I133" s="230"/>
      <c r="J133" s="230"/>
      <c r="K133" s="230"/>
      <c r="L133" s="230"/>
      <c r="M133" s="230"/>
      <c r="N133" s="230"/>
      <c r="O133" s="230"/>
      <c r="P133" s="230"/>
      <c r="Q133" s="230"/>
      <c r="R133" s="230"/>
      <c r="S133" s="230"/>
      <c r="T133" s="230"/>
      <c r="U133" s="230"/>
      <c r="V133" s="230"/>
      <c r="W133" s="230"/>
      <c r="X133" s="230"/>
      <c r="Y133" s="230"/>
      <c r="Z133" s="230"/>
      <c r="AA133" s="230"/>
      <c r="AB133" s="230"/>
      <c r="AC133" s="230"/>
      <c r="AD133" s="230"/>
      <c r="AE133" s="243"/>
      <c r="AF133" s="230"/>
      <c r="AG133" s="230"/>
      <c r="AH133" s="243">
        <f>'Ore-&gt;PI'!EF134</f>
        <v>-5807.700525901595</v>
      </c>
      <c r="AI133" s="230"/>
      <c r="AJ133" s="230"/>
      <c r="AK133" s="230"/>
      <c r="AL133" s="252">
        <f t="shared" si="7"/>
        <v>-5807.700525901595</v>
      </c>
    </row>
    <row r="134" spans="2:64" x14ac:dyDescent="0.2">
      <c r="B134" s="204" t="s">
        <v>427</v>
      </c>
      <c r="C134" s="230"/>
      <c r="D134" s="230"/>
      <c r="E134" s="230"/>
      <c r="F134" s="243"/>
      <c r="G134" s="230"/>
      <c r="H134" s="230"/>
      <c r="I134" s="230"/>
      <c r="J134" s="230"/>
      <c r="K134" s="230"/>
      <c r="L134" s="230"/>
      <c r="M134" s="230"/>
      <c r="N134" s="230"/>
      <c r="O134" s="230"/>
      <c r="P134" s="230"/>
      <c r="Q134" s="230"/>
      <c r="R134" s="230"/>
      <c r="S134" s="230"/>
      <c r="T134" s="230"/>
      <c r="U134" s="230"/>
      <c r="V134" s="230"/>
      <c r="W134" s="230"/>
      <c r="X134" s="230"/>
      <c r="Y134" s="230"/>
      <c r="Z134" s="230"/>
      <c r="AA134" s="247"/>
      <c r="AB134" s="230"/>
      <c r="AC134" s="230"/>
      <c r="AD134" s="230"/>
      <c r="AE134" s="230"/>
      <c r="AF134" s="230"/>
      <c r="AG134" s="230"/>
      <c r="AH134" s="230"/>
      <c r="AI134" s="230">
        <f>'Ore-&gt;PI'!FF131</f>
        <v>0</v>
      </c>
      <c r="AJ134" s="230">
        <f>'Ore-&gt;PI'!FF148</f>
        <v>-3928.1295638135666</v>
      </c>
      <c r="AK134" s="230">
        <f>'Ore-&gt;PI'!FF109</f>
        <v>-771.42466062394067</v>
      </c>
      <c r="AL134" s="252">
        <f t="shared" si="7"/>
        <v>-4699.5542244375074</v>
      </c>
    </row>
    <row r="135" spans="2:64" x14ac:dyDescent="0.2">
      <c r="B135" s="204"/>
      <c r="C135" s="394" t="s">
        <v>419</v>
      </c>
      <c r="D135" s="394"/>
      <c r="E135" s="394"/>
      <c r="F135" s="394"/>
      <c r="G135" s="394"/>
      <c r="H135" s="394"/>
      <c r="I135" s="394"/>
      <c r="J135" s="394"/>
      <c r="K135" s="394"/>
      <c r="L135" s="394"/>
      <c r="M135" s="394"/>
      <c r="N135" s="394"/>
      <c r="O135" s="394"/>
      <c r="P135" s="394"/>
      <c r="Q135" s="394"/>
      <c r="R135" s="394"/>
      <c r="S135" s="394"/>
      <c r="T135" s="394"/>
      <c r="U135" s="394"/>
      <c r="V135" s="394"/>
      <c r="W135" s="394"/>
      <c r="X135" s="394"/>
      <c r="Y135" s="394"/>
      <c r="Z135" s="394"/>
      <c r="AA135" s="394"/>
      <c r="AB135" s="394"/>
      <c r="AC135" s="394"/>
      <c r="AD135" s="394"/>
      <c r="AE135" s="394"/>
      <c r="AF135" s="394"/>
      <c r="AG135" s="394"/>
      <c r="AH135" s="394"/>
      <c r="AI135" s="394"/>
      <c r="AJ135" s="394"/>
      <c r="AK135" s="394"/>
      <c r="AL135" s="25" t="s">
        <v>465</v>
      </c>
      <c r="AM135" s="25"/>
    </row>
    <row r="136" spans="2:64" x14ac:dyDescent="0.2">
      <c r="B136" s="204"/>
      <c r="C136" s="252">
        <f t="shared" ref="C136:AK136" si="8">SUM(C120:C134)</f>
        <v>0</v>
      </c>
      <c r="D136" s="252">
        <f t="shared" si="8"/>
        <v>0</v>
      </c>
      <c r="E136" s="252">
        <f t="shared" si="8"/>
        <v>0</v>
      </c>
      <c r="F136" s="252">
        <f t="shared" si="8"/>
        <v>0</v>
      </c>
      <c r="G136" s="252">
        <f t="shared" si="8"/>
        <v>0</v>
      </c>
      <c r="H136" s="252">
        <f t="shared" si="8"/>
        <v>0</v>
      </c>
      <c r="I136" s="252">
        <f t="shared" si="8"/>
        <v>0</v>
      </c>
      <c r="J136" s="252">
        <f t="shared" si="8"/>
        <v>0</v>
      </c>
      <c r="K136" s="252">
        <f t="shared" si="8"/>
        <v>0</v>
      </c>
      <c r="L136" s="252">
        <f t="shared" si="8"/>
        <v>-6442.5099571670216</v>
      </c>
      <c r="M136" s="252">
        <f t="shared" si="8"/>
        <v>-2880.21138188847</v>
      </c>
      <c r="N136" s="252">
        <f t="shared" si="8"/>
        <v>-12112.03618380849</v>
      </c>
      <c r="O136" s="252">
        <f t="shared" si="8"/>
        <v>-2882.6003576350172</v>
      </c>
      <c r="P136" s="252">
        <f t="shared" si="8"/>
        <v>27180.660725538582</v>
      </c>
      <c r="Q136" s="252">
        <f t="shared" si="8"/>
        <v>-2880.2113818884714</v>
      </c>
      <c r="R136" s="252">
        <f t="shared" si="8"/>
        <v>-6442.5099571670216</v>
      </c>
      <c r="S136" s="252">
        <f t="shared" si="8"/>
        <v>-12112.03618380849</v>
      </c>
      <c r="T136" s="252">
        <f t="shared" si="8"/>
        <v>27180.660725538582</v>
      </c>
      <c r="U136" s="252">
        <f t="shared" si="8"/>
        <v>-6350.2001773318216</v>
      </c>
      <c r="V136" s="252">
        <f t="shared" si="8"/>
        <v>-14287.000845881314</v>
      </c>
      <c r="W136" s="252">
        <f t="shared" si="8"/>
        <v>-12112.03618380849</v>
      </c>
      <c r="X136" s="252">
        <f t="shared" si="8"/>
        <v>27180.660725538582</v>
      </c>
      <c r="Y136" s="252">
        <f t="shared" si="8"/>
        <v>-11321.85158370395</v>
      </c>
      <c r="Z136" s="252">
        <f t="shared" si="8"/>
        <v>-14926.410019749705</v>
      </c>
      <c r="AA136" s="252">
        <f t="shared" si="8"/>
        <v>-224.75252172010772</v>
      </c>
      <c r="AB136" s="252">
        <f t="shared" si="8"/>
        <v>0</v>
      </c>
      <c r="AC136" s="252">
        <f t="shared" si="8"/>
        <v>-265.33787327335835</v>
      </c>
      <c r="AD136" s="252">
        <f t="shared" si="8"/>
        <v>-14896.000495082701</v>
      </c>
      <c r="AE136" s="252">
        <f t="shared" si="8"/>
        <v>-3164.4942013988057</v>
      </c>
      <c r="AF136" s="252">
        <f t="shared" si="8"/>
        <v>6.1564271489094446E-3</v>
      </c>
      <c r="AG136" s="252">
        <f t="shared" si="8"/>
        <v>6.1564271489094446E-3</v>
      </c>
      <c r="AH136" s="252">
        <f t="shared" si="8"/>
        <v>-5807.700525901595</v>
      </c>
      <c r="AI136" s="252">
        <f t="shared" si="8"/>
        <v>0</v>
      </c>
      <c r="AJ136" s="252">
        <f t="shared" si="8"/>
        <v>-3928.1295638135666</v>
      </c>
      <c r="AK136" s="252">
        <f t="shared" si="8"/>
        <v>-771.42466062394067</v>
      </c>
    </row>
    <row r="137" spans="2:64" x14ac:dyDescent="0.2">
      <c r="B137" s="204"/>
      <c r="C137" s="394" t="s">
        <v>466</v>
      </c>
      <c r="D137" s="394"/>
      <c r="E137" s="394"/>
      <c r="F137" s="394"/>
      <c r="G137" s="394"/>
      <c r="H137" s="394"/>
      <c r="I137" s="394"/>
      <c r="J137" s="394"/>
      <c r="K137" s="394"/>
      <c r="L137" s="394"/>
      <c r="M137" s="394"/>
      <c r="N137" s="394"/>
      <c r="O137" s="394"/>
      <c r="P137" s="394"/>
      <c r="Q137" s="394"/>
      <c r="R137" s="394"/>
      <c r="S137" s="394"/>
      <c r="T137" s="394"/>
      <c r="U137" s="394"/>
      <c r="V137" s="394"/>
      <c r="W137" s="394"/>
      <c r="X137" s="394"/>
      <c r="Y137" s="394"/>
      <c r="Z137" s="394"/>
      <c r="AA137" s="394"/>
      <c r="AB137" s="394"/>
      <c r="AC137" s="394"/>
      <c r="AD137" s="394"/>
      <c r="AE137" s="394"/>
      <c r="AF137" s="394"/>
      <c r="AG137" s="394"/>
      <c r="AH137" s="394"/>
      <c r="AI137" s="394"/>
      <c r="AJ137" s="394"/>
      <c r="AK137" s="394"/>
    </row>
    <row r="138" spans="2:64" x14ac:dyDescent="0.2">
      <c r="B138" s="204"/>
    </row>
    <row r="139" spans="2:64" x14ac:dyDescent="0.2">
      <c r="B139" s="204"/>
    </row>
    <row r="140" spans="2:64" x14ac:dyDescent="0.2">
      <c r="B140" s="204"/>
    </row>
    <row r="141" spans="2:64" x14ac:dyDescent="0.2">
      <c r="B141" s="204"/>
    </row>
    <row r="142" spans="2:64" x14ac:dyDescent="0.2">
      <c r="B142" s="204"/>
    </row>
    <row r="143" spans="2:64" x14ac:dyDescent="0.2">
      <c r="B143" s="204"/>
    </row>
    <row r="144" spans="2:64" x14ac:dyDescent="0.2">
      <c r="B144" s="204"/>
    </row>
    <row r="145" spans="2:43" x14ac:dyDescent="0.2">
      <c r="B145" s="204"/>
    </row>
    <row r="146" spans="2:43" x14ac:dyDescent="0.2">
      <c r="B146" s="204"/>
    </row>
    <row r="147" spans="2:43" x14ac:dyDescent="0.2">
      <c r="B147" s="204"/>
    </row>
    <row r="148" spans="2:43" ht="236" x14ac:dyDescent="0.2">
      <c r="B148" s="204"/>
      <c r="C148" s="207" t="s">
        <v>423</v>
      </c>
      <c r="D148" s="207" t="s">
        <v>425</v>
      </c>
      <c r="E148" s="207" t="s">
        <v>426</v>
      </c>
      <c r="F148" s="207" t="s">
        <v>447</v>
      </c>
      <c r="G148" s="207" t="s">
        <v>477</v>
      </c>
      <c r="H148" s="207" t="s">
        <v>515</v>
      </c>
      <c r="I148" s="207" t="s">
        <v>576</v>
      </c>
      <c r="J148" s="207" t="s">
        <v>577</v>
      </c>
      <c r="K148" s="207" t="s">
        <v>569</v>
      </c>
      <c r="L148" s="209" t="s">
        <v>551</v>
      </c>
      <c r="M148" s="207" t="s">
        <v>517</v>
      </c>
      <c r="N148" s="209" t="s">
        <v>520</v>
      </c>
      <c r="O148" s="207" t="s">
        <v>546</v>
      </c>
      <c r="P148" s="210" t="s">
        <v>538</v>
      </c>
      <c r="Q148" s="207" t="s">
        <v>524</v>
      </c>
      <c r="R148" s="209" t="s">
        <v>550</v>
      </c>
      <c r="S148" s="209" t="s">
        <v>545</v>
      </c>
      <c r="T148" s="209" t="s">
        <v>542</v>
      </c>
      <c r="U148" s="209" t="s">
        <v>548</v>
      </c>
      <c r="V148" s="210" t="s">
        <v>547</v>
      </c>
      <c r="W148" s="210" t="s">
        <v>532</v>
      </c>
      <c r="X148" s="210" t="s">
        <v>566</v>
      </c>
      <c r="Y148" s="210" t="s">
        <v>533</v>
      </c>
      <c r="Z148" s="210" t="s">
        <v>535</v>
      </c>
      <c r="AA148" s="210" t="s">
        <v>534</v>
      </c>
      <c r="AB148" s="210" t="s">
        <v>632</v>
      </c>
      <c r="AC148" s="232" t="s">
        <v>530</v>
      </c>
      <c r="AD148" s="210" t="s">
        <v>529</v>
      </c>
      <c r="AE148" s="207" t="s">
        <v>531</v>
      </c>
      <c r="AF148" s="210" t="s">
        <v>673</v>
      </c>
      <c r="AG148" s="210" t="s">
        <v>676</v>
      </c>
      <c r="AH148" s="210" t="s">
        <v>554</v>
      </c>
      <c r="AI148" s="210" t="s">
        <v>555</v>
      </c>
      <c r="AJ148" s="210" t="s">
        <v>556</v>
      </c>
      <c r="AK148" s="210" t="s">
        <v>567</v>
      </c>
      <c r="AL148" s="210"/>
      <c r="AM148" s="210"/>
    </row>
    <row r="149" spans="2:43" x14ac:dyDescent="0.2">
      <c r="B149" s="204" t="s">
        <v>422</v>
      </c>
      <c r="C149" s="244">
        <f>'Ore-&gt;PI'!O52</f>
        <v>-6442.5099571670216</v>
      </c>
      <c r="D149" s="244"/>
      <c r="E149" s="244"/>
      <c r="F149" s="244"/>
      <c r="G149" s="244"/>
      <c r="H149" s="244"/>
      <c r="I149" s="244"/>
      <c r="J149" s="244"/>
      <c r="K149" s="244"/>
      <c r="L149" s="244"/>
      <c r="M149" s="244"/>
      <c r="N149" s="244"/>
      <c r="O149" s="244"/>
      <c r="P149" s="244"/>
      <c r="Q149" s="244"/>
      <c r="R149" s="244"/>
      <c r="S149" s="244"/>
      <c r="T149" s="244"/>
      <c r="U149" s="244"/>
      <c r="V149" s="244"/>
      <c r="W149" s="244"/>
      <c r="X149" s="244"/>
      <c r="Y149" s="244"/>
      <c r="Z149" s="244"/>
      <c r="AA149" s="244"/>
      <c r="AB149" s="244"/>
      <c r="AC149" s="244"/>
      <c r="AD149" s="244"/>
      <c r="AE149" s="244"/>
      <c r="AF149" s="244"/>
      <c r="AG149" s="244"/>
      <c r="AH149" s="244"/>
      <c r="AI149" s="244"/>
      <c r="AJ149" s="244"/>
      <c r="AK149" s="244"/>
    </row>
    <row r="150" spans="2:43" ht="16" x14ac:dyDescent="0.2">
      <c r="B150" s="205" t="s">
        <v>424</v>
      </c>
      <c r="C150" s="244"/>
      <c r="D150" s="244">
        <f>'Ore-&gt;PI'!O132</f>
        <v>-12112.03618380849</v>
      </c>
      <c r="E150" s="244"/>
      <c r="F150" s="244"/>
      <c r="G150" s="244"/>
      <c r="H150" s="244"/>
      <c r="I150" s="244"/>
      <c r="J150" s="244"/>
      <c r="K150" s="244"/>
      <c r="L150" s="244"/>
      <c r="M150" s="244"/>
      <c r="N150" s="244"/>
      <c r="O150" s="244"/>
      <c r="P150" s="244"/>
      <c r="Q150" s="244"/>
      <c r="R150" s="244"/>
      <c r="S150" s="244"/>
      <c r="T150" s="244"/>
      <c r="U150" s="244"/>
      <c r="V150" s="244"/>
      <c r="W150" s="244"/>
      <c r="X150" s="244"/>
      <c r="Y150" s="244"/>
      <c r="Z150" s="244"/>
      <c r="AA150" s="244"/>
      <c r="AB150" s="244"/>
      <c r="AC150" s="244"/>
      <c r="AD150" s="244"/>
      <c r="AE150" s="244"/>
      <c r="AF150" s="244"/>
      <c r="AG150" s="244"/>
      <c r="AH150" s="244"/>
      <c r="AI150" s="244"/>
      <c r="AJ150" s="244"/>
      <c r="AK150" s="244"/>
    </row>
    <row r="151" spans="2:43" x14ac:dyDescent="0.2">
      <c r="B151" s="206" t="s">
        <v>448</v>
      </c>
      <c r="C151" s="244"/>
      <c r="D151" s="244"/>
      <c r="E151" s="244">
        <f>'Ore-&gt;PI'!O217</f>
        <v>27180.660725538582</v>
      </c>
      <c r="F151" s="244"/>
      <c r="G151" s="244"/>
      <c r="H151" s="244"/>
      <c r="I151" s="244"/>
      <c r="J151" s="244"/>
      <c r="K151" s="244"/>
      <c r="L151" s="244"/>
      <c r="M151" s="244"/>
      <c r="N151" s="244"/>
      <c r="O151" s="244"/>
      <c r="P151" s="244"/>
      <c r="Q151" s="244"/>
      <c r="R151" s="244"/>
      <c r="S151" s="244"/>
      <c r="T151" s="244"/>
      <c r="U151" s="244"/>
      <c r="V151" s="244"/>
      <c r="W151" s="244"/>
      <c r="X151" s="244"/>
      <c r="Y151" s="244"/>
      <c r="Z151" s="244"/>
      <c r="AA151" s="244"/>
      <c r="AB151" s="244"/>
      <c r="AC151" s="244"/>
      <c r="AD151" s="244"/>
      <c r="AE151" s="244"/>
      <c r="AF151" s="244"/>
      <c r="AG151" s="244"/>
      <c r="AH151" s="244"/>
      <c r="AI151" s="244"/>
      <c r="AJ151" s="244"/>
      <c r="AK151" s="244"/>
    </row>
    <row r="152" spans="2:43" x14ac:dyDescent="0.2">
      <c r="B152" s="204" t="s">
        <v>483</v>
      </c>
      <c r="C152" s="244"/>
      <c r="D152" s="244"/>
      <c r="E152" s="244"/>
      <c r="F152" s="250">
        <f>'Ore-&gt;PI'!O242</f>
        <v>0</v>
      </c>
      <c r="G152" s="244"/>
      <c r="H152" s="244"/>
      <c r="I152" s="244"/>
      <c r="J152" s="244"/>
      <c r="K152" s="244"/>
      <c r="L152" s="244"/>
      <c r="M152" s="244"/>
      <c r="N152" s="244"/>
      <c r="O152" s="244"/>
      <c r="P152" s="244"/>
      <c r="Q152" s="244"/>
      <c r="R152" s="244"/>
      <c r="S152" s="244"/>
      <c r="T152" s="244"/>
      <c r="U152" s="244"/>
      <c r="V152" s="244"/>
      <c r="W152" s="244"/>
      <c r="X152" s="244"/>
      <c r="Y152" s="244"/>
      <c r="Z152" s="244"/>
      <c r="AA152" s="244"/>
      <c r="AB152" s="244"/>
      <c r="AC152" s="244"/>
      <c r="AD152" s="244"/>
      <c r="AE152" s="244"/>
      <c r="AF152" s="244"/>
      <c r="AG152" s="244"/>
      <c r="AH152" s="244"/>
      <c r="AI152" s="244"/>
      <c r="AJ152" s="244"/>
      <c r="AK152" s="244"/>
    </row>
    <row r="153" spans="2:43" x14ac:dyDescent="0.2">
      <c r="B153" s="204" t="s">
        <v>476</v>
      </c>
      <c r="C153" s="244"/>
      <c r="D153" s="244"/>
      <c r="E153" s="244"/>
      <c r="F153" s="244"/>
      <c r="G153" s="244">
        <f>h_CH4</f>
        <v>1.604276E-2</v>
      </c>
      <c r="H153" s="244"/>
      <c r="I153" s="244"/>
      <c r="J153" s="244"/>
      <c r="K153" s="244"/>
      <c r="L153" s="244"/>
      <c r="M153" s="244"/>
      <c r="N153" s="244"/>
      <c r="O153" s="244"/>
      <c r="P153" s="244"/>
      <c r="Q153" s="244"/>
      <c r="R153" s="244"/>
      <c r="S153" s="244"/>
      <c r="T153" s="244"/>
      <c r="U153" s="244"/>
      <c r="V153" s="244"/>
      <c r="W153" s="244"/>
      <c r="X153" s="244"/>
      <c r="Y153" s="244"/>
      <c r="Z153" s="244"/>
      <c r="AA153" s="244"/>
      <c r="AB153" s="244"/>
      <c r="AC153" s="244"/>
      <c r="AD153" s="244"/>
      <c r="AE153" s="244"/>
      <c r="AF153" s="244"/>
      <c r="AG153" s="244"/>
      <c r="AH153" s="244"/>
      <c r="AI153" s="244"/>
      <c r="AJ153" s="244"/>
      <c r="AK153" s="244"/>
    </row>
    <row r="154" spans="2:43" x14ac:dyDescent="0.2">
      <c r="B154" s="204" t="s">
        <v>579</v>
      </c>
      <c r="C154" s="244"/>
      <c r="D154" s="244"/>
      <c r="E154" s="244"/>
      <c r="F154" s="244"/>
      <c r="G154" s="244"/>
      <c r="H154" s="244">
        <f>LHV_Diesel</f>
        <v>42600</v>
      </c>
      <c r="I154" s="244"/>
      <c r="J154" s="244"/>
      <c r="K154" s="244"/>
      <c r="L154" s="244"/>
      <c r="M154" s="244"/>
      <c r="N154" s="244"/>
      <c r="O154" s="244"/>
      <c r="P154" s="244"/>
      <c r="Q154" s="244"/>
      <c r="R154" s="244"/>
      <c r="S154" s="244"/>
      <c r="T154" s="244"/>
      <c r="U154" s="244"/>
      <c r="V154" s="244"/>
      <c r="W154" s="244"/>
      <c r="X154" s="244"/>
      <c r="Y154" s="244"/>
      <c r="Z154" s="244"/>
      <c r="AA154" s="244"/>
      <c r="AB154" s="244"/>
      <c r="AC154" s="244"/>
      <c r="AD154" s="244"/>
      <c r="AE154" s="244"/>
      <c r="AF154" s="244"/>
      <c r="AG154" s="244"/>
      <c r="AH154" s="244"/>
      <c r="AI154" s="244"/>
      <c r="AJ154" s="244"/>
      <c r="AK154" s="244"/>
      <c r="AQ154" s="232"/>
    </row>
    <row r="155" spans="2:43" x14ac:dyDescent="0.2">
      <c r="B155" s="204" t="s">
        <v>578</v>
      </c>
      <c r="C155" s="244"/>
      <c r="D155" s="244"/>
      <c r="E155" s="244"/>
      <c r="F155" s="244"/>
      <c r="G155" s="244"/>
      <c r="H155" s="244"/>
      <c r="I155" s="244">
        <f>'Ore-&gt;PI'!O156</f>
        <v>-2189.4247196818515</v>
      </c>
      <c r="J155" s="244"/>
      <c r="K155" s="244"/>
      <c r="L155" s="244"/>
      <c r="M155" s="244"/>
      <c r="N155" s="244"/>
      <c r="O155" s="244"/>
      <c r="P155" s="244"/>
      <c r="Q155" s="244"/>
      <c r="R155" s="244"/>
      <c r="S155" s="244"/>
      <c r="T155" s="244"/>
      <c r="U155" s="244"/>
      <c r="V155" s="244"/>
      <c r="W155" s="244"/>
      <c r="X155" s="244"/>
      <c r="Y155" s="244"/>
      <c r="Z155" s="244"/>
      <c r="AA155" s="244"/>
      <c r="AB155" s="244"/>
      <c r="AC155" s="244"/>
      <c r="AD155" s="244"/>
      <c r="AE155" s="244"/>
      <c r="AF155" s="244"/>
      <c r="AG155" s="244"/>
      <c r="AH155" s="244"/>
      <c r="AI155" s="244"/>
      <c r="AJ155" s="244"/>
      <c r="AK155" s="244"/>
    </row>
    <row r="156" spans="2:43" x14ac:dyDescent="0.2">
      <c r="B156" s="204" t="s">
        <v>518</v>
      </c>
      <c r="C156" s="244"/>
      <c r="D156" s="244"/>
      <c r="E156" s="244"/>
      <c r="F156" s="244"/>
      <c r="G156" s="244"/>
      <c r="H156" s="244"/>
      <c r="I156" s="244"/>
      <c r="J156" s="244">
        <f>'Ore-&gt;PI'!EF106</f>
        <v>39500</v>
      </c>
      <c r="K156" s="244"/>
      <c r="L156" s="244"/>
      <c r="M156" s="244"/>
      <c r="N156" s="244"/>
      <c r="O156" s="244"/>
      <c r="P156" s="244"/>
      <c r="Q156" s="244"/>
      <c r="R156" s="244"/>
      <c r="S156" s="244"/>
      <c r="T156" s="244"/>
      <c r="U156" s="244"/>
      <c r="V156" s="244"/>
      <c r="W156" s="244"/>
      <c r="X156" s="244"/>
      <c r="Y156" s="244"/>
      <c r="Z156" s="244"/>
      <c r="AA156" s="244"/>
      <c r="AB156" s="244"/>
      <c r="AC156" s="244"/>
      <c r="AD156" s="244"/>
      <c r="AE156" s="244"/>
      <c r="AF156" s="244"/>
      <c r="AG156" s="244"/>
      <c r="AH156" s="244"/>
      <c r="AI156" s="244"/>
      <c r="AJ156" s="244"/>
      <c r="AK156" s="244"/>
    </row>
    <row r="157" spans="2:43" x14ac:dyDescent="0.2">
      <c r="B157" s="204" t="s">
        <v>568</v>
      </c>
      <c r="C157" s="244"/>
      <c r="D157" s="244"/>
      <c r="E157" s="244"/>
      <c r="F157" s="244"/>
      <c r="G157" s="244"/>
      <c r="H157" s="244"/>
      <c r="I157" s="244"/>
      <c r="J157" s="244"/>
      <c r="K157" s="244">
        <v>0</v>
      </c>
      <c r="L157" s="244"/>
      <c r="M157" s="244"/>
      <c r="N157" s="244"/>
      <c r="O157" s="244"/>
      <c r="P157" s="244"/>
      <c r="Q157" s="244"/>
      <c r="R157" s="244"/>
      <c r="S157" s="244"/>
      <c r="T157" s="244"/>
      <c r="U157" s="244"/>
      <c r="V157" s="244"/>
      <c r="W157" s="244"/>
      <c r="X157" s="244"/>
      <c r="Y157" s="244"/>
      <c r="Z157" s="244"/>
      <c r="AA157" s="244"/>
      <c r="AB157" s="244"/>
      <c r="AC157" s="244"/>
      <c r="AD157" s="244"/>
      <c r="AE157" s="244"/>
      <c r="AF157" s="244"/>
      <c r="AG157" s="244"/>
      <c r="AH157" s="244"/>
      <c r="AI157" s="244"/>
      <c r="AJ157" s="244"/>
      <c r="AK157" s="244"/>
    </row>
    <row r="158" spans="2:43" x14ac:dyDescent="0.2">
      <c r="C158" s="394" t="s">
        <v>57</v>
      </c>
      <c r="D158" s="394"/>
      <c r="E158" s="394"/>
      <c r="F158" s="394"/>
      <c r="G158" s="394"/>
      <c r="H158" s="394"/>
      <c r="I158" s="394"/>
      <c r="J158" s="394"/>
      <c r="K158" s="394"/>
      <c r="L158" s="394"/>
      <c r="M158" s="394"/>
      <c r="N158" s="394"/>
      <c r="O158" s="394"/>
      <c r="P158" s="394"/>
      <c r="Q158" s="394"/>
      <c r="R158" s="394"/>
      <c r="S158" s="394"/>
      <c r="T158" s="394"/>
      <c r="U158" s="394"/>
      <c r="V158" s="394"/>
      <c r="W158" s="394"/>
      <c r="X158" s="394"/>
      <c r="Y158" s="394"/>
      <c r="Z158" s="394"/>
      <c r="AA158" s="394"/>
      <c r="AB158" s="394"/>
      <c r="AC158" s="394"/>
      <c r="AD158" s="394"/>
      <c r="AE158" s="394"/>
      <c r="AF158" s="394"/>
      <c r="AG158" s="394"/>
      <c r="AH158" s="394"/>
      <c r="AI158" s="394"/>
      <c r="AJ158" s="394"/>
      <c r="AK158" s="394"/>
      <c r="AL158" s="25"/>
      <c r="AM158" s="25"/>
    </row>
    <row r="159" spans="2:43" x14ac:dyDescent="0.2">
      <c r="C159" s="252">
        <f t="shared" ref="C159:AK159" si="9">SUM(C149:C157)</f>
        <v>-6442.5099571670216</v>
      </c>
      <c r="D159" s="252">
        <f t="shared" si="9"/>
        <v>-12112.03618380849</v>
      </c>
      <c r="E159" s="252">
        <f t="shared" si="9"/>
        <v>27180.660725538582</v>
      </c>
      <c r="F159" s="252">
        <f t="shared" si="9"/>
        <v>0</v>
      </c>
      <c r="G159" s="252">
        <f t="shared" si="9"/>
        <v>1.604276E-2</v>
      </c>
      <c r="H159" s="252">
        <f t="shared" si="9"/>
        <v>42600</v>
      </c>
      <c r="I159" s="252">
        <f t="shared" si="9"/>
        <v>-2189.4247196818515</v>
      </c>
      <c r="J159" s="252">
        <f t="shared" si="9"/>
        <v>39500</v>
      </c>
      <c r="K159" s="252">
        <f t="shared" si="9"/>
        <v>0</v>
      </c>
      <c r="L159" s="252">
        <f t="shared" si="9"/>
        <v>0</v>
      </c>
      <c r="M159" s="252">
        <f t="shared" si="9"/>
        <v>0</v>
      </c>
      <c r="N159" s="252">
        <f t="shared" si="9"/>
        <v>0</v>
      </c>
      <c r="O159" s="252">
        <f t="shared" si="9"/>
        <v>0</v>
      </c>
      <c r="P159" s="252">
        <f t="shared" si="9"/>
        <v>0</v>
      </c>
      <c r="Q159" s="252">
        <f t="shared" si="9"/>
        <v>0</v>
      </c>
      <c r="R159" s="252">
        <f t="shared" si="9"/>
        <v>0</v>
      </c>
      <c r="S159" s="252">
        <f t="shared" si="9"/>
        <v>0</v>
      </c>
      <c r="T159" s="252">
        <f t="shared" si="9"/>
        <v>0</v>
      </c>
      <c r="U159" s="252">
        <f t="shared" si="9"/>
        <v>0</v>
      </c>
      <c r="V159" s="252">
        <f t="shared" si="9"/>
        <v>0</v>
      </c>
      <c r="W159" s="252">
        <f t="shared" si="9"/>
        <v>0</v>
      </c>
      <c r="X159" s="252">
        <f t="shared" si="9"/>
        <v>0</v>
      </c>
      <c r="Y159" s="252">
        <f t="shared" si="9"/>
        <v>0</v>
      </c>
      <c r="Z159" s="252">
        <f t="shared" si="9"/>
        <v>0</v>
      </c>
      <c r="AA159" s="252">
        <f t="shared" si="9"/>
        <v>0</v>
      </c>
      <c r="AB159" s="252">
        <f t="shared" si="9"/>
        <v>0</v>
      </c>
      <c r="AC159" s="252">
        <f t="shared" si="9"/>
        <v>0</v>
      </c>
      <c r="AD159" s="252">
        <f t="shared" si="9"/>
        <v>0</v>
      </c>
      <c r="AE159" s="252">
        <f t="shared" si="9"/>
        <v>0</v>
      </c>
      <c r="AF159" s="252">
        <f t="shared" si="9"/>
        <v>0</v>
      </c>
      <c r="AG159" s="252">
        <f t="shared" si="9"/>
        <v>0</v>
      </c>
      <c r="AH159" s="252">
        <f t="shared" si="9"/>
        <v>0</v>
      </c>
      <c r="AI159" s="252">
        <f t="shared" si="9"/>
        <v>0</v>
      </c>
      <c r="AJ159" s="252">
        <f t="shared" si="9"/>
        <v>0</v>
      </c>
      <c r="AK159" s="252">
        <f t="shared" si="9"/>
        <v>0</v>
      </c>
    </row>
    <row r="160" spans="2:43" x14ac:dyDescent="0.2">
      <c r="C160" s="394" t="s">
        <v>467</v>
      </c>
      <c r="D160" s="394"/>
      <c r="E160" s="394"/>
      <c r="F160" s="394"/>
      <c r="G160" s="394"/>
      <c r="H160" s="394"/>
      <c r="I160" s="394"/>
      <c r="J160" s="394"/>
      <c r="K160" s="394"/>
      <c r="L160" s="394"/>
      <c r="M160" s="394"/>
      <c r="N160" s="394"/>
      <c r="O160" s="394"/>
      <c r="P160" s="394"/>
      <c r="Q160" s="394"/>
      <c r="R160" s="394"/>
      <c r="S160" s="394"/>
      <c r="T160" s="394"/>
      <c r="U160" s="394"/>
      <c r="V160" s="394"/>
      <c r="W160" s="394"/>
      <c r="X160" s="394"/>
      <c r="Y160" s="394"/>
      <c r="Z160" s="394"/>
      <c r="AA160" s="394"/>
      <c r="AB160" s="394"/>
      <c r="AC160" s="394"/>
      <c r="AD160" s="394"/>
      <c r="AE160" s="394"/>
      <c r="AF160" s="394"/>
      <c r="AG160" s="394"/>
      <c r="AH160" s="394"/>
      <c r="AI160" s="394"/>
      <c r="AJ160" s="394"/>
      <c r="AK160" s="394"/>
      <c r="AL160" s="25"/>
      <c r="AM160" s="25"/>
    </row>
    <row r="164" spans="2:22" x14ac:dyDescent="0.2">
      <c r="C164" s="394" t="s">
        <v>670</v>
      </c>
      <c r="D164" s="394"/>
      <c r="E164" s="394"/>
      <c r="F164" s="394"/>
      <c r="G164" s="394"/>
      <c r="H164" s="394"/>
      <c r="I164" s="394"/>
      <c r="J164" s="394"/>
      <c r="K164" s="394"/>
      <c r="L164" s="245"/>
      <c r="M164" s="245"/>
      <c r="N164" s="245"/>
      <c r="O164" s="245"/>
      <c r="P164" s="245"/>
      <c r="Q164" s="245"/>
      <c r="R164" s="245"/>
      <c r="S164" s="245"/>
      <c r="T164" s="245"/>
      <c r="U164" s="25"/>
      <c r="V164" s="25"/>
    </row>
    <row r="167" spans="2:22" x14ac:dyDescent="0.2">
      <c r="B167" s="204" t="s">
        <v>423</v>
      </c>
      <c r="C167" s="252" cm="1">
        <f t="array" ref="C167:C201">TRANSPOSE(C159:AK159)</f>
        <v>-6442.5099571670216</v>
      </c>
      <c r="E167" s="252" cm="1">
        <f t="array" ref="E167:E201">TRANSPOSE(C136:AK136)</f>
        <v>0</v>
      </c>
      <c r="G167" s="252">
        <f>BF81</f>
        <v>-6442.5099571670216</v>
      </c>
      <c r="I167" s="252" cm="1">
        <f t="array" ref="I167:I201">BM81:BM115</f>
        <v>0</v>
      </c>
      <c r="K167" s="299">
        <f>C167+E167-G167-I167</f>
        <v>0</v>
      </c>
    </row>
    <row r="168" spans="2:22" x14ac:dyDescent="0.2">
      <c r="B168" s="204" t="s">
        <v>425</v>
      </c>
      <c r="C168" s="252">
        <v>-12112.03618380849</v>
      </c>
      <c r="E168" s="252">
        <v>0</v>
      </c>
      <c r="G168" s="252">
        <f t="shared" ref="G168:G201" si="10">BF82</f>
        <v>-12112.03618380849</v>
      </c>
      <c r="I168" s="252">
        <v>0</v>
      </c>
      <c r="K168" s="299">
        <f t="shared" ref="K168:K201" si="11">C168+E168-G168-I168</f>
        <v>0</v>
      </c>
    </row>
    <row r="169" spans="2:22" x14ac:dyDescent="0.2">
      <c r="B169" s="204" t="s">
        <v>426</v>
      </c>
      <c r="C169" s="252">
        <v>27180.660725538582</v>
      </c>
      <c r="E169" s="252">
        <v>0</v>
      </c>
      <c r="G169" s="252">
        <f t="shared" si="10"/>
        <v>27180.660725538582</v>
      </c>
      <c r="I169" s="252">
        <v>0</v>
      </c>
      <c r="K169" s="299">
        <f t="shared" si="11"/>
        <v>0</v>
      </c>
    </row>
    <row r="170" spans="2:22" x14ac:dyDescent="0.2">
      <c r="B170" s="204" t="s">
        <v>447</v>
      </c>
      <c r="C170" s="252">
        <v>0</v>
      </c>
      <c r="E170" s="252">
        <v>0</v>
      </c>
      <c r="G170" s="252">
        <f t="shared" si="10"/>
        <v>0</v>
      </c>
      <c r="I170" s="252">
        <v>0</v>
      </c>
      <c r="K170" s="299">
        <f t="shared" si="11"/>
        <v>0</v>
      </c>
    </row>
    <row r="171" spans="2:22" x14ac:dyDescent="0.2">
      <c r="B171" s="204" t="s">
        <v>477</v>
      </c>
      <c r="C171" s="252">
        <v>1.604276E-2</v>
      </c>
      <c r="E171" s="252">
        <v>0</v>
      </c>
      <c r="G171" s="252">
        <f t="shared" si="10"/>
        <v>4.8128279999999996E-2</v>
      </c>
      <c r="I171" s="252">
        <v>0</v>
      </c>
      <c r="K171" s="299" t="s">
        <v>677</v>
      </c>
    </row>
    <row r="172" spans="2:22" x14ac:dyDescent="0.2">
      <c r="B172" s="204" t="s">
        <v>515</v>
      </c>
      <c r="C172" s="252">
        <v>42600</v>
      </c>
      <c r="E172" s="252">
        <v>0</v>
      </c>
      <c r="G172" s="252">
        <f t="shared" si="10"/>
        <v>127800</v>
      </c>
      <c r="I172" s="252">
        <v>0</v>
      </c>
      <c r="K172" s="299" t="s">
        <v>677</v>
      </c>
    </row>
    <row r="173" spans="2:22" x14ac:dyDescent="0.2">
      <c r="B173" s="204" t="s">
        <v>516</v>
      </c>
      <c r="C173" s="252">
        <v>-2189.4247196818515</v>
      </c>
      <c r="E173" s="252">
        <v>0</v>
      </c>
      <c r="G173" s="252">
        <f t="shared" si="10"/>
        <v>-2189.4247196818515</v>
      </c>
      <c r="I173" s="252">
        <v>0</v>
      </c>
      <c r="K173" s="299">
        <f t="shared" si="11"/>
        <v>0</v>
      </c>
    </row>
    <row r="174" spans="2:22" x14ac:dyDescent="0.2">
      <c r="B174" s="204" t="s">
        <v>519</v>
      </c>
      <c r="C174" s="252">
        <v>39500</v>
      </c>
      <c r="E174" s="252">
        <v>0</v>
      </c>
      <c r="G174" s="252">
        <f t="shared" si="10"/>
        <v>39500</v>
      </c>
      <c r="I174" s="252">
        <v>0</v>
      </c>
      <c r="K174" s="299">
        <f t="shared" si="11"/>
        <v>0</v>
      </c>
    </row>
    <row r="175" spans="2:22" x14ac:dyDescent="0.2">
      <c r="B175" s="204" t="s">
        <v>569</v>
      </c>
      <c r="C175" s="252">
        <v>0</v>
      </c>
      <c r="E175" s="252">
        <v>0</v>
      </c>
      <c r="G175" s="252">
        <f t="shared" si="10"/>
        <v>0</v>
      </c>
      <c r="I175" s="252">
        <v>0</v>
      </c>
      <c r="K175" s="299">
        <f t="shared" si="11"/>
        <v>0</v>
      </c>
    </row>
    <row r="176" spans="2:22" ht="16" x14ac:dyDescent="0.2">
      <c r="B176" s="205" t="s">
        <v>551</v>
      </c>
      <c r="C176" s="252">
        <v>0</v>
      </c>
      <c r="E176" s="252">
        <v>-6442.5099571670216</v>
      </c>
      <c r="G176" s="252">
        <f t="shared" si="10"/>
        <v>-6442.5099571670216</v>
      </c>
      <c r="I176" s="252">
        <v>0</v>
      </c>
      <c r="K176" s="299">
        <f t="shared" si="11"/>
        <v>0</v>
      </c>
    </row>
    <row r="177" spans="2:18" x14ac:dyDescent="0.2">
      <c r="B177" s="204" t="s">
        <v>517</v>
      </c>
      <c r="C177" s="252">
        <v>0</v>
      </c>
      <c r="E177" s="252">
        <v>-2880.21138188847</v>
      </c>
      <c r="G177" s="252">
        <f t="shared" si="10"/>
        <v>0</v>
      </c>
      <c r="I177" s="252">
        <v>-2880.21138188847</v>
      </c>
      <c r="K177" s="299">
        <f t="shared" si="11"/>
        <v>0</v>
      </c>
    </row>
    <row r="178" spans="2:18" ht="16" x14ac:dyDescent="0.2">
      <c r="B178" s="205" t="s">
        <v>520</v>
      </c>
      <c r="C178" s="252">
        <v>0</v>
      </c>
      <c r="E178" s="252">
        <v>-12112.03618380849</v>
      </c>
      <c r="G178" s="252">
        <f t="shared" si="10"/>
        <v>-12112.03618380849</v>
      </c>
      <c r="I178" s="252">
        <v>0</v>
      </c>
      <c r="K178" s="299">
        <f t="shared" si="11"/>
        <v>0</v>
      </c>
    </row>
    <row r="179" spans="2:18" x14ac:dyDescent="0.2">
      <c r="B179" s="204" t="s">
        <v>546</v>
      </c>
      <c r="C179" s="252">
        <v>0</v>
      </c>
      <c r="E179" s="252">
        <v>-2882.6003576350172</v>
      </c>
      <c r="G179" s="252">
        <f t="shared" si="10"/>
        <v>0</v>
      </c>
      <c r="I179" s="252">
        <v>-2882.6003576350172</v>
      </c>
      <c r="K179" s="299">
        <f t="shared" si="11"/>
        <v>0</v>
      </c>
    </row>
    <row r="180" spans="2:18" x14ac:dyDescent="0.2">
      <c r="B180" s="206" t="s">
        <v>538</v>
      </c>
      <c r="C180" s="252">
        <v>0</v>
      </c>
      <c r="D180" s="259" t="s">
        <v>471</v>
      </c>
      <c r="E180" s="252">
        <v>27180.660725538582</v>
      </c>
      <c r="F180" s="171" t="s">
        <v>473</v>
      </c>
      <c r="G180" s="252">
        <f t="shared" si="10"/>
        <v>27180.660725538582</v>
      </c>
      <c r="H180" s="171" t="s">
        <v>473</v>
      </c>
      <c r="I180" s="252">
        <v>0</v>
      </c>
      <c r="J180" s="259" t="s">
        <v>474</v>
      </c>
      <c r="K180" s="299">
        <f t="shared" si="11"/>
        <v>0</v>
      </c>
    </row>
    <row r="181" spans="2:18" x14ac:dyDescent="0.2">
      <c r="B181" s="204" t="s">
        <v>524</v>
      </c>
      <c r="C181" s="252">
        <v>0</v>
      </c>
      <c r="E181" s="252">
        <v>-2880.2113818884714</v>
      </c>
      <c r="G181" s="252">
        <f t="shared" si="10"/>
        <v>0</v>
      </c>
      <c r="I181" s="252">
        <v>-2880.2113818884714</v>
      </c>
      <c r="K181" s="299">
        <f t="shared" si="11"/>
        <v>0</v>
      </c>
    </row>
    <row r="182" spans="2:18" ht="16" x14ac:dyDescent="0.2">
      <c r="B182" s="205" t="s">
        <v>550</v>
      </c>
      <c r="C182" s="252">
        <v>0</v>
      </c>
      <c r="E182" s="252">
        <v>-6442.5099571670216</v>
      </c>
      <c r="G182" s="252">
        <f t="shared" si="10"/>
        <v>-6442.5099571670216</v>
      </c>
      <c r="I182" s="252">
        <v>0</v>
      </c>
      <c r="K182" s="299">
        <f t="shared" si="11"/>
        <v>0</v>
      </c>
    </row>
    <row r="183" spans="2:18" ht="16" x14ac:dyDescent="0.2">
      <c r="B183" s="205" t="s">
        <v>545</v>
      </c>
      <c r="C183" s="252">
        <v>0</v>
      </c>
      <c r="E183" s="252">
        <v>-12112.03618380849</v>
      </c>
      <c r="G183" s="252">
        <f t="shared" si="10"/>
        <v>-12112.03618380849</v>
      </c>
      <c r="I183" s="252">
        <v>0</v>
      </c>
      <c r="K183" s="299">
        <f t="shared" si="11"/>
        <v>0</v>
      </c>
    </row>
    <row r="184" spans="2:18" ht="16" x14ac:dyDescent="0.2">
      <c r="B184" s="205" t="s">
        <v>542</v>
      </c>
      <c r="C184" s="252">
        <v>0</v>
      </c>
      <c r="E184" s="252">
        <v>27180.660725538582</v>
      </c>
      <c r="G184" s="252">
        <f t="shared" si="10"/>
        <v>27180.660725538582</v>
      </c>
      <c r="I184" s="252">
        <v>0</v>
      </c>
      <c r="K184" s="299">
        <f t="shared" si="11"/>
        <v>0</v>
      </c>
    </row>
    <row r="185" spans="2:18" ht="16" x14ac:dyDescent="0.2">
      <c r="B185" s="205" t="s">
        <v>548</v>
      </c>
      <c r="C185" s="252">
        <v>0</v>
      </c>
      <c r="E185" s="252">
        <v>-6350.2001773318216</v>
      </c>
      <c r="G185" s="252">
        <f t="shared" si="10"/>
        <v>-6350.2001773318216</v>
      </c>
      <c r="I185" s="252">
        <v>0</v>
      </c>
      <c r="K185" s="299">
        <f t="shared" si="11"/>
        <v>0</v>
      </c>
    </row>
    <row r="186" spans="2:18" x14ac:dyDescent="0.2">
      <c r="B186" s="206" t="s">
        <v>547</v>
      </c>
      <c r="C186" s="252">
        <v>0</v>
      </c>
      <c r="E186" s="252">
        <v>-14287.000845881314</v>
      </c>
      <c r="G186" s="252">
        <f t="shared" si="10"/>
        <v>0</v>
      </c>
      <c r="I186" s="252">
        <v>-14287.000845881314</v>
      </c>
      <c r="K186" s="299">
        <f t="shared" si="11"/>
        <v>0</v>
      </c>
    </row>
    <row r="187" spans="2:18" x14ac:dyDescent="0.2">
      <c r="B187" s="206" t="s">
        <v>532</v>
      </c>
      <c r="C187" s="252">
        <v>0</v>
      </c>
      <c r="E187" s="252">
        <v>-12112.03618380849</v>
      </c>
      <c r="G187" s="252">
        <f t="shared" si="10"/>
        <v>-12112.03618380849</v>
      </c>
      <c r="I187" s="252">
        <v>0</v>
      </c>
      <c r="K187" s="299">
        <f t="shared" si="11"/>
        <v>0</v>
      </c>
      <c r="N187" s="25"/>
      <c r="P187" s="25"/>
      <c r="Q187" s="25"/>
      <c r="R187" s="25"/>
    </row>
    <row r="188" spans="2:18" x14ac:dyDescent="0.2">
      <c r="B188" s="206" t="s">
        <v>566</v>
      </c>
      <c r="C188" s="252">
        <v>0</v>
      </c>
      <c r="E188" s="252">
        <v>27180.660725538582</v>
      </c>
      <c r="G188" s="252">
        <f t="shared" si="10"/>
        <v>27180.660725538582</v>
      </c>
      <c r="I188" s="252">
        <v>0</v>
      </c>
      <c r="K188" s="299">
        <f t="shared" si="11"/>
        <v>0</v>
      </c>
      <c r="N188" s="25"/>
      <c r="P188" s="25"/>
      <c r="Q188" s="25"/>
      <c r="R188" s="25"/>
    </row>
    <row r="189" spans="2:18" x14ac:dyDescent="0.2">
      <c r="B189" s="206" t="s">
        <v>533</v>
      </c>
      <c r="C189" s="252">
        <v>0</v>
      </c>
      <c r="E189" s="252">
        <v>-11321.85158370395</v>
      </c>
      <c r="G189" s="252">
        <f t="shared" si="10"/>
        <v>-11321.85158370395</v>
      </c>
      <c r="I189" s="252">
        <v>0</v>
      </c>
      <c r="K189" s="299">
        <f t="shared" si="11"/>
        <v>0</v>
      </c>
      <c r="N189" s="25"/>
      <c r="P189" s="25"/>
      <c r="Q189" s="25"/>
      <c r="R189" s="25"/>
    </row>
    <row r="190" spans="2:18" x14ac:dyDescent="0.2">
      <c r="B190" s="206" t="s">
        <v>535</v>
      </c>
      <c r="C190" s="252">
        <v>0</v>
      </c>
      <c r="E190" s="252">
        <v>-14926.410019749705</v>
      </c>
      <c r="G190" s="252">
        <f t="shared" si="10"/>
        <v>0</v>
      </c>
      <c r="I190" s="252">
        <v>-14926.410019749705</v>
      </c>
      <c r="K190" s="299">
        <f t="shared" si="11"/>
        <v>0</v>
      </c>
      <c r="N190" s="25"/>
      <c r="P190" s="25"/>
      <c r="Q190" s="25"/>
      <c r="R190" s="25"/>
    </row>
    <row r="191" spans="2:18" x14ac:dyDescent="0.2">
      <c r="B191" s="206" t="s">
        <v>534</v>
      </c>
      <c r="C191" s="252">
        <v>0</v>
      </c>
      <c r="E191" s="252">
        <v>-224.75252172010772</v>
      </c>
      <c r="G191" s="252">
        <f t="shared" si="10"/>
        <v>0</v>
      </c>
      <c r="I191" s="252">
        <v>-224.75252172010772</v>
      </c>
      <c r="K191" s="299">
        <f t="shared" si="11"/>
        <v>0</v>
      </c>
      <c r="N191" s="25"/>
      <c r="P191" s="25"/>
      <c r="Q191" s="25"/>
      <c r="R191" s="25"/>
    </row>
    <row r="192" spans="2:18" x14ac:dyDescent="0.2">
      <c r="B192" s="206" t="s">
        <v>632</v>
      </c>
      <c r="C192" s="252">
        <v>0</v>
      </c>
      <c r="E192" s="252">
        <v>0</v>
      </c>
      <c r="G192" s="252">
        <f t="shared" si="10"/>
        <v>0</v>
      </c>
      <c r="I192" s="252">
        <v>0</v>
      </c>
      <c r="K192" s="299">
        <f t="shared" si="11"/>
        <v>0</v>
      </c>
    </row>
    <row r="193" spans="2:19" ht="16" x14ac:dyDescent="0.2">
      <c r="B193" s="253" t="s">
        <v>530</v>
      </c>
      <c r="C193" s="252">
        <v>0</v>
      </c>
      <c r="E193" s="252">
        <v>-265.33787327335835</v>
      </c>
      <c r="G193" s="252">
        <f t="shared" si="10"/>
        <v>-265.33787327335835</v>
      </c>
      <c r="I193" s="252">
        <v>0</v>
      </c>
      <c r="K193" s="299">
        <f t="shared" si="11"/>
        <v>0</v>
      </c>
    </row>
    <row r="194" spans="2:19" x14ac:dyDescent="0.2">
      <c r="B194" s="206" t="s">
        <v>529</v>
      </c>
      <c r="C194" s="252">
        <v>0</v>
      </c>
      <c r="E194" s="252">
        <v>-14896.000495082701</v>
      </c>
      <c r="G194" s="252">
        <f t="shared" si="10"/>
        <v>0</v>
      </c>
      <c r="I194" s="252">
        <v>-14896.000495082701</v>
      </c>
      <c r="K194" s="299">
        <f t="shared" si="11"/>
        <v>0</v>
      </c>
      <c r="L194" s="25"/>
    </row>
    <row r="195" spans="2:19" x14ac:dyDescent="0.2">
      <c r="B195" s="204" t="s">
        <v>531</v>
      </c>
      <c r="C195" s="252">
        <v>0</v>
      </c>
      <c r="E195" s="252">
        <v>-3164.4942013988057</v>
      </c>
      <c r="G195" s="252">
        <f t="shared" si="10"/>
        <v>0</v>
      </c>
      <c r="I195" s="252">
        <v>-3164.4942013988057</v>
      </c>
      <c r="K195" s="299">
        <f t="shared" si="11"/>
        <v>0</v>
      </c>
    </row>
    <row r="196" spans="2:19" x14ac:dyDescent="0.2">
      <c r="B196" s="206" t="s">
        <v>673</v>
      </c>
      <c r="C196" s="252">
        <v>0</v>
      </c>
      <c r="E196" s="252">
        <v>6.1564271489094446E-3</v>
      </c>
      <c r="G196" s="252">
        <f t="shared" si="10"/>
        <v>6.1564271489094446E-3</v>
      </c>
      <c r="I196" s="252">
        <v>0</v>
      </c>
      <c r="K196" s="299">
        <f t="shared" si="11"/>
        <v>0</v>
      </c>
    </row>
    <row r="197" spans="2:19" x14ac:dyDescent="0.2">
      <c r="B197" s="206" t="s">
        <v>676</v>
      </c>
      <c r="C197" s="252">
        <v>0</v>
      </c>
      <c r="E197" s="252">
        <v>6.1564271489094446E-3</v>
      </c>
      <c r="G197" s="252">
        <f t="shared" si="10"/>
        <v>1.2312854297818889E-2</v>
      </c>
      <c r="I197" s="252">
        <v>6.1564271489094446E-3</v>
      </c>
      <c r="K197" s="299" t="s">
        <v>677</v>
      </c>
    </row>
    <row r="198" spans="2:19" x14ac:dyDescent="0.2">
      <c r="B198" s="206" t="s">
        <v>554</v>
      </c>
      <c r="C198" s="252">
        <v>0</v>
      </c>
      <c r="E198" s="252">
        <v>-5807.700525901595</v>
      </c>
      <c r="G198" s="252">
        <f t="shared" si="10"/>
        <v>-5807.700525901595</v>
      </c>
      <c r="I198" s="252">
        <v>0</v>
      </c>
      <c r="K198" s="299">
        <f t="shared" si="11"/>
        <v>0</v>
      </c>
      <c r="P198" s="245"/>
      <c r="Q198" s="245"/>
      <c r="R198" s="245"/>
      <c r="S198" s="245"/>
    </row>
    <row r="199" spans="2:19" x14ac:dyDescent="0.2">
      <c r="B199" s="206" t="s">
        <v>555</v>
      </c>
      <c r="C199" s="252">
        <v>0</v>
      </c>
      <c r="E199" s="252">
        <v>0</v>
      </c>
      <c r="G199" s="252">
        <f t="shared" si="10"/>
        <v>0</v>
      </c>
      <c r="I199" s="252">
        <v>0</v>
      </c>
      <c r="K199" s="299">
        <f t="shared" si="11"/>
        <v>0</v>
      </c>
    </row>
    <row r="200" spans="2:19" x14ac:dyDescent="0.2">
      <c r="B200" s="206" t="s">
        <v>556</v>
      </c>
      <c r="C200" s="252">
        <v>0</v>
      </c>
      <c r="E200" s="252">
        <v>-3928.1295638135666</v>
      </c>
      <c r="G200" s="252">
        <f t="shared" si="10"/>
        <v>0</v>
      </c>
      <c r="I200" s="252">
        <v>-3928.1295638135666</v>
      </c>
      <c r="K200" s="299">
        <f t="shared" si="11"/>
        <v>0</v>
      </c>
    </row>
    <row r="201" spans="2:19" x14ac:dyDescent="0.2">
      <c r="B201" s="206" t="s">
        <v>567</v>
      </c>
      <c r="C201" s="252">
        <v>0</v>
      </c>
      <c r="E201" s="252">
        <v>-771.42466062394067</v>
      </c>
      <c r="G201" s="252">
        <f t="shared" si="10"/>
        <v>0</v>
      </c>
      <c r="I201" s="252">
        <v>-771.42466062394067</v>
      </c>
      <c r="K201" s="299">
        <f t="shared" si="11"/>
        <v>0</v>
      </c>
    </row>
    <row r="202" spans="2:19" ht="17" x14ac:dyDescent="0.2">
      <c r="B202" s="206"/>
      <c r="C202" s="3" t="s">
        <v>470</v>
      </c>
      <c r="E202" s="3" t="s">
        <v>472</v>
      </c>
      <c r="G202" s="25" t="s">
        <v>469</v>
      </c>
      <c r="I202" s="25" t="s">
        <v>39</v>
      </c>
      <c r="K202" s="25">
        <f>SUM(K167:K201)</f>
        <v>0</v>
      </c>
    </row>
    <row r="203" spans="2:19" x14ac:dyDescent="0.2">
      <c r="B203" s="206"/>
      <c r="G203" s="25"/>
      <c r="I203" s="25"/>
    </row>
    <row r="204" spans="2:19" x14ac:dyDescent="0.2">
      <c r="B204" s="206"/>
    </row>
    <row r="205" spans="2:19" x14ac:dyDescent="0.2">
      <c r="D205" s="245"/>
      <c r="E205" s="245"/>
      <c r="L205" s="245"/>
      <c r="M205" s="245"/>
    </row>
    <row r="208" spans="2:19" x14ac:dyDescent="0.2">
      <c r="D208" s="245"/>
      <c r="E208" s="245"/>
    </row>
    <row r="209" spans="2:15" x14ac:dyDescent="0.2">
      <c r="B209" s="306" t="s">
        <v>415</v>
      </c>
      <c r="C209" s="307">
        <v>0</v>
      </c>
      <c r="N209" s="245"/>
      <c r="O209" s="245"/>
    </row>
    <row r="210" spans="2:15" x14ac:dyDescent="0.2">
      <c r="B210" s="306" t="s">
        <v>416</v>
      </c>
      <c r="C210" s="307">
        <v>0</v>
      </c>
    </row>
    <row r="211" spans="2:15" x14ac:dyDescent="0.2">
      <c r="B211" s="306" t="s">
        <v>417</v>
      </c>
      <c r="C211" s="307">
        <f>'Ore-&gt;PI'!AA195</f>
        <v>77449.427901236573</v>
      </c>
    </row>
    <row r="212" spans="2:15" x14ac:dyDescent="0.2">
      <c r="B212" s="306" t="s">
        <v>565</v>
      </c>
      <c r="C212" s="307">
        <f>'Ore-&gt;PI'!AS28</f>
        <v>609792.2517593482</v>
      </c>
      <c r="F212" s="245"/>
      <c r="G212" s="245"/>
      <c r="I212" s="245"/>
      <c r="J212" s="245"/>
      <c r="K212" s="245"/>
    </row>
    <row r="213" spans="2:15" x14ac:dyDescent="0.2">
      <c r="B213" s="306" t="s">
        <v>544</v>
      </c>
      <c r="C213" s="307">
        <f>'Ore-&gt;PI'!AS113</f>
        <v>2824.8856477449194</v>
      </c>
    </row>
    <row r="214" spans="2:15" x14ac:dyDescent="0.2">
      <c r="B214" s="306" t="s">
        <v>543</v>
      </c>
      <c r="C214" s="307">
        <f>'Ore-&gt;PI'!AS190</f>
        <v>160253.43323591491</v>
      </c>
    </row>
    <row r="215" spans="2:15" x14ac:dyDescent="0.2">
      <c r="B215" s="306" t="s">
        <v>443</v>
      </c>
      <c r="C215" s="307">
        <f>'Ore-&gt;PI'!BL35</f>
        <v>12479.249680000003</v>
      </c>
    </row>
    <row r="216" spans="2:15" x14ac:dyDescent="0.2">
      <c r="B216" s="306" t="s">
        <v>440</v>
      </c>
      <c r="C216" s="307">
        <f>'Ore-&gt;PI'!BK116</f>
        <v>34.678095164114971</v>
      </c>
    </row>
    <row r="217" spans="2:15" x14ac:dyDescent="0.2">
      <c r="B217" s="306" t="s">
        <v>458</v>
      </c>
      <c r="C217" s="307">
        <f>'Ore-&gt;PI'!BK195</f>
        <v>28604.157765782104</v>
      </c>
    </row>
    <row r="218" spans="2:15" x14ac:dyDescent="0.2">
      <c r="B218" s="306" t="s">
        <v>441</v>
      </c>
      <c r="C218" s="307">
        <v>0</v>
      </c>
    </row>
    <row r="219" spans="2:15" x14ac:dyDescent="0.2">
      <c r="B219" s="306" t="s">
        <v>436</v>
      </c>
      <c r="C219" s="307">
        <v>0</v>
      </c>
    </row>
    <row r="220" spans="2:15" x14ac:dyDescent="0.2">
      <c r="B220" s="204" t="s">
        <v>672</v>
      </c>
      <c r="C220" s="307">
        <f>'Ore-&gt;PI'!DB229</f>
        <v>50099.526545856235</v>
      </c>
    </row>
    <row r="221" spans="2:15" x14ac:dyDescent="0.2">
      <c r="B221" s="204" t="s">
        <v>675</v>
      </c>
      <c r="C221" s="307">
        <v>0</v>
      </c>
    </row>
    <row r="222" spans="2:15" x14ac:dyDescent="0.2">
      <c r="B222" s="204" t="s">
        <v>81</v>
      </c>
      <c r="C222" s="307">
        <v>0</v>
      </c>
    </row>
    <row r="223" spans="2:15" x14ac:dyDescent="0.2">
      <c r="B223" s="204" t="s">
        <v>427</v>
      </c>
      <c r="C223" s="309">
        <f>'Ore-&gt;PI'!ES117</f>
        <v>317844.87395625591</v>
      </c>
    </row>
    <row r="224" spans="2:15" x14ac:dyDescent="0.2">
      <c r="B224" s="206"/>
      <c r="C224" s="308" t="s">
        <v>265</v>
      </c>
    </row>
    <row r="229" spans="8:11" x14ac:dyDescent="0.2">
      <c r="H229" s="171"/>
      <c r="I229" s="171"/>
      <c r="J229" s="171"/>
      <c r="K229" s="171"/>
    </row>
  </sheetData>
  <mergeCells count="12">
    <mergeCell ref="AQ37:BE37"/>
    <mergeCell ref="BK37:BY37"/>
    <mergeCell ref="AQ76:BE76"/>
    <mergeCell ref="AQ116:BE116"/>
    <mergeCell ref="BK116:BL116"/>
    <mergeCell ref="C160:AK160"/>
    <mergeCell ref="C164:K164"/>
    <mergeCell ref="C118:D118"/>
    <mergeCell ref="AQ118:BE118"/>
    <mergeCell ref="C135:AK135"/>
    <mergeCell ref="C137:AK137"/>
    <mergeCell ref="C158:AK158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0098A-FE70-C14D-930B-DF2EDED58DAC}">
  <dimension ref="B41:AI92"/>
  <sheetViews>
    <sheetView topLeftCell="A54" zoomScale="137" workbookViewId="0">
      <selection activeCell="K83" sqref="K83"/>
    </sheetView>
  </sheetViews>
  <sheetFormatPr baseColWidth="10" defaultRowHeight="15" x14ac:dyDescent="0.2"/>
  <cols>
    <col min="2" max="2" width="17" bestFit="1" customWidth="1"/>
    <col min="28" max="28" width="16" customWidth="1"/>
  </cols>
  <sheetData>
    <row r="41" spans="10:31" x14ac:dyDescent="0.2">
      <c r="K41" s="207"/>
      <c r="L41" s="207"/>
      <c r="M41" s="207"/>
      <c r="N41" s="207"/>
      <c r="O41" s="207"/>
      <c r="P41" s="207"/>
      <c r="Q41" s="207"/>
      <c r="R41" s="207"/>
      <c r="S41" s="207"/>
      <c r="T41" s="207"/>
      <c r="U41" s="207"/>
      <c r="V41" s="207"/>
      <c r="W41" s="207"/>
      <c r="AC41" s="207"/>
      <c r="AD41" s="207"/>
      <c r="AE41" s="207"/>
    </row>
    <row r="42" spans="10:31" x14ac:dyDescent="0.2">
      <c r="J42" s="204"/>
      <c r="K42" s="223"/>
      <c r="L42" s="223"/>
      <c r="M42" s="223"/>
      <c r="N42" s="223"/>
      <c r="O42" s="223"/>
      <c r="P42" s="223"/>
      <c r="Q42" s="223"/>
      <c r="R42" s="223"/>
      <c r="S42" s="223"/>
      <c r="T42" s="223"/>
      <c r="U42" s="223"/>
      <c r="V42" s="230"/>
      <c r="W42" s="223"/>
      <c r="AB42" s="204"/>
      <c r="AC42" s="208"/>
      <c r="AD42" s="208"/>
      <c r="AE42" s="208"/>
    </row>
    <row r="43" spans="10:31" x14ac:dyDescent="0.2">
      <c r="J43" s="204"/>
      <c r="K43" s="223"/>
      <c r="L43" s="223"/>
      <c r="M43" s="223"/>
      <c r="N43" s="223"/>
      <c r="O43" s="223"/>
      <c r="P43" s="223"/>
      <c r="Q43" s="223"/>
      <c r="R43" s="223"/>
      <c r="S43" s="223"/>
      <c r="T43" s="223"/>
      <c r="U43" s="223"/>
      <c r="V43" s="230"/>
      <c r="W43" s="223"/>
      <c r="AB43" s="204"/>
      <c r="AC43" s="208"/>
      <c r="AD43" s="208"/>
      <c r="AE43" s="208"/>
    </row>
    <row r="44" spans="10:31" x14ac:dyDescent="0.2">
      <c r="J44" s="204"/>
      <c r="K44" s="223"/>
      <c r="L44" s="223"/>
      <c r="M44" s="223"/>
      <c r="N44" s="223"/>
      <c r="O44" s="223"/>
      <c r="P44" s="223"/>
      <c r="Q44" s="223"/>
      <c r="R44" s="223"/>
      <c r="S44" s="223"/>
      <c r="T44" s="223"/>
      <c r="U44" s="223"/>
      <c r="V44" s="230"/>
      <c r="W44" s="223"/>
      <c r="AB44" s="204"/>
      <c r="AC44" s="208"/>
      <c r="AD44" s="208"/>
      <c r="AE44" s="208"/>
    </row>
    <row r="45" spans="10:31" x14ac:dyDescent="0.2">
      <c r="J45" s="204"/>
      <c r="K45" s="223"/>
      <c r="L45" s="223"/>
      <c r="M45" s="223"/>
      <c r="N45" s="223"/>
      <c r="O45" s="223"/>
      <c r="P45" s="223"/>
      <c r="Q45" s="223"/>
      <c r="R45" s="223"/>
      <c r="S45" s="223"/>
      <c r="T45" s="223"/>
      <c r="U45" s="223"/>
      <c r="V45" s="223"/>
      <c r="W45" s="223"/>
      <c r="AB45" s="204"/>
      <c r="AC45" s="208"/>
      <c r="AD45" s="208"/>
      <c r="AE45" s="208"/>
    </row>
    <row r="46" spans="10:31" x14ac:dyDescent="0.2">
      <c r="J46" s="204"/>
      <c r="K46" s="223"/>
      <c r="L46" s="223"/>
      <c r="M46" s="223"/>
      <c r="N46" s="223"/>
      <c r="O46" s="223"/>
      <c r="P46" s="223"/>
      <c r="Q46" s="223"/>
      <c r="R46" s="223"/>
      <c r="S46" s="223"/>
      <c r="T46" s="223"/>
      <c r="U46" s="223"/>
      <c r="V46" s="223"/>
      <c r="W46" s="223"/>
      <c r="AB46" s="204"/>
      <c r="AC46" s="208"/>
      <c r="AD46" s="208"/>
      <c r="AE46" s="208"/>
    </row>
    <row r="47" spans="10:31" x14ac:dyDescent="0.2">
      <c r="J47" s="204"/>
      <c r="K47" s="223"/>
      <c r="L47" s="223"/>
      <c r="M47" s="223"/>
      <c r="N47" s="223"/>
      <c r="O47" s="223"/>
      <c r="P47" s="223"/>
      <c r="Q47" s="223"/>
      <c r="R47" s="223"/>
      <c r="S47" s="223"/>
      <c r="T47" s="223"/>
      <c r="U47" s="223"/>
      <c r="V47" s="223"/>
      <c r="W47" s="223"/>
      <c r="AB47" s="204"/>
      <c r="AC47" s="208"/>
      <c r="AD47" s="229"/>
      <c r="AE47" s="208"/>
    </row>
    <row r="48" spans="10:31" x14ac:dyDescent="0.2">
      <c r="J48" s="204"/>
      <c r="K48" s="223"/>
      <c r="L48" s="223"/>
      <c r="M48" s="223"/>
      <c r="N48" s="223"/>
      <c r="O48" s="223"/>
      <c r="P48" s="230"/>
      <c r="Q48" s="223"/>
      <c r="R48" s="223"/>
      <c r="S48" s="223"/>
      <c r="T48" s="223"/>
      <c r="U48" s="223"/>
      <c r="V48" s="231"/>
      <c r="W48" s="223"/>
      <c r="AB48" s="204"/>
      <c r="AC48" s="208"/>
      <c r="AD48" s="208"/>
      <c r="AE48" s="208"/>
    </row>
    <row r="49" spans="2:35" x14ac:dyDescent="0.2">
      <c r="J49" s="204"/>
      <c r="K49" s="223"/>
      <c r="L49" s="223"/>
      <c r="M49" s="223"/>
      <c r="N49" s="223"/>
      <c r="O49" s="223"/>
      <c r="P49" s="230"/>
      <c r="Q49" s="223"/>
      <c r="R49" s="223"/>
      <c r="S49" s="223"/>
      <c r="T49" s="223"/>
      <c r="U49" s="223"/>
      <c r="V49" s="223"/>
      <c r="W49" s="223"/>
      <c r="AB49" s="204"/>
      <c r="AC49" s="208"/>
      <c r="AD49" s="208"/>
      <c r="AE49" s="208"/>
    </row>
    <row r="50" spans="2:35" x14ac:dyDescent="0.2">
      <c r="J50" s="204"/>
      <c r="K50" s="223"/>
      <c r="L50" s="223"/>
      <c r="M50" s="223"/>
      <c r="N50" s="223"/>
      <c r="O50" s="223"/>
      <c r="P50" s="230"/>
      <c r="Q50" s="223"/>
      <c r="R50" s="223"/>
      <c r="S50" s="223"/>
      <c r="T50" s="223"/>
      <c r="U50" s="223"/>
      <c r="V50" s="223"/>
      <c r="W50" s="223"/>
      <c r="AC50" s="394" t="s">
        <v>420</v>
      </c>
      <c r="AD50" s="394"/>
      <c r="AE50" s="394"/>
    </row>
    <row r="51" spans="2:35" x14ac:dyDescent="0.2">
      <c r="K51" s="223"/>
      <c r="L51" s="223"/>
      <c r="M51" s="223"/>
      <c r="N51" s="223"/>
      <c r="O51" s="223"/>
      <c r="P51" s="223"/>
      <c r="Q51" s="223"/>
      <c r="R51" s="223"/>
      <c r="S51" s="223"/>
      <c r="T51" s="223"/>
      <c r="U51" s="223"/>
      <c r="V51" s="223"/>
      <c r="W51" s="223"/>
    </row>
    <row r="52" spans="2:35" x14ac:dyDescent="0.2">
      <c r="K52" s="223"/>
      <c r="L52" s="223"/>
      <c r="M52" s="223"/>
      <c r="N52" s="223"/>
      <c r="O52" s="223"/>
      <c r="P52" s="223"/>
      <c r="Q52" s="223"/>
      <c r="R52" s="223"/>
      <c r="S52" s="223"/>
      <c r="T52" s="223"/>
      <c r="U52" s="223"/>
      <c r="V52" s="223"/>
      <c r="W52" s="223"/>
    </row>
    <row r="53" spans="2:35" x14ac:dyDescent="0.2">
      <c r="K53" s="394" t="s">
        <v>418</v>
      </c>
      <c r="L53" s="394"/>
      <c r="M53" s="394"/>
      <c r="N53" s="394"/>
      <c r="O53" s="394"/>
      <c r="P53" s="394"/>
      <c r="Q53" s="394"/>
      <c r="R53" s="394"/>
      <c r="S53" s="394"/>
      <c r="T53" s="394"/>
      <c r="U53" s="394"/>
      <c r="V53" s="394"/>
      <c r="W53" s="394"/>
      <c r="AD53" s="25"/>
      <c r="AE53" s="25"/>
      <c r="AF53" s="25"/>
      <c r="AG53" s="25"/>
      <c r="AH53" s="25"/>
      <c r="AI53" s="25"/>
    </row>
    <row r="58" spans="2:35" x14ac:dyDescent="0.2">
      <c r="C58" s="395"/>
      <c r="D58" s="395"/>
      <c r="E58" s="234"/>
      <c r="F58" s="234"/>
      <c r="G58" s="234"/>
      <c r="H58" s="234"/>
    </row>
    <row r="59" spans="2:35" x14ac:dyDescent="0.2">
      <c r="C59" s="209"/>
      <c r="D59" s="209"/>
      <c r="E59" s="210"/>
      <c r="F59" s="210"/>
      <c r="G59" s="210"/>
      <c r="H59" s="210"/>
      <c r="I59" s="232"/>
      <c r="J59" s="232"/>
    </row>
    <row r="60" spans="2:35" x14ac:dyDescent="0.2">
      <c r="B60" s="3"/>
      <c r="C60" s="223"/>
      <c r="D60" s="223"/>
      <c r="E60" s="223"/>
      <c r="F60" s="223"/>
      <c r="G60" s="223"/>
      <c r="H60" s="223"/>
      <c r="I60" s="223"/>
      <c r="J60" s="223"/>
    </row>
    <row r="61" spans="2:35" x14ac:dyDescent="0.2">
      <c r="B61" s="3"/>
      <c r="C61" s="223"/>
      <c r="D61" s="223"/>
      <c r="E61" s="223"/>
      <c r="F61" s="223"/>
      <c r="G61" s="223"/>
      <c r="H61" s="223"/>
      <c r="I61" s="223"/>
      <c r="J61" s="223"/>
    </row>
    <row r="62" spans="2:35" x14ac:dyDescent="0.2">
      <c r="B62" s="3"/>
      <c r="C62" s="223"/>
      <c r="D62" s="223"/>
      <c r="E62" s="223"/>
      <c r="F62" s="223"/>
      <c r="G62" s="223"/>
      <c r="H62" s="223"/>
      <c r="I62" s="223"/>
      <c r="J62" s="223"/>
    </row>
    <row r="63" spans="2:35" x14ac:dyDescent="0.2">
      <c r="B63" s="3"/>
      <c r="C63" s="223"/>
      <c r="D63" s="223"/>
      <c r="E63" s="223"/>
      <c r="F63" s="223"/>
      <c r="G63" s="223"/>
      <c r="H63" s="223"/>
      <c r="I63" s="223"/>
      <c r="J63" s="223"/>
    </row>
    <row r="64" spans="2:35" x14ac:dyDescent="0.2">
      <c r="B64" s="3"/>
      <c r="C64" s="223"/>
      <c r="D64" s="223"/>
      <c r="E64" s="223"/>
      <c r="F64" s="223"/>
      <c r="G64" s="223"/>
      <c r="H64" s="223"/>
      <c r="I64" s="223"/>
      <c r="J64" s="223"/>
    </row>
    <row r="65" spans="2:10" x14ac:dyDescent="0.2">
      <c r="B65" s="3"/>
      <c r="C65" s="223"/>
      <c r="D65" s="223"/>
      <c r="E65" s="223"/>
      <c r="F65" s="223"/>
      <c r="G65" s="223"/>
      <c r="H65" s="223"/>
      <c r="I65" s="223"/>
      <c r="J65" s="223"/>
    </row>
    <row r="66" spans="2:10" x14ac:dyDescent="0.2">
      <c r="B66" s="3"/>
      <c r="C66" s="223"/>
      <c r="D66" s="223"/>
      <c r="E66" s="223"/>
      <c r="F66" s="223"/>
      <c r="G66" s="223"/>
      <c r="H66" s="223"/>
      <c r="I66" s="223"/>
      <c r="J66" s="223"/>
    </row>
    <row r="67" spans="2:10" x14ac:dyDescent="0.2">
      <c r="B67" s="3"/>
      <c r="C67" s="223"/>
      <c r="D67" s="223"/>
      <c r="E67" s="223"/>
      <c r="F67" s="223"/>
      <c r="G67" s="223"/>
      <c r="H67" s="231"/>
      <c r="I67" s="223"/>
      <c r="J67" s="223"/>
    </row>
    <row r="68" spans="2:10" x14ac:dyDescent="0.2">
      <c r="B68" s="3"/>
      <c r="C68" s="223"/>
      <c r="D68" s="223"/>
      <c r="E68" s="223"/>
      <c r="F68" s="223"/>
      <c r="G68" s="223"/>
      <c r="H68" s="223"/>
      <c r="I68" s="223"/>
      <c r="J68" s="223"/>
    </row>
    <row r="69" spans="2:10" x14ac:dyDescent="0.2">
      <c r="B69" s="3"/>
      <c r="C69" s="223"/>
      <c r="D69" s="223"/>
      <c r="E69" s="223"/>
      <c r="F69" s="223"/>
      <c r="G69" s="223"/>
      <c r="H69" s="223"/>
      <c r="I69" s="223"/>
      <c r="J69" s="223"/>
    </row>
    <row r="70" spans="2:10" x14ac:dyDescent="0.2">
      <c r="B70" s="3"/>
      <c r="C70" s="223"/>
      <c r="D70" s="223"/>
      <c r="E70" s="223"/>
      <c r="F70" s="223"/>
      <c r="G70" s="223"/>
      <c r="H70" s="223"/>
      <c r="I70" s="223"/>
      <c r="J70" s="223"/>
    </row>
    <row r="71" spans="2:10" x14ac:dyDescent="0.2">
      <c r="B71" s="3"/>
      <c r="C71" s="223"/>
      <c r="D71" s="223"/>
      <c r="E71" s="223"/>
      <c r="F71" s="223"/>
      <c r="G71" s="223"/>
      <c r="H71" s="231"/>
      <c r="I71" s="223"/>
      <c r="J71" s="223"/>
    </row>
    <row r="72" spans="2:10" x14ac:dyDescent="0.2">
      <c r="B72" s="3"/>
      <c r="C72" s="223"/>
      <c r="D72" s="223"/>
      <c r="E72" s="223"/>
      <c r="F72" s="223"/>
      <c r="G72" s="223"/>
      <c r="H72" s="223"/>
      <c r="I72" s="223"/>
      <c r="J72" s="223"/>
    </row>
    <row r="73" spans="2:10" x14ac:dyDescent="0.2">
      <c r="C73" s="394" t="s">
        <v>419</v>
      </c>
      <c r="D73" s="394"/>
      <c r="E73" s="394"/>
      <c r="F73" s="394"/>
      <c r="G73" s="394"/>
      <c r="H73" s="394"/>
      <c r="I73" s="394"/>
      <c r="J73" s="394"/>
    </row>
    <row r="86" spans="2:7" x14ac:dyDescent="0.2">
      <c r="C86" s="207"/>
      <c r="D86" s="207"/>
      <c r="E86" s="207"/>
      <c r="F86" s="207"/>
      <c r="G86" s="207"/>
    </row>
    <row r="87" spans="2:7" x14ac:dyDescent="0.2">
      <c r="B87" s="204" t="s">
        <v>278</v>
      </c>
      <c r="C87" s="208"/>
      <c r="D87" s="208"/>
      <c r="E87" s="208"/>
      <c r="F87" s="208"/>
      <c r="G87" s="208"/>
    </row>
    <row r="88" spans="2:7" x14ac:dyDescent="0.2">
      <c r="B88" s="204" t="s">
        <v>434</v>
      </c>
      <c r="C88" s="208"/>
      <c r="D88" s="208"/>
      <c r="E88" s="208"/>
      <c r="F88" s="208"/>
      <c r="G88" s="208"/>
    </row>
    <row r="89" spans="2:7" x14ac:dyDescent="0.2">
      <c r="B89" s="204" t="s">
        <v>435</v>
      </c>
      <c r="C89" s="208"/>
      <c r="D89" s="208"/>
      <c r="E89" s="208"/>
      <c r="F89" s="208"/>
      <c r="G89" s="208"/>
    </row>
    <row r="90" spans="2:7" x14ac:dyDescent="0.2">
      <c r="C90" s="208"/>
      <c r="D90" s="208"/>
      <c r="E90" s="208"/>
      <c r="F90" s="229"/>
      <c r="G90" s="208"/>
    </row>
    <row r="91" spans="2:7" x14ac:dyDescent="0.2">
      <c r="C91" s="208"/>
      <c r="D91" s="208"/>
      <c r="E91" s="208"/>
      <c r="F91" s="208"/>
      <c r="G91" s="208"/>
    </row>
    <row r="92" spans="2:7" x14ac:dyDescent="0.2">
      <c r="C92" s="394" t="s">
        <v>57</v>
      </c>
      <c r="D92" s="394"/>
      <c r="E92" s="394"/>
      <c r="F92" s="394"/>
      <c r="G92" s="394"/>
    </row>
  </sheetData>
  <mergeCells count="5">
    <mergeCell ref="AC50:AE50"/>
    <mergeCell ref="K53:W53"/>
    <mergeCell ref="C58:D58"/>
    <mergeCell ref="C73:J73"/>
    <mergeCell ref="C92:G9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9D22B-4910-484C-BB61-BADEEADCD9AD}">
  <sheetPr>
    <pageSetUpPr fitToPage="1"/>
  </sheetPr>
  <dimension ref="B2:V38"/>
  <sheetViews>
    <sheetView zoomScale="160" workbookViewId="0">
      <selection activeCell="M22" sqref="M22"/>
    </sheetView>
  </sheetViews>
  <sheetFormatPr baseColWidth="10" defaultColWidth="8.83203125" defaultRowHeight="15" x14ac:dyDescent="0.2"/>
  <cols>
    <col min="3" max="4" width="8.83203125" customWidth="1"/>
    <col min="7" max="7" width="11.5" bestFit="1" customWidth="1"/>
  </cols>
  <sheetData>
    <row r="2" spans="2:22" x14ac:dyDescent="0.2">
      <c r="B2" s="3"/>
      <c r="C2" s="3"/>
      <c r="D2" s="313" t="s">
        <v>317</v>
      </c>
      <c r="E2" s="313"/>
      <c r="F2" s="313"/>
      <c r="G2" s="313"/>
      <c r="V2" s="166"/>
    </row>
    <row r="3" spans="2:22" x14ac:dyDescent="0.2">
      <c r="B3" s="3"/>
      <c r="C3" s="3"/>
      <c r="D3" s="419" t="s">
        <v>82</v>
      </c>
      <c r="E3" s="419"/>
      <c r="F3" s="419"/>
      <c r="G3" s="419"/>
      <c r="O3" s="166"/>
      <c r="P3" s="166"/>
      <c r="Q3" s="166"/>
      <c r="R3" s="166"/>
      <c r="S3" s="166"/>
      <c r="T3" s="166"/>
      <c r="U3" s="166"/>
      <c r="V3" s="166"/>
    </row>
    <row r="4" spans="2:22" x14ac:dyDescent="0.2">
      <c r="B4" s="399" t="s">
        <v>4</v>
      </c>
      <c r="C4" s="3"/>
      <c r="D4" s="196" t="s">
        <v>364</v>
      </c>
      <c r="E4" s="196" t="s">
        <v>189</v>
      </c>
      <c r="F4" s="196" t="s">
        <v>176</v>
      </c>
      <c r="G4" s="196" t="s">
        <v>350</v>
      </c>
      <c r="I4" s="3"/>
      <c r="K4" s="3"/>
      <c r="L4" s="3"/>
      <c r="O4" s="166"/>
      <c r="P4" s="166"/>
      <c r="Q4" s="166"/>
      <c r="R4" s="396" t="s">
        <v>355</v>
      </c>
      <c r="S4" s="396"/>
      <c r="T4" s="396"/>
      <c r="U4" s="396"/>
      <c r="V4" s="166"/>
    </row>
    <row r="5" spans="2:22" ht="14.5" customHeight="1" x14ac:dyDescent="0.2">
      <c r="B5" s="399"/>
      <c r="C5" s="147" t="s">
        <v>341</v>
      </c>
      <c r="D5" s="3">
        <f>Bejan_MEROI_Iron</f>
        <v>0.71020207646031153</v>
      </c>
      <c r="E5" s="3">
        <f>Bejan_IronExtraction</f>
        <v>0</v>
      </c>
      <c r="F5" s="3">
        <f>Bejan_IronHauling</f>
        <v>0</v>
      </c>
      <c r="G5" s="3">
        <f>Bejan_IronBeneficiation</f>
        <v>0.10204303400670409</v>
      </c>
      <c r="I5" s="3"/>
      <c r="K5" s="3"/>
      <c r="L5" s="3"/>
      <c r="O5" s="166"/>
      <c r="P5" s="166"/>
      <c r="Q5" s="166"/>
      <c r="R5" s="396"/>
      <c r="S5" s="396"/>
      <c r="T5" s="396"/>
      <c r="U5" s="396"/>
      <c r="V5" s="166"/>
    </row>
    <row r="6" spans="2:22" x14ac:dyDescent="0.2">
      <c r="B6" s="399"/>
      <c r="C6" s="149" t="s">
        <v>637</v>
      </c>
      <c r="D6" s="3">
        <f>Student_MEROI_Iron</f>
        <v>1.1602561161065021</v>
      </c>
      <c r="E6" s="3">
        <f>Student_IronExtraction</f>
        <v>0.54834789034775577</v>
      </c>
      <c r="F6" s="3">
        <f>Student_IronHauling</f>
        <v>0.15191900995389168</v>
      </c>
      <c r="G6" s="3">
        <f>Student_IronBeneficiation</f>
        <v>0.9084965360427989</v>
      </c>
      <c r="I6" s="3"/>
      <c r="K6" s="3"/>
      <c r="L6" s="3"/>
      <c r="O6" s="166"/>
      <c r="P6" s="166"/>
      <c r="Q6" s="166"/>
      <c r="R6" s="396"/>
      <c r="S6" s="396"/>
      <c r="T6" s="396"/>
      <c r="U6" s="396"/>
      <c r="V6" s="166"/>
    </row>
    <row r="7" spans="2:22" ht="16" thickBot="1" x14ac:dyDescent="0.25">
      <c r="B7" s="399"/>
      <c r="C7" s="148" t="s">
        <v>406</v>
      </c>
      <c r="D7" s="165">
        <f>Product_MEROI_Iron</f>
        <v>0.97422228752096129</v>
      </c>
      <c r="E7" s="3">
        <f>Product_IronExtraction</f>
        <v>0.4504526211892465</v>
      </c>
      <c r="F7" s="3">
        <f>Product_IronHauling</f>
        <v>0.12756053024900801</v>
      </c>
      <c r="G7" s="3">
        <f>Product_IronBeneficiation</f>
        <v>0.75440225157720575</v>
      </c>
      <c r="I7" s="3"/>
      <c r="K7" s="3"/>
      <c r="L7" s="3"/>
      <c r="O7" s="166"/>
      <c r="P7" s="166"/>
      <c r="Q7" s="166"/>
      <c r="R7" s="397"/>
      <c r="S7" s="397"/>
      <c r="T7" s="397"/>
      <c r="U7" s="397"/>
      <c r="V7" s="166"/>
    </row>
    <row r="8" spans="2:22" x14ac:dyDescent="0.2">
      <c r="C8" s="132" t="s">
        <v>337</v>
      </c>
      <c r="E8" s="17">
        <f>mass_bal_IronExt</f>
        <v>0</v>
      </c>
      <c r="F8" s="17">
        <f>mass_bal_IronHaul</f>
        <v>0</v>
      </c>
      <c r="G8" s="17">
        <f>mass_bal_IronBenef</f>
        <v>0</v>
      </c>
      <c r="H8" s="3"/>
      <c r="I8" s="3"/>
      <c r="L8" s="3"/>
      <c r="M8" s="3"/>
      <c r="O8" s="166"/>
      <c r="P8" s="396" t="s">
        <v>354</v>
      </c>
      <c r="Q8" s="412"/>
      <c r="R8" s="414" t="s">
        <v>341</v>
      </c>
      <c r="S8" s="415"/>
      <c r="T8" s="400" t="s">
        <v>406</v>
      </c>
      <c r="U8" s="401"/>
      <c r="V8" s="166"/>
    </row>
    <row r="9" spans="2:22" x14ac:dyDescent="0.2">
      <c r="E9" s="3"/>
      <c r="F9" s="3"/>
      <c r="G9" s="3"/>
      <c r="H9" s="3"/>
      <c r="I9" s="3"/>
      <c r="L9" s="3"/>
      <c r="M9" s="3"/>
      <c r="O9" s="166"/>
      <c r="P9" s="396"/>
      <c r="Q9" s="412"/>
      <c r="R9" s="416"/>
      <c r="S9" s="417"/>
      <c r="T9" s="402"/>
      <c r="U9" s="403"/>
      <c r="V9" s="166"/>
    </row>
    <row r="10" spans="2:22" x14ac:dyDescent="0.2">
      <c r="L10" s="3"/>
      <c r="M10" s="3"/>
      <c r="O10" s="166"/>
      <c r="P10" s="396"/>
      <c r="Q10" s="412"/>
      <c r="R10" s="416"/>
      <c r="S10" s="417"/>
      <c r="T10" s="402"/>
      <c r="U10" s="403"/>
      <c r="V10" s="166"/>
    </row>
    <row r="11" spans="2:22" x14ac:dyDescent="0.2">
      <c r="B11" s="3"/>
      <c r="C11" s="3"/>
      <c r="D11" s="313" t="s">
        <v>317</v>
      </c>
      <c r="E11" s="313"/>
      <c r="F11" s="313"/>
      <c r="G11" s="313"/>
      <c r="H11" s="313"/>
      <c r="L11" s="3"/>
      <c r="M11" s="3"/>
      <c r="O11" s="166"/>
      <c r="P11" s="396"/>
      <c r="Q11" s="412"/>
      <c r="R11" s="416"/>
      <c r="S11" s="417"/>
      <c r="T11" s="402"/>
      <c r="U11" s="403"/>
      <c r="V11" s="166"/>
    </row>
    <row r="12" spans="2:22" x14ac:dyDescent="0.2">
      <c r="B12" s="3"/>
      <c r="C12" s="3"/>
      <c r="D12" s="419" t="s">
        <v>82</v>
      </c>
      <c r="E12" s="419"/>
      <c r="F12" s="419"/>
      <c r="G12" s="419"/>
      <c r="H12" s="419"/>
      <c r="L12" s="3"/>
      <c r="M12" s="3"/>
      <c r="O12" s="166"/>
      <c r="P12" s="413" t="s">
        <v>405</v>
      </c>
      <c r="Q12" s="412"/>
      <c r="R12" s="408" t="s">
        <v>316</v>
      </c>
      <c r="S12" s="409"/>
      <c r="T12" s="404" t="s">
        <v>637</v>
      </c>
      <c r="U12" s="405"/>
      <c r="V12" s="166"/>
    </row>
    <row r="13" spans="2:22" ht="14.5" customHeight="1" x14ac:dyDescent="0.2">
      <c r="B13" s="398" t="s">
        <v>20</v>
      </c>
      <c r="C13" s="3"/>
      <c r="D13" s="197" t="s">
        <v>364</v>
      </c>
      <c r="E13" s="197" t="s">
        <v>189</v>
      </c>
      <c r="F13" s="197" t="s">
        <v>176</v>
      </c>
      <c r="G13" s="197" t="s">
        <v>350</v>
      </c>
      <c r="H13" s="197" t="s">
        <v>351</v>
      </c>
      <c r="J13" s="3"/>
      <c r="L13" s="3"/>
      <c r="M13" s="3"/>
      <c r="O13" s="166"/>
      <c r="P13" s="396"/>
      <c r="Q13" s="412"/>
      <c r="R13" s="408"/>
      <c r="S13" s="409"/>
      <c r="T13" s="404"/>
      <c r="U13" s="405"/>
      <c r="V13" s="166"/>
    </row>
    <row r="14" spans="2:22" x14ac:dyDescent="0.2">
      <c r="B14" s="398"/>
      <c r="C14" s="147" t="s">
        <v>341</v>
      </c>
      <c r="D14" s="3">
        <f>Bejan_MEROI_Limestone</f>
        <v>20716.65209277975</v>
      </c>
      <c r="E14" s="3">
        <f>Bejan_LimeExtraction</f>
        <v>0</v>
      </c>
      <c r="F14" s="3">
        <f>Bejan_LimeHauling</f>
        <v>0</v>
      </c>
      <c r="G14" s="3">
        <f>Bejan_LimeBeneficiation</f>
        <v>0</v>
      </c>
      <c r="H14" s="3" t="s">
        <v>98</v>
      </c>
      <c r="J14" s="3"/>
      <c r="L14" s="3"/>
      <c r="M14" s="3"/>
      <c r="O14" s="166"/>
      <c r="P14" s="396"/>
      <c r="Q14" s="412"/>
      <c r="R14" s="408"/>
      <c r="S14" s="409"/>
      <c r="T14" s="404"/>
      <c r="U14" s="405"/>
      <c r="V14" s="166"/>
    </row>
    <row r="15" spans="2:22" ht="16" thickBot="1" x14ac:dyDescent="0.25">
      <c r="B15" s="398"/>
      <c r="C15" s="149" t="s">
        <v>637</v>
      </c>
      <c r="D15" s="3">
        <f>Student_MEROI_Limestone</f>
        <v>25394.240916408646</v>
      </c>
      <c r="E15" s="3">
        <f>Student_LimeExtraction</f>
        <v>0.98926908455007689</v>
      </c>
      <c r="F15" s="3">
        <f>Student__LimeHauling</f>
        <v>0.89989464623142024</v>
      </c>
      <c r="G15" s="3">
        <f>Student_LimeBeneficiation</f>
        <v>0.99885105550639652</v>
      </c>
      <c r="H15" s="3">
        <f>Student_Kiln</f>
        <v>1.0517594711289686</v>
      </c>
      <c r="J15" s="3"/>
      <c r="L15" s="3"/>
      <c r="M15" s="3"/>
      <c r="O15" s="166"/>
      <c r="P15" s="396"/>
      <c r="Q15" s="412"/>
      <c r="R15" s="410"/>
      <c r="S15" s="411"/>
      <c r="T15" s="406"/>
      <c r="U15" s="407"/>
      <c r="V15" s="166"/>
    </row>
    <row r="16" spans="2:22" x14ac:dyDescent="0.2">
      <c r="B16" s="398"/>
      <c r="C16" s="148" t="s">
        <v>406</v>
      </c>
      <c r="D16" s="165">
        <f>Product_MEROI_Limestone</f>
        <v>22010.978428607345</v>
      </c>
      <c r="E16" s="3">
        <f>Product_LimeExtraction</f>
        <v>0.85722484529662279</v>
      </c>
      <c r="F16" s="3">
        <f>Product_LimeHauling</f>
        <v>0.78000211588999502</v>
      </c>
      <c r="G16" s="3">
        <f>Product_LimeBeneficiation</f>
        <v>0.86577461041321313</v>
      </c>
      <c r="H16" s="3">
        <f>Product_Kiln</f>
        <v>2.2442037200773749E-4</v>
      </c>
      <c r="J16" s="3"/>
      <c r="L16" s="3"/>
      <c r="M16" s="3"/>
      <c r="O16" s="166"/>
      <c r="P16" s="166"/>
      <c r="Q16" s="166"/>
      <c r="R16" s="166"/>
      <c r="S16" s="166"/>
      <c r="T16" s="166"/>
      <c r="U16" s="166"/>
      <c r="V16" s="166"/>
    </row>
    <row r="17" spans="2:13" x14ac:dyDescent="0.2">
      <c r="C17" s="132" t="s">
        <v>337</v>
      </c>
      <c r="E17" s="17">
        <f>mass_bal_LimeExt</f>
        <v>0</v>
      </c>
      <c r="F17" s="17">
        <f>mass_bal_LimeHaul</f>
        <v>0</v>
      </c>
      <c r="G17" s="17">
        <f>mass_bal_LimeBenef</f>
        <v>0</v>
      </c>
      <c r="H17" s="17">
        <f>mass_bal_kiln</f>
        <v>0</v>
      </c>
      <c r="I17" s="3"/>
      <c r="J17" s="3"/>
      <c r="L17" s="3"/>
      <c r="M17" s="3"/>
    </row>
    <row r="18" spans="2:13" x14ac:dyDescent="0.2">
      <c r="L18" s="3"/>
      <c r="M18" s="3"/>
    </row>
    <row r="19" spans="2:13" x14ac:dyDescent="0.2">
      <c r="B19" s="3"/>
      <c r="C19" s="3"/>
      <c r="D19" s="313" t="s">
        <v>317</v>
      </c>
      <c r="E19" s="313"/>
      <c r="F19" s="313"/>
      <c r="G19" s="313"/>
      <c r="L19" s="3"/>
      <c r="M19" s="3"/>
    </row>
    <row r="20" spans="2:13" x14ac:dyDescent="0.2">
      <c r="B20" s="3"/>
      <c r="C20" s="3"/>
      <c r="D20" s="419" t="s">
        <v>82</v>
      </c>
      <c r="E20" s="419"/>
      <c r="F20" s="419"/>
      <c r="G20" s="419"/>
      <c r="K20" s="3"/>
      <c r="L20" s="3"/>
    </row>
    <row r="21" spans="2:13" x14ac:dyDescent="0.2">
      <c r="B21" s="420" t="s">
        <v>353</v>
      </c>
      <c r="C21" s="3"/>
      <c r="D21" s="156" t="s">
        <v>364</v>
      </c>
      <c r="E21" s="156" t="s">
        <v>189</v>
      </c>
      <c r="F21" s="156" t="s">
        <v>176</v>
      </c>
      <c r="G21" s="156" t="s">
        <v>378</v>
      </c>
      <c r="I21" s="3"/>
      <c r="K21" s="3"/>
      <c r="L21" s="3"/>
    </row>
    <row r="22" spans="2:13" x14ac:dyDescent="0.2">
      <c r="B22" s="420"/>
      <c r="C22" s="147" t="s">
        <v>341</v>
      </c>
      <c r="D22" s="3">
        <f>Bejan_MEROI_Coal</f>
        <v>111.42326190935763</v>
      </c>
      <c r="E22" s="3">
        <f>Bejan_CoalExtraction</f>
        <v>0</v>
      </c>
      <c r="F22" s="3">
        <f>Bejan_CoalHauling</f>
        <v>0</v>
      </c>
      <c r="G22" s="3" t="str">
        <f>Bejan_CokeBeneficiation</f>
        <v>[-]</v>
      </c>
      <c r="I22" s="3"/>
      <c r="K22" s="3"/>
      <c r="L22" s="3"/>
    </row>
    <row r="23" spans="2:13" x14ac:dyDescent="0.2">
      <c r="B23" s="420"/>
      <c r="C23" s="149" t="s">
        <v>637</v>
      </c>
      <c r="D23" s="3">
        <f>Student_MEROI_Coal</f>
        <v>113.02497570495387</v>
      </c>
      <c r="E23" s="3">
        <f>Student_CoalExtraction</f>
        <v>0.98878157674342848</v>
      </c>
      <c r="F23" s="3">
        <f>Student_CoalHauling</f>
        <v>0.98202222166069097</v>
      </c>
      <c r="G23" s="3">
        <f>Student_CokeBeneficiation</f>
        <v>1.2140142164545837</v>
      </c>
      <c r="I23" s="3"/>
      <c r="K23" s="3"/>
      <c r="L23" s="3"/>
    </row>
    <row r="24" spans="2:13" x14ac:dyDescent="0.2">
      <c r="B24" s="420"/>
      <c r="C24" s="148" t="s">
        <v>406</v>
      </c>
      <c r="D24" s="165">
        <f>Product_MEROI_Coal</f>
        <v>112.98778938876482</v>
      </c>
      <c r="E24" s="3">
        <f>Product_CoalExtraction</f>
        <v>0.98839130078384352</v>
      </c>
      <c r="F24" s="3">
        <f>Product_CoalHauling</f>
        <v>0.9816991267994748</v>
      </c>
      <c r="G24" s="3">
        <f>Product_CokeBeneficiation</f>
        <v>0.64499412077538865</v>
      </c>
      <c r="I24" s="3"/>
    </row>
    <row r="25" spans="2:13" x14ac:dyDescent="0.2">
      <c r="C25" s="132" t="s">
        <v>337</v>
      </c>
      <c r="E25" s="17">
        <f>mass_bal_CoalExt</f>
        <v>0</v>
      </c>
      <c r="F25" s="17">
        <f>mass_bal_CoalHaul</f>
        <v>0</v>
      </c>
      <c r="G25" s="17">
        <f>mass_bal_CokeOven</f>
        <v>0</v>
      </c>
      <c r="H25" s="3"/>
      <c r="I25" s="3"/>
    </row>
    <row r="30" spans="2:13" x14ac:dyDescent="0.2">
      <c r="B30" s="418" t="s">
        <v>402</v>
      </c>
      <c r="D30" s="195" t="s">
        <v>81</v>
      </c>
      <c r="E30" s="195" t="s">
        <v>352</v>
      </c>
    </row>
    <row r="31" spans="2:13" x14ac:dyDescent="0.2">
      <c r="B31" s="418"/>
      <c r="C31" s="147" t="s">
        <v>341</v>
      </c>
      <c r="D31" s="3" t="s">
        <v>98</v>
      </c>
      <c r="E31" s="3" t="str">
        <f>Bejan_BF</f>
        <v>[-]</v>
      </c>
    </row>
    <row r="32" spans="2:13" x14ac:dyDescent="0.2">
      <c r="B32" s="418"/>
      <c r="C32" s="149" t="s">
        <v>637</v>
      </c>
      <c r="D32" s="3">
        <f>Student_mixer</f>
        <v>0.99300939590335358</v>
      </c>
      <c r="E32" s="3">
        <f>Student_BF</f>
        <v>0.33030596672893314</v>
      </c>
    </row>
    <row r="33" spans="2:5" x14ac:dyDescent="0.2">
      <c r="B33" s="418"/>
      <c r="C33" s="148" t="s">
        <v>406</v>
      </c>
      <c r="D33" s="3">
        <f>Product_Mixer</f>
        <v>1.0717776463170951E-2</v>
      </c>
      <c r="E33" s="3">
        <f>Product_BF</f>
        <v>0.2948122246878026</v>
      </c>
    </row>
    <row r="34" spans="2:5" x14ac:dyDescent="0.2">
      <c r="C34" s="132" t="s">
        <v>337</v>
      </c>
      <c r="D34" s="3">
        <f>mass_bal_Mixer</f>
        <v>0</v>
      </c>
      <c r="E34" s="3">
        <f>mass_bal_BF</f>
        <v>0</v>
      </c>
    </row>
    <row r="37" spans="2:5" ht="17" x14ac:dyDescent="0.25">
      <c r="C37" s="3" t="s">
        <v>636</v>
      </c>
    </row>
    <row r="38" spans="2:5" ht="18" x14ac:dyDescent="0.25">
      <c r="B38" s="298" t="s">
        <v>635</v>
      </c>
      <c r="C38" s="3">
        <f>E_tot/('Ore-&gt;PI'!FL126/1000)</f>
        <v>1695073412.7385504</v>
      </c>
    </row>
  </sheetData>
  <mergeCells count="18">
    <mergeCell ref="B30:B33"/>
    <mergeCell ref="D2:G2"/>
    <mergeCell ref="D3:G3"/>
    <mergeCell ref="D11:H11"/>
    <mergeCell ref="D12:H12"/>
    <mergeCell ref="D19:G19"/>
    <mergeCell ref="D20:G20"/>
    <mergeCell ref="B21:B24"/>
    <mergeCell ref="R4:S7"/>
    <mergeCell ref="T4:U7"/>
    <mergeCell ref="B13:B16"/>
    <mergeCell ref="B4:B7"/>
    <mergeCell ref="T8:U11"/>
    <mergeCell ref="T12:U15"/>
    <mergeCell ref="R12:S15"/>
    <mergeCell ref="P8:Q11"/>
    <mergeCell ref="P12:Q15"/>
    <mergeCell ref="R8:S11"/>
  </mergeCells>
  <pageMargins left="0.7" right="0.7" top="0.75" bottom="0.75" header="0.3" footer="0.3"/>
  <pageSetup paperSize="9" scale="62" orientation="landscape" horizontalDpi="0" verticalDpi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57275-1FCB-463F-85AC-3003E260E773}">
  <dimension ref="C3:T32"/>
  <sheetViews>
    <sheetView workbookViewId="0">
      <selection activeCell="T6" sqref="T6"/>
    </sheetView>
  </sheetViews>
  <sheetFormatPr baseColWidth="10" defaultColWidth="8.83203125" defaultRowHeight="15" x14ac:dyDescent="0.2"/>
  <cols>
    <col min="1" max="4" width="8.83203125" style="3"/>
    <col min="5" max="5" width="12" style="3" bestFit="1" customWidth="1"/>
    <col min="6" max="6" width="8.83203125" style="3"/>
    <col min="7" max="7" width="12" style="3" bestFit="1" customWidth="1"/>
    <col min="8" max="13" width="8.83203125" style="3"/>
    <col min="14" max="15" width="12.1640625" style="3" bestFit="1" customWidth="1"/>
    <col min="16" max="19" width="8.83203125" style="3"/>
    <col min="20" max="20" width="12.1640625" style="3" bestFit="1" customWidth="1"/>
    <col min="21" max="16384" width="8.83203125" style="3"/>
  </cols>
  <sheetData>
    <row r="3" spans="3:20" ht="17" x14ac:dyDescent="0.25">
      <c r="E3" s="421" t="s">
        <v>356</v>
      </c>
      <c r="F3" s="421"/>
      <c r="G3" s="421"/>
      <c r="H3"/>
      <c r="I3"/>
      <c r="L3" s="394" t="s">
        <v>446</v>
      </c>
      <c r="M3" s="394"/>
      <c r="N3" s="394"/>
      <c r="P3"/>
      <c r="T3" s="171" t="s">
        <v>445</v>
      </c>
    </row>
    <row r="4" spans="3:20" ht="16" thickBot="1" x14ac:dyDescent="0.25">
      <c r="E4" s="419" t="s">
        <v>11</v>
      </c>
      <c r="F4" s="419"/>
      <c r="G4" s="419"/>
      <c r="H4"/>
      <c r="I4"/>
      <c r="L4" s="419" t="s">
        <v>48</v>
      </c>
      <c r="M4" s="419"/>
      <c r="N4" s="419"/>
      <c r="P4"/>
      <c r="T4" s="3" t="s">
        <v>48</v>
      </c>
    </row>
    <row r="5" spans="3:20" ht="14.5" customHeight="1" thickBot="1" x14ac:dyDescent="0.25">
      <c r="C5" s="399" t="s">
        <v>4</v>
      </c>
      <c r="E5" s="152" t="s">
        <v>350</v>
      </c>
      <c r="F5" s="153" t="s">
        <v>81</v>
      </c>
      <c r="G5" s="154" t="s">
        <v>352</v>
      </c>
      <c r="L5" s="196" t="s">
        <v>189</v>
      </c>
      <c r="M5" s="196" t="s">
        <v>176</v>
      </c>
      <c r="N5" s="196" t="s">
        <v>350</v>
      </c>
      <c r="T5" s="228">
        <f>'Ore-&gt;PI'!EP131+'Ore-&gt;PI'!DU131+'Ore-&gt;PI'!CD130+'Ore-&gt;PI'!BK130+'Ore-&gt;PI'!AR130+'Ore-&gt;PI'!X130+'Ore-&gt;PI'!X46+'Ore-&gt;PI'!AQ46+'Ore-&gt;PI'!BJ46+'Ore-&gt;PI'!CE210+'Ore-&gt;PI'!AR210+'Ore-&gt;PI'!Y210+'Ore-&gt;PI'!CZ237+'Ore-&gt;PI'!CE210</f>
        <v>-50130952.276021525</v>
      </c>
    </row>
    <row r="6" spans="3:20" x14ac:dyDescent="0.2">
      <c r="C6" s="399"/>
      <c r="D6" s="155" t="s">
        <v>357</v>
      </c>
      <c r="E6" s="3">
        <f>Beneficiation_Iron_waste</f>
        <v>11.767466001905108</v>
      </c>
      <c r="F6" s="3" t="s">
        <v>98</v>
      </c>
      <c r="G6" s="3">
        <f>BF_SolidWaste</f>
        <v>229.94813284002646</v>
      </c>
      <c r="K6" s="225" t="s">
        <v>4</v>
      </c>
      <c r="L6" s="3">
        <f>B_lost_Iron_Ext</f>
        <v>2418.6577581793781</v>
      </c>
      <c r="M6" s="3">
        <f>B_lost_Iron_haul</f>
        <v>0</v>
      </c>
      <c r="N6" s="3">
        <f>B_lost_iron_benef</f>
        <v>21743.416787545681</v>
      </c>
    </row>
    <row r="7" spans="3:20" ht="17" x14ac:dyDescent="0.25">
      <c r="C7" s="399"/>
      <c r="D7" s="155" t="s">
        <v>23</v>
      </c>
      <c r="E7" s="3">
        <f>0</f>
        <v>0</v>
      </c>
      <c r="F7" s="3" t="s">
        <v>98</v>
      </c>
      <c r="G7" s="3">
        <f>BF_CO2Waste</f>
        <v>917.9296863796892</v>
      </c>
    </row>
    <row r="8" spans="3:20" x14ac:dyDescent="0.2">
      <c r="D8" s="3" t="s">
        <v>19</v>
      </c>
      <c r="E8" s="17">
        <f>SUM(E6:E7)</f>
        <v>11.767466001905108</v>
      </c>
      <c r="F8" s="17">
        <f t="shared" ref="F8:G8" si="0">SUM(F6:F7)</f>
        <v>0</v>
      </c>
      <c r="G8" s="17">
        <f t="shared" si="0"/>
        <v>1147.8778192197155</v>
      </c>
    </row>
    <row r="9" spans="3:20" ht="17" x14ac:dyDescent="0.25">
      <c r="L9" s="394" t="s">
        <v>446</v>
      </c>
      <c r="M9" s="394"/>
      <c r="N9" s="394"/>
      <c r="O9" s="394"/>
    </row>
    <row r="10" spans="3:20" x14ac:dyDescent="0.2">
      <c r="E10" s="421" t="s">
        <v>356</v>
      </c>
      <c r="F10" s="421"/>
      <c r="L10" s="419" t="s">
        <v>48</v>
      </c>
      <c r="M10" s="419"/>
      <c r="N10" s="419"/>
      <c r="O10" s="419"/>
    </row>
    <row r="11" spans="3:20" x14ac:dyDescent="0.2">
      <c r="E11" s="419" t="s">
        <v>11</v>
      </c>
      <c r="F11" s="419"/>
      <c r="L11" s="197" t="s">
        <v>189</v>
      </c>
      <c r="M11" s="197" t="s">
        <v>176</v>
      </c>
      <c r="N11" s="197" t="s">
        <v>350</v>
      </c>
      <c r="O11" s="197" t="s">
        <v>351</v>
      </c>
      <c r="P11"/>
    </row>
    <row r="12" spans="3:20" x14ac:dyDescent="0.2">
      <c r="C12" s="398" t="s">
        <v>20</v>
      </c>
      <c r="E12" s="150" t="s">
        <v>350</v>
      </c>
      <c r="F12" s="151" t="s">
        <v>351</v>
      </c>
      <c r="K12" s="226" t="s">
        <v>20</v>
      </c>
      <c r="L12" s="3">
        <f>B_lost_lime_ext</f>
        <v>7.2399197950896488</v>
      </c>
      <c r="M12" s="3">
        <f>B_lost_lime_haul</f>
        <v>0</v>
      </c>
      <c r="N12" s="3">
        <f>B_lost_lime_benef</f>
        <v>0</v>
      </c>
      <c r="O12" s="3">
        <f>B_lost_kiln</f>
        <v>1133980772.6357925</v>
      </c>
      <c r="P12"/>
    </row>
    <row r="13" spans="3:20" ht="14.5" customHeight="1" x14ac:dyDescent="0.2">
      <c r="C13" s="398"/>
      <c r="D13" s="155" t="s">
        <v>357</v>
      </c>
      <c r="E13" s="3" t="s">
        <v>98</v>
      </c>
      <c r="F13" s="3">
        <f>Kiln_SolidWaste</f>
        <v>4.9847525450981189</v>
      </c>
    </row>
    <row r="14" spans="3:20" ht="17" customHeight="1" x14ac:dyDescent="0.25">
      <c r="C14" s="398"/>
      <c r="D14" s="155" t="s">
        <v>23</v>
      </c>
      <c r="E14" s="3" t="s">
        <v>98</v>
      </c>
      <c r="F14" s="3">
        <f>Kiln_CO2Waste</f>
        <v>307.80454225965212</v>
      </c>
      <c r="L14" s="394" t="s">
        <v>446</v>
      </c>
      <c r="M14" s="394"/>
      <c r="N14" s="394"/>
    </row>
    <row r="15" spans="3:20" x14ac:dyDescent="0.2">
      <c r="C15" s="398"/>
      <c r="D15" s="3" t="s">
        <v>19</v>
      </c>
      <c r="E15" s="17">
        <f>SUM(E13:E14)</f>
        <v>0</v>
      </c>
      <c r="F15" s="17">
        <f>SUM(F13:F14)</f>
        <v>312.78929480475023</v>
      </c>
      <c r="L15" s="419" t="s">
        <v>48</v>
      </c>
      <c r="M15" s="419"/>
      <c r="N15" s="419"/>
    </row>
    <row r="16" spans="3:20" x14ac:dyDescent="0.2">
      <c r="L16" s="156" t="s">
        <v>189</v>
      </c>
      <c r="M16" s="156" t="s">
        <v>176</v>
      </c>
      <c r="N16" s="156" t="s">
        <v>378</v>
      </c>
    </row>
    <row r="17" spans="3:16" x14ac:dyDescent="0.2">
      <c r="K17" s="227" t="s">
        <v>353</v>
      </c>
      <c r="L17" s="3">
        <f>B_lost_coal_ext</f>
        <v>575.29559740969785</v>
      </c>
      <c r="M17" s="3">
        <f>B_lost_coal_haul</f>
        <v>0</v>
      </c>
      <c r="N17" s="3">
        <f>B_lost_coke_oven</f>
        <v>-2253420.798186779</v>
      </c>
    </row>
    <row r="18" spans="3:16" x14ac:dyDescent="0.2">
      <c r="E18" s="171" t="s">
        <v>356</v>
      </c>
    </row>
    <row r="19" spans="3:16" ht="17" x14ac:dyDescent="0.25">
      <c r="E19" s="28" t="s">
        <v>11</v>
      </c>
      <c r="L19" s="394" t="s">
        <v>446</v>
      </c>
      <c r="M19" s="394"/>
    </row>
    <row r="20" spans="3:16" x14ac:dyDescent="0.2">
      <c r="C20" s="420" t="s">
        <v>353</v>
      </c>
      <c r="E20" s="156" t="s">
        <v>350</v>
      </c>
      <c r="L20" s="419" t="s">
        <v>48</v>
      </c>
      <c r="M20" s="419"/>
    </row>
    <row r="21" spans="3:16" ht="14.5" customHeight="1" x14ac:dyDescent="0.2">
      <c r="C21" s="420"/>
      <c r="D21" s="155" t="s">
        <v>357</v>
      </c>
      <c r="E21" s="3">
        <f>Beneficiation_CoalWaste</f>
        <v>18.493734420766422</v>
      </c>
      <c r="L21" s="195" t="s">
        <v>81</v>
      </c>
      <c r="M21" s="195" t="s">
        <v>352</v>
      </c>
      <c r="P21"/>
    </row>
    <row r="22" spans="3:16" ht="17" customHeight="1" x14ac:dyDescent="0.25">
      <c r="C22" s="420"/>
      <c r="D22" s="155" t="s">
        <v>23</v>
      </c>
      <c r="E22" s="3" t="s">
        <v>98</v>
      </c>
      <c r="K22" s="224" t="s">
        <v>402</v>
      </c>
      <c r="L22" s="3">
        <f>B_lost_mixer</f>
        <v>0</v>
      </c>
      <c r="M22" s="3">
        <f>B_lost_blast_furnace</f>
        <v>500587.32575948373</v>
      </c>
    </row>
    <row r="23" spans="3:16" x14ac:dyDescent="0.2">
      <c r="C23" s="420"/>
      <c r="D23" s="3" t="s">
        <v>19</v>
      </c>
      <c r="E23" s="17">
        <f>SUM(E21:E22)</f>
        <v>18.493734420766422</v>
      </c>
    </row>
    <row r="25" spans="3:16" x14ac:dyDescent="0.2">
      <c r="K25"/>
    </row>
    <row r="29" spans="3:16" x14ac:dyDescent="0.2">
      <c r="P29"/>
    </row>
    <row r="30" spans="3:16" x14ac:dyDescent="0.2">
      <c r="P30"/>
    </row>
    <row r="31" spans="3:16" x14ac:dyDescent="0.2">
      <c r="P31"/>
    </row>
    <row r="32" spans="3:16" x14ac:dyDescent="0.2">
      <c r="P32"/>
    </row>
  </sheetData>
  <mergeCells count="15">
    <mergeCell ref="L19:M19"/>
    <mergeCell ref="L20:M20"/>
    <mergeCell ref="C20:C23"/>
    <mergeCell ref="E3:G3"/>
    <mergeCell ref="E4:G4"/>
    <mergeCell ref="E10:F10"/>
    <mergeCell ref="E11:F11"/>
    <mergeCell ref="C5:C7"/>
    <mergeCell ref="C12:C15"/>
    <mergeCell ref="L3:N3"/>
    <mergeCell ref="L4:N4"/>
    <mergeCell ref="L14:N14"/>
    <mergeCell ref="L15:N15"/>
    <mergeCell ref="L9:O9"/>
    <mergeCell ref="L10:O10"/>
  </mergeCells>
  <pageMargins left="0.7" right="0.7" top="0.75" bottom="0.75" header="0.3" footer="0.3"/>
  <pageSetup paperSize="9" orientation="portrait" horizontalDpi="0" verticalDpi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6AF1C-B236-FA4B-B350-F1BEA1976CD1}">
  <dimension ref="C2:CI70"/>
  <sheetViews>
    <sheetView zoomScaleNormal="100" workbookViewId="0">
      <selection activeCell="C5" sqref="C5"/>
    </sheetView>
  </sheetViews>
  <sheetFormatPr baseColWidth="10" defaultColWidth="8.83203125" defaultRowHeight="15" x14ac:dyDescent="0.2"/>
  <cols>
    <col min="1" max="3" width="8.83203125" style="3"/>
    <col min="4" max="4" width="10.5" style="3" bestFit="1" customWidth="1"/>
    <col min="5" max="5" width="8.83203125" style="3"/>
    <col min="6" max="6" width="12.5" style="3" bestFit="1" customWidth="1"/>
    <col min="7" max="7" width="11.5" style="3" bestFit="1" customWidth="1"/>
    <col min="8" max="8" width="9.6640625" style="3" bestFit="1" customWidth="1"/>
    <col min="9" max="9" width="16.5" style="3" customWidth="1"/>
    <col min="10" max="10" width="8.83203125" style="3"/>
    <col min="11" max="11" width="14" style="3" bestFit="1" customWidth="1"/>
    <col min="12" max="13" width="13.33203125" style="3" bestFit="1" customWidth="1"/>
    <col min="14" max="14" width="8.83203125" style="3"/>
    <col min="15" max="15" width="16.33203125" style="3" bestFit="1" customWidth="1"/>
    <col min="16" max="16" width="11.5" style="3" bestFit="1" customWidth="1"/>
    <col min="17" max="17" width="9.6640625" style="3" bestFit="1" customWidth="1"/>
    <col min="18" max="18" width="8.5" style="3" customWidth="1"/>
    <col min="19" max="19" width="8.83203125" style="3"/>
    <col min="20" max="20" width="10.5" style="3" bestFit="1" customWidth="1"/>
    <col min="21" max="29" width="8.83203125" style="3"/>
    <col min="30" max="31" width="14" style="3" bestFit="1" customWidth="1"/>
    <col min="32" max="32" width="14.33203125" style="3" bestFit="1" customWidth="1"/>
    <col min="33" max="38" width="8.83203125" style="3"/>
    <col min="39" max="39" width="13.6640625" style="3" bestFit="1" customWidth="1"/>
    <col min="40" max="47" width="8.83203125" style="3"/>
    <col min="48" max="48" width="12.6640625" style="3" bestFit="1" customWidth="1"/>
    <col min="49" max="49" width="13.83203125" style="3" bestFit="1" customWidth="1"/>
    <col min="50" max="50" width="8.83203125" style="3"/>
    <col min="51" max="51" width="13.83203125" style="3" bestFit="1" customWidth="1"/>
    <col min="52" max="53" width="13.6640625" style="3" bestFit="1" customWidth="1"/>
    <col min="54" max="54" width="14.6640625" style="3" bestFit="1" customWidth="1"/>
    <col min="55" max="55" width="10.5" style="3" bestFit="1" customWidth="1"/>
    <col min="56" max="58" width="8.83203125" style="3"/>
    <col min="59" max="59" width="12" style="3" bestFit="1" customWidth="1"/>
    <col min="60" max="60" width="14.6640625" style="3" bestFit="1" customWidth="1"/>
    <col min="61" max="63" width="8.83203125" style="3"/>
    <col min="64" max="64" width="13.6640625" style="3" bestFit="1" customWidth="1"/>
    <col min="65" max="65" width="8.83203125" style="3"/>
    <col min="66" max="66" width="14" style="3" bestFit="1" customWidth="1"/>
    <col min="67" max="67" width="13.83203125" style="3" bestFit="1" customWidth="1"/>
    <col min="68" max="68" width="13.33203125" style="3" customWidth="1"/>
    <col min="69" max="71" width="8.83203125" style="3"/>
    <col min="72" max="72" width="11.1640625" style="3" bestFit="1" customWidth="1"/>
    <col min="73" max="73" width="7.83203125" style="3" bestFit="1" customWidth="1"/>
    <col min="74" max="74" width="13.6640625" style="3" bestFit="1" customWidth="1"/>
    <col min="75" max="76" width="14.5" style="3" bestFit="1" customWidth="1"/>
    <col min="77" max="77" width="8.83203125" style="3"/>
    <col min="78" max="78" width="11.33203125" style="3" bestFit="1" customWidth="1"/>
    <col min="79" max="79" width="13.83203125" style="3" bestFit="1" customWidth="1"/>
    <col min="80" max="80" width="12.1640625" style="3" bestFit="1" customWidth="1"/>
    <col min="81" max="85" width="8.83203125" style="3"/>
    <col min="86" max="86" width="15.1640625" style="3" bestFit="1" customWidth="1"/>
    <col min="87" max="16384" width="8.83203125" style="3"/>
  </cols>
  <sheetData>
    <row r="2" spans="3:69" x14ac:dyDescent="0.2">
      <c r="H2" s="312" t="s">
        <v>70</v>
      </c>
      <c r="I2" s="312"/>
      <c r="J2" s="312"/>
      <c r="K2" s="312"/>
      <c r="L2" s="312"/>
      <c r="M2" s="312"/>
    </row>
    <row r="3" spans="3:69" ht="18" x14ac:dyDescent="0.25">
      <c r="C3" s="13" t="s">
        <v>65</v>
      </c>
      <c r="D3" s="13" t="s">
        <v>71</v>
      </c>
      <c r="E3" s="20" t="s">
        <v>72</v>
      </c>
      <c r="F3" s="20" t="s">
        <v>73</v>
      </c>
      <c r="H3" s="312" t="s">
        <v>74</v>
      </c>
      <c r="I3" s="312"/>
      <c r="J3" s="312"/>
      <c r="K3" s="13"/>
      <c r="L3" s="317" t="s">
        <v>75</v>
      </c>
      <c r="M3" s="317"/>
      <c r="N3" s="7"/>
      <c r="AN3" s="429" t="s">
        <v>78</v>
      </c>
      <c r="AO3" s="429"/>
      <c r="AP3" s="429"/>
      <c r="AQ3" s="429"/>
      <c r="AR3" s="429"/>
      <c r="AS3" s="429"/>
      <c r="AT3" s="429"/>
      <c r="AU3" s="429"/>
      <c r="AV3" s="429"/>
      <c r="AW3" s="429"/>
      <c r="AX3" s="429"/>
      <c r="AY3" s="429"/>
      <c r="AZ3" s="429"/>
      <c r="BA3" s="429"/>
      <c r="BB3" s="429"/>
      <c r="BC3" s="429"/>
      <c r="BD3" s="429"/>
      <c r="BE3" s="429"/>
      <c r="BF3" s="429"/>
      <c r="BG3" s="429"/>
      <c r="BH3" s="429"/>
      <c r="BI3" s="429"/>
      <c r="BJ3" s="429"/>
      <c r="BK3" s="429"/>
    </row>
    <row r="4" spans="3:69" ht="17" x14ac:dyDescent="0.25">
      <c r="C4" s="13" t="s">
        <v>11</v>
      </c>
      <c r="D4" s="13" t="s">
        <v>76</v>
      </c>
      <c r="E4" s="13"/>
      <c r="F4" s="13"/>
      <c r="AN4" s="429"/>
      <c r="AO4" s="429"/>
      <c r="AP4" s="429"/>
      <c r="AQ4" s="429"/>
      <c r="AR4" s="429"/>
      <c r="AS4" s="429"/>
      <c r="AT4" s="429"/>
      <c r="AU4" s="429"/>
      <c r="AV4" s="429"/>
      <c r="AW4" s="429"/>
      <c r="AX4" s="429"/>
      <c r="AY4" s="429"/>
      <c r="AZ4" s="429"/>
      <c r="BA4" s="429"/>
      <c r="BB4" s="429"/>
      <c r="BC4" s="429"/>
      <c r="BD4" s="429"/>
      <c r="BE4" s="429"/>
      <c r="BF4" s="429"/>
      <c r="BG4" s="429"/>
      <c r="BH4" s="429"/>
      <c r="BI4" s="429"/>
      <c r="BJ4" s="429"/>
      <c r="BK4" s="429"/>
    </row>
    <row r="5" spans="3:69" x14ac:dyDescent="0.2">
      <c r="C5" s="32">
        <v>1</v>
      </c>
      <c r="D5" s="13">
        <f>F12</f>
        <v>62.333413951215377</v>
      </c>
      <c r="E5" s="13">
        <v>2</v>
      </c>
      <c r="F5" s="13">
        <v>3.76</v>
      </c>
      <c r="H5" s="312" t="str">
        <f>_xlfn.CONCAT($I$12," ",$C$12," ","+"," ",$I$13,"(",$C$13, " ","+"," ",$F$5,$C$14,")","  ", "--","&gt;","  ", $R$12," ",$L$12," ","+"," ",$R$13," ",$L$13," ","+"," ",$R$14," ",$L$14)</f>
        <v>1 CH4 + 2(O2 + 3.76N2)  --&gt;  1 CO2 + 2 H2O + 7.52 N2</v>
      </c>
      <c r="I5" s="312"/>
      <c r="J5" s="312"/>
      <c r="K5" s="312"/>
      <c r="L5" s="312"/>
      <c r="M5" s="312"/>
      <c r="AN5" s="429"/>
      <c r="AO5" s="429"/>
      <c r="AP5" s="429"/>
      <c r="AQ5" s="429"/>
      <c r="AR5" s="429"/>
      <c r="AS5" s="429"/>
      <c r="AT5" s="429"/>
      <c r="AU5" s="429"/>
      <c r="AV5" s="429"/>
      <c r="AW5" s="429"/>
      <c r="AX5" s="429"/>
      <c r="AY5" s="429"/>
      <c r="AZ5" s="429"/>
      <c r="BA5" s="429"/>
      <c r="BB5" s="429"/>
      <c r="BC5" s="429"/>
      <c r="BD5" s="429"/>
      <c r="BE5" s="429"/>
      <c r="BF5" s="429"/>
      <c r="BG5" s="429"/>
      <c r="BH5" s="429"/>
      <c r="BI5" s="429"/>
      <c r="BJ5" s="429"/>
      <c r="BK5" s="429"/>
    </row>
    <row r="8" spans="3:69" ht="14.5" customHeight="1" x14ac:dyDescent="0.2">
      <c r="AN8" s="66"/>
      <c r="AO8" s="66"/>
      <c r="AP8" s="66"/>
      <c r="AQ8" s="66"/>
      <c r="AR8" s="66"/>
      <c r="AS8" s="66"/>
      <c r="AT8" s="66"/>
      <c r="AU8" s="66"/>
      <c r="AV8" s="66"/>
      <c r="AW8" s="66"/>
      <c r="AX8" s="66"/>
      <c r="AY8" s="66"/>
      <c r="AZ8" s="66"/>
      <c r="BA8" s="66"/>
      <c r="BB8" s="66"/>
      <c r="BC8" s="66"/>
      <c r="BD8" s="66"/>
      <c r="BE8" s="66"/>
      <c r="BF8" s="66"/>
      <c r="BG8" s="66"/>
      <c r="BH8" s="66"/>
      <c r="BI8" s="66"/>
      <c r="BJ8" s="66"/>
      <c r="BK8" s="66"/>
    </row>
    <row r="9" spans="3:69" ht="14.5" customHeight="1" x14ac:dyDescent="0.2"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3:69" ht="14.5" customHeight="1" x14ac:dyDescent="0.2">
      <c r="C10" s="25" t="s">
        <v>2</v>
      </c>
      <c r="D10" s="3" t="s">
        <v>1</v>
      </c>
      <c r="E10" s="3" t="s">
        <v>5</v>
      </c>
      <c r="F10" s="3" t="s">
        <v>32</v>
      </c>
      <c r="G10" s="3" t="s">
        <v>39</v>
      </c>
      <c r="H10" s="3" t="s">
        <v>44</v>
      </c>
      <c r="L10" s="25" t="s">
        <v>3</v>
      </c>
      <c r="M10" s="3" t="s">
        <v>1</v>
      </c>
      <c r="N10" s="3" t="s">
        <v>5</v>
      </c>
      <c r="O10" s="3" t="s">
        <v>32</v>
      </c>
      <c r="P10" s="3" t="s">
        <v>39</v>
      </c>
      <c r="Q10" s="3" t="s">
        <v>44</v>
      </c>
      <c r="AN10" s="66"/>
      <c r="AO10" s="66"/>
      <c r="AP10" s="66"/>
      <c r="AQ10" s="66"/>
      <c r="AR10" s="66"/>
      <c r="AS10" s="66"/>
      <c r="AT10" s="66"/>
      <c r="AU10" s="66"/>
      <c r="AV10" s="66"/>
      <c r="AW10" s="66"/>
      <c r="AX10" s="66"/>
      <c r="AY10" s="66"/>
      <c r="AZ10" s="66"/>
      <c r="BA10" s="66"/>
      <c r="BB10" s="66"/>
      <c r="BC10" s="66"/>
      <c r="BD10" s="66"/>
      <c r="BE10" s="66"/>
      <c r="BF10" s="66"/>
      <c r="BG10" s="66"/>
      <c r="BH10" s="66"/>
      <c r="BI10" s="428">
        <v>6</v>
      </c>
      <c r="BJ10" s="428"/>
      <c r="BK10" s="428"/>
      <c r="BL10" s="428"/>
      <c r="BM10" s="428"/>
      <c r="BN10" s="428"/>
      <c r="BO10" s="428"/>
      <c r="BP10" s="428"/>
      <c r="BQ10" s="428"/>
    </row>
    <row r="11" spans="3:69" ht="18" x14ac:dyDescent="0.25">
      <c r="C11" s="13" t="s">
        <v>41</v>
      </c>
      <c r="D11" s="13" t="s">
        <v>11</v>
      </c>
      <c r="E11" s="19" t="s">
        <v>84</v>
      </c>
      <c r="F11" s="13" t="s">
        <v>42</v>
      </c>
      <c r="G11" s="13" t="s">
        <v>43</v>
      </c>
      <c r="H11" s="13" t="s">
        <v>69</v>
      </c>
      <c r="I11" s="34" t="s">
        <v>77</v>
      </c>
      <c r="L11" s="13" t="s">
        <v>41</v>
      </c>
      <c r="M11" s="13" t="s">
        <v>11</v>
      </c>
      <c r="N11" s="19" t="s">
        <v>84</v>
      </c>
      <c r="O11" s="13" t="s">
        <v>42</v>
      </c>
      <c r="P11" s="13" t="s">
        <v>43</v>
      </c>
      <c r="Q11" s="13"/>
      <c r="R11" s="34" t="s">
        <v>77</v>
      </c>
      <c r="BI11" s="428"/>
      <c r="BJ11" s="428"/>
      <c r="BK11" s="428"/>
      <c r="BL11" s="428"/>
      <c r="BM11" s="428"/>
      <c r="BN11" s="428"/>
      <c r="BO11" s="428"/>
      <c r="BP11" s="428"/>
      <c r="BQ11" s="428"/>
    </row>
    <row r="12" spans="3:69" ht="18" x14ac:dyDescent="0.25">
      <c r="C12" s="13" t="s">
        <v>65</v>
      </c>
      <c r="D12" s="3">
        <v>1</v>
      </c>
      <c r="E12" s="3">
        <f>MW_CH4</f>
        <v>1.604276E-2</v>
      </c>
      <c r="F12" s="3">
        <f>D12/E12</f>
        <v>62.333413951215377</v>
      </c>
      <c r="G12" s="3">
        <f>F12/F15</f>
        <v>9.5057034220532313E-2</v>
      </c>
      <c r="H12" s="30" t="s">
        <v>33</v>
      </c>
      <c r="I12" s="52">
        <f>F12/D5</f>
        <v>1</v>
      </c>
      <c r="L12" s="20" t="s">
        <v>64</v>
      </c>
      <c r="M12" s="3">
        <f>N12*O12</f>
        <v>2.7432810813101987</v>
      </c>
      <c r="N12" s="3">
        <f>MW_CO2</f>
        <v>4.4009800000000002E-2</v>
      </c>
      <c r="O12" s="3">
        <f>R12*D5</f>
        <v>62.333413951215377</v>
      </c>
      <c r="P12" s="3">
        <f>O12/O15</f>
        <v>9.5057034220532313E-2</v>
      </c>
      <c r="Q12" s="30" t="s">
        <v>35</v>
      </c>
      <c r="R12" s="3">
        <f>I12</f>
        <v>1</v>
      </c>
    </row>
    <row r="13" spans="3:69" ht="19" thickBot="1" x14ac:dyDescent="0.3">
      <c r="C13" s="20" t="s">
        <v>24</v>
      </c>
      <c r="D13" s="3">
        <f>F13*E13</f>
        <v>3.9891888926843011</v>
      </c>
      <c r="E13" s="3">
        <f>MW_O2</f>
        <v>3.1998800000000001E-2</v>
      </c>
      <c r="F13" s="3">
        <f>I13*D5</f>
        <v>124.66682790243075</v>
      </c>
      <c r="G13" s="3">
        <f>F13/F15</f>
        <v>0.19011406844106463</v>
      </c>
      <c r="H13" s="30" t="s">
        <v>34</v>
      </c>
      <c r="I13" s="3">
        <f>E5*I12</f>
        <v>2</v>
      </c>
      <c r="L13" s="13" t="s">
        <v>68</v>
      </c>
      <c r="M13" s="3">
        <f>N13*O13</f>
        <v>2.2459078113741029</v>
      </c>
      <c r="N13" s="3">
        <f>MW_H2O</f>
        <v>1.8015280000000002E-2</v>
      </c>
      <c r="O13" s="3">
        <f>R13*D5</f>
        <v>124.66682790243075</v>
      </c>
      <c r="P13" s="3">
        <f>O13/O15</f>
        <v>0.19011406844106463</v>
      </c>
      <c r="Q13" s="30" t="s">
        <v>36</v>
      </c>
      <c r="R13" s="3">
        <f>2*I12</f>
        <v>2</v>
      </c>
    </row>
    <row r="14" spans="3:69" ht="18" x14ac:dyDescent="0.25">
      <c r="C14" s="39" t="s">
        <v>67</v>
      </c>
      <c r="D14" s="3">
        <f>F14*E14</f>
        <v>13.131242354806778</v>
      </c>
      <c r="E14" s="3">
        <f>MW_N2</f>
        <v>2.801348E-2</v>
      </c>
      <c r="F14" s="3">
        <f>I14*D5</f>
        <v>468.74727291313962</v>
      </c>
      <c r="G14" s="3">
        <f>F14/F15</f>
        <v>0.71482889733840305</v>
      </c>
      <c r="H14" s="30" t="s">
        <v>206</v>
      </c>
      <c r="I14" s="71">
        <f>I13*F5</f>
        <v>7.52</v>
      </c>
      <c r="L14" s="39" t="s">
        <v>67</v>
      </c>
      <c r="M14" s="3">
        <f>N14*O14</f>
        <v>13.131242354806778</v>
      </c>
      <c r="N14" s="3">
        <f>MW_N2</f>
        <v>2.801348E-2</v>
      </c>
      <c r="O14" s="3">
        <f>R14*D5</f>
        <v>468.74727291313962</v>
      </c>
      <c r="P14" s="3">
        <f>O14/O15</f>
        <v>0.71482889733840305</v>
      </c>
      <c r="Q14" s="30" t="s">
        <v>37</v>
      </c>
      <c r="R14" s="3">
        <f>I14</f>
        <v>7.52</v>
      </c>
      <c r="BN14" s="74" t="s">
        <v>181</v>
      </c>
      <c r="BO14" s="63" t="s">
        <v>213</v>
      </c>
      <c r="BP14" s="70" t="s">
        <v>214</v>
      </c>
      <c r="BQ14" s="58" t="s">
        <v>215</v>
      </c>
    </row>
    <row r="15" spans="3:69" ht="18" x14ac:dyDescent="0.25">
      <c r="C15" s="17" t="s">
        <v>19</v>
      </c>
      <c r="D15" s="40">
        <f>SUM(D12:D14)</f>
        <v>18.12043124749108</v>
      </c>
      <c r="E15" s="17"/>
      <c r="F15" s="41">
        <f>SUM(F12:F14)</f>
        <v>655.7475147667858</v>
      </c>
      <c r="G15" s="40">
        <f>SUM(G12:G14)</f>
        <v>1</v>
      </c>
      <c r="H15" s="17"/>
      <c r="I15" s="17"/>
      <c r="L15" s="17" t="s">
        <v>19</v>
      </c>
      <c r="M15" s="40">
        <f>SUM(M12:M14)</f>
        <v>18.12043124749108</v>
      </c>
      <c r="N15" s="17"/>
      <c r="O15" s="41">
        <f>SUM(O12:O14)</f>
        <v>655.7475147667858</v>
      </c>
      <c r="P15" s="41">
        <f>SUM(P12:P14)</f>
        <v>1</v>
      </c>
      <c r="Q15" s="17"/>
      <c r="R15" s="17"/>
      <c r="BN15" s="75" t="s">
        <v>207</v>
      </c>
      <c r="BO15" s="49" t="s">
        <v>63</v>
      </c>
      <c r="BP15" s="68" t="s">
        <v>89</v>
      </c>
      <c r="BQ15" s="64" t="s">
        <v>93</v>
      </c>
    </row>
    <row r="16" spans="3:69" ht="17" thickBot="1" x14ac:dyDescent="0.25">
      <c r="BN16" s="76">
        <v>1</v>
      </c>
      <c r="BO16" s="12">
        <v>298.14999999999998</v>
      </c>
      <c r="BP16" s="69">
        <f>BK23</f>
        <v>18.12043124749108</v>
      </c>
      <c r="BQ16" s="48">
        <f>BQ23</f>
        <v>0</v>
      </c>
    </row>
    <row r="17" spans="3:87" x14ac:dyDescent="0.2">
      <c r="BI17" s="425" t="s">
        <v>112</v>
      </c>
    </row>
    <row r="18" spans="3:87" ht="18.5" customHeight="1" x14ac:dyDescent="0.25">
      <c r="BI18" s="425"/>
      <c r="BK18" s="1" t="s">
        <v>184</v>
      </c>
      <c r="BL18" s="1" t="s">
        <v>5</v>
      </c>
      <c r="BM18" s="1" t="s">
        <v>85</v>
      </c>
      <c r="BN18" s="3" t="s">
        <v>150</v>
      </c>
      <c r="BO18" s="3" t="s">
        <v>210</v>
      </c>
      <c r="BP18" s="3" t="s">
        <v>211</v>
      </c>
      <c r="BQ18" s="3" t="s">
        <v>212</v>
      </c>
    </row>
    <row r="19" spans="3:87" ht="18" x14ac:dyDescent="0.25">
      <c r="BI19" s="425"/>
      <c r="BK19" s="1" t="s">
        <v>88</v>
      </c>
      <c r="BL19" s="1" t="s">
        <v>90</v>
      </c>
      <c r="BM19" s="2" t="s">
        <v>86</v>
      </c>
      <c r="BN19" s="4" t="s">
        <v>106</v>
      </c>
      <c r="BO19" s="4" t="s">
        <v>106</v>
      </c>
      <c r="BP19" s="3" t="s">
        <v>111</v>
      </c>
      <c r="BQ19" s="3" t="s">
        <v>111</v>
      </c>
    </row>
    <row r="20" spans="3:87" ht="17" x14ac:dyDescent="0.25">
      <c r="BI20" s="425"/>
      <c r="BJ20" s="26" t="s">
        <v>23</v>
      </c>
      <c r="BK20" s="8">
        <f>AU43</f>
        <v>2.7432810813101987</v>
      </c>
      <c r="BL20" s="27">
        <f>MW_CO2</f>
        <v>4.4009800000000002E-2</v>
      </c>
      <c r="BM20" s="27">
        <f>BK20/BL20</f>
        <v>62.333413951215377</v>
      </c>
      <c r="BN20" s="62">
        <f>h_CO2</f>
        <v>-8941.1903712354979</v>
      </c>
      <c r="BO20" s="62">
        <f>h_0_CO2</f>
        <v>9.3640000000000008</v>
      </c>
      <c r="BP20" s="17">
        <f>BM20*(BN20-BO20)</f>
        <v>-557918.6107150825</v>
      </c>
      <c r="BQ20" s="17">
        <f>BP20*(1-($BF$38/$BF$38))</f>
        <v>0</v>
      </c>
    </row>
    <row r="21" spans="3:87" ht="17" x14ac:dyDescent="0.25">
      <c r="BI21" s="425"/>
      <c r="BJ21" s="24" t="s">
        <v>68</v>
      </c>
      <c r="BK21" s="1">
        <f>AU44</f>
        <v>2.2459078113741029</v>
      </c>
      <c r="BL21" s="6">
        <f>MW_H2O</f>
        <v>1.8015280000000002E-2</v>
      </c>
      <c r="BM21" s="6">
        <f>BK21/BL21</f>
        <v>124.66682790243075</v>
      </c>
      <c r="BN21" s="1">
        <f>h_T_H2O</f>
        <v>94.827839999999995</v>
      </c>
      <c r="BO21" s="1">
        <f>h_0_H2O</f>
        <v>9.9039999999999999</v>
      </c>
      <c r="BP21" s="3">
        <f t="shared" ref="BP21:BP22" si="0">BM21*(BN21-BO21)</f>
        <v>10587.185746093564</v>
      </c>
      <c r="BQ21" s="3">
        <f>BP21*(1-($BF$38/$BF$38))</f>
        <v>0</v>
      </c>
    </row>
    <row r="22" spans="3:87" ht="18" x14ac:dyDescent="0.25">
      <c r="C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BI22" s="425"/>
      <c r="BJ22" s="59" t="s">
        <v>67</v>
      </c>
      <c r="BK22" s="28">
        <f>AU45</f>
        <v>13.131242354806778</v>
      </c>
      <c r="BL22" s="29">
        <f>MW_N2</f>
        <v>2.801348E-2</v>
      </c>
      <c r="BM22" s="29">
        <f>BK22/BL22</f>
        <v>468.74727291313962</v>
      </c>
      <c r="BN22" s="1">
        <f>h_T_N2</f>
        <v>73.347520000000003</v>
      </c>
      <c r="BO22" s="1">
        <f>h_0_N2</f>
        <v>8.6690000000000005</v>
      </c>
      <c r="BP22" s="3">
        <f t="shared" si="0"/>
        <v>30317.879866057963</v>
      </c>
      <c r="BQ22" s="3">
        <f>BP22*(1-($BF$38/$BF$38))</f>
        <v>0</v>
      </c>
    </row>
    <row r="23" spans="3:87" ht="29" x14ac:dyDescent="0.35">
      <c r="H23" s="1"/>
      <c r="I23" s="1"/>
      <c r="J23" s="1"/>
      <c r="K23" s="1"/>
      <c r="L23" s="53"/>
      <c r="M23" s="54"/>
      <c r="N23" s="54"/>
      <c r="O23" s="54"/>
      <c r="P23" s="54"/>
      <c r="Q23" s="54"/>
      <c r="R23" s="66"/>
      <c r="S23" s="66"/>
      <c r="T23" s="66"/>
      <c r="U23" s="66"/>
      <c r="V23" s="66"/>
      <c r="W23" s="66"/>
      <c r="X23" s="66"/>
      <c r="Y23" s="66"/>
      <c r="Z23" s="66"/>
      <c r="AA23" s="66"/>
      <c r="AB23" s="66"/>
      <c r="AC23" s="66"/>
      <c r="AD23" s="66"/>
      <c r="AE23" s="66"/>
      <c r="AF23" s="66"/>
      <c r="AG23" s="66"/>
      <c r="AH23" s="66"/>
      <c r="AI23" s="66"/>
      <c r="AJ23" s="66"/>
      <c r="AK23" s="66"/>
      <c r="AL23" s="66"/>
      <c r="AM23" s="66"/>
      <c r="AN23" s="66"/>
      <c r="AO23" s="66"/>
      <c r="BJ23" s="4" t="s">
        <v>19</v>
      </c>
      <c r="BK23" s="4">
        <f>SUM(BK20:BK22)</f>
        <v>18.12043124749108</v>
      </c>
      <c r="BL23" s="4">
        <f>BO20*BL20 + BO21*BL21 + BO22*BL22</f>
        <v>0.83337995844000001</v>
      </c>
      <c r="BM23" s="4">
        <f>SUM(BM20:BM22)</f>
        <v>655.7475147667858</v>
      </c>
      <c r="BN23" s="17"/>
      <c r="BO23" s="17"/>
      <c r="BP23" s="62">
        <f>SUM(BP20:BP22)</f>
        <v>-517013.54510293104</v>
      </c>
      <c r="BQ23" s="62">
        <f>SUM(BQ20:BQ22)</f>
        <v>0</v>
      </c>
    </row>
    <row r="24" spans="3:87" ht="19.25" customHeight="1" x14ac:dyDescent="0.25">
      <c r="H24" s="1"/>
      <c r="I24" s="1"/>
      <c r="J24" s="1"/>
      <c r="K24" s="1"/>
      <c r="L24" s="1"/>
      <c r="M24" s="1"/>
      <c r="N24" s="1"/>
      <c r="O24" s="1"/>
      <c r="P24" s="1"/>
      <c r="Q24" s="44"/>
      <c r="R24" s="66"/>
      <c r="S24" s="66"/>
      <c r="T24" s="66"/>
      <c r="U24" s="66"/>
      <c r="V24" s="66"/>
      <c r="W24" s="66"/>
      <c r="X24" s="66"/>
      <c r="Y24" s="66"/>
      <c r="Z24" s="66"/>
      <c r="AA24" s="66"/>
      <c r="AB24" s="66"/>
      <c r="AC24" s="66"/>
      <c r="AD24" s="66"/>
      <c r="AE24" s="66"/>
      <c r="AF24" s="66"/>
      <c r="AG24" s="66"/>
      <c r="AH24" s="66"/>
      <c r="AI24" s="66"/>
      <c r="AJ24" s="66"/>
      <c r="AK24" s="66"/>
      <c r="AL24" s="66"/>
      <c r="AM24" s="66"/>
      <c r="AN24" s="66"/>
      <c r="AO24" s="66"/>
      <c r="BK24" s="1" t="s">
        <v>89</v>
      </c>
      <c r="BL24" s="3" t="s">
        <v>91</v>
      </c>
      <c r="BM24" s="3" t="s">
        <v>87</v>
      </c>
      <c r="BP24" s="1" t="s">
        <v>93</v>
      </c>
      <c r="BQ24" s="1" t="s">
        <v>93</v>
      </c>
    </row>
    <row r="25" spans="3:87" ht="16.25" customHeight="1" x14ac:dyDescent="0.2">
      <c r="H25" s="1"/>
      <c r="I25" s="1"/>
      <c r="J25" s="1"/>
      <c r="K25" s="1"/>
      <c r="L25" s="1"/>
      <c r="M25" s="1"/>
      <c r="N25" s="1"/>
      <c r="O25" s="1"/>
      <c r="P25" s="1"/>
      <c r="Q25" s="1"/>
      <c r="R25" s="66"/>
      <c r="S25" s="66"/>
      <c r="T25" s="66"/>
      <c r="U25" s="66"/>
      <c r="V25" s="66"/>
      <c r="W25" s="66"/>
      <c r="X25" s="66"/>
      <c r="Y25" s="66"/>
      <c r="Z25" s="66"/>
      <c r="AA25" s="66"/>
      <c r="AB25" s="66"/>
      <c r="AC25" s="66"/>
      <c r="AD25" s="66"/>
      <c r="AE25" s="66"/>
      <c r="AF25" s="66"/>
      <c r="AG25" s="66"/>
      <c r="AH25" s="66"/>
      <c r="AI25" s="66"/>
      <c r="AJ25" s="66"/>
      <c r="AK25" s="66"/>
      <c r="AL25" s="66"/>
      <c r="AM25" s="66"/>
      <c r="AN25" s="66"/>
      <c r="AO25" s="66"/>
      <c r="CC25" s="25"/>
    </row>
    <row r="26" spans="3:87" ht="16" x14ac:dyDescent="0.2"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</row>
    <row r="27" spans="3:87" ht="16" x14ac:dyDescent="0.2"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</row>
    <row r="28" spans="3:87" ht="34" x14ac:dyDescent="0.4">
      <c r="C28" s="423">
        <v>1</v>
      </c>
      <c r="D28" s="423"/>
      <c r="E28" s="423"/>
      <c r="F28" s="423"/>
      <c r="G28" s="423"/>
      <c r="H28" s="423"/>
      <c r="I28" s="423"/>
      <c r="J28" s="423"/>
      <c r="K28" s="423"/>
      <c r="L28" s="423"/>
      <c r="M28" s="423"/>
      <c r="N28" s="423"/>
      <c r="O28" s="423"/>
      <c r="P28" s="1"/>
      <c r="Q28" s="1"/>
      <c r="R28" s="1"/>
      <c r="S28" s="1"/>
      <c r="T28" s="1"/>
      <c r="U28" s="1"/>
      <c r="V28" s="1"/>
      <c r="W28" s="422">
        <v>3</v>
      </c>
      <c r="X28" s="422"/>
      <c r="Y28" s="422"/>
      <c r="Z28" s="422"/>
      <c r="AA28" s="422"/>
      <c r="AB28" s="422"/>
      <c r="AC28" s="422"/>
      <c r="AD28" s="422"/>
      <c r="AE28" s="422"/>
      <c r="AF28" s="422"/>
      <c r="AG28" s="422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423">
        <v>4</v>
      </c>
      <c r="AU28" s="423"/>
      <c r="AV28" s="423"/>
      <c r="AW28" s="423"/>
      <c r="AX28" s="423"/>
      <c r="AY28" s="423"/>
      <c r="AZ28" s="423"/>
      <c r="BA28" s="423"/>
      <c r="BB28" s="423"/>
      <c r="BC28" s="423"/>
      <c r="BD28" s="423"/>
      <c r="BE28" s="423"/>
      <c r="BF28" s="423"/>
      <c r="BG28" s="423"/>
      <c r="BH28" s="423"/>
      <c r="BI28" s="423"/>
      <c r="BT28" s="423">
        <v>5</v>
      </c>
      <c r="BU28" s="423"/>
      <c r="BV28" s="423"/>
      <c r="BW28" s="423"/>
      <c r="BX28" s="423"/>
      <c r="BY28" s="423"/>
      <c r="BZ28" s="423"/>
      <c r="CA28" s="423"/>
      <c r="CB28" s="423"/>
      <c r="CC28" s="423"/>
      <c r="CD28" s="423"/>
      <c r="CE28" s="423"/>
      <c r="CF28" s="423"/>
      <c r="CG28" s="423"/>
      <c r="CH28" s="423"/>
      <c r="CI28" s="423"/>
    </row>
    <row r="29" spans="3:87" ht="20.5" customHeight="1" x14ac:dyDescent="0.2">
      <c r="C29" s="45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7"/>
      <c r="AU29" s="1"/>
      <c r="AV29" s="1"/>
      <c r="AW29" s="1"/>
      <c r="BD29" s="45"/>
      <c r="BE29" s="45"/>
      <c r="BF29" s="45"/>
      <c r="BG29" s="45"/>
      <c r="BH29" s="45"/>
      <c r="BI29" s="45"/>
      <c r="BJ29" s="45"/>
    </row>
    <row r="30" spans="3:87" ht="15.5" customHeight="1" thickBot="1" x14ac:dyDescent="0.25">
      <c r="C30" s="45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51"/>
      <c r="AK30" s="51"/>
      <c r="AL30" s="51"/>
      <c r="AM30" s="51"/>
      <c r="AN30" s="51"/>
      <c r="AO30" s="1"/>
      <c r="AP30" s="1"/>
      <c r="AQ30" s="1"/>
      <c r="AR30" s="1"/>
      <c r="AS30" s="56"/>
      <c r="AW30" s="45"/>
      <c r="BM30" s="57"/>
    </row>
    <row r="31" spans="3:87" ht="16.25" customHeight="1" x14ac:dyDescent="0.25">
      <c r="C31" s="45"/>
      <c r="K31" s="74" t="s">
        <v>181</v>
      </c>
      <c r="L31" s="63" t="s">
        <v>162</v>
      </c>
      <c r="M31" s="70" t="s">
        <v>163</v>
      </c>
      <c r="N31" s="162" t="s">
        <v>160</v>
      </c>
      <c r="O31" s="156" t="s">
        <v>345</v>
      </c>
      <c r="P31" s="163" t="s">
        <v>322</v>
      </c>
      <c r="Q31" s="163" t="s">
        <v>316</v>
      </c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51"/>
      <c r="AL31" s="51"/>
      <c r="AM31" s="51"/>
      <c r="AN31" s="51"/>
      <c r="AO31" s="51"/>
      <c r="AP31" s="1"/>
      <c r="AQ31" s="1"/>
      <c r="AR31" s="1"/>
      <c r="AS31" s="56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J31" s="1"/>
      <c r="BK31" s="45"/>
      <c r="BM31" s="57"/>
    </row>
    <row r="32" spans="3:87" ht="19.25" customHeight="1" x14ac:dyDescent="0.2">
      <c r="C32" s="45"/>
      <c r="K32" s="75" t="s">
        <v>207</v>
      </c>
      <c r="L32" s="49" t="s">
        <v>63</v>
      </c>
      <c r="M32" s="38" t="s">
        <v>11</v>
      </c>
      <c r="N32" s="3" t="s">
        <v>48</v>
      </c>
      <c r="O32" s="156" t="s">
        <v>346</v>
      </c>
      <c r="P32" s="163" t="s">
        <v>98</v>
      </c>
      <c r="Q32" s="163" t="s">
        <v>48</v>
      </c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51"/>
      <c r="AL32" s="51"/>
      <c r="AM32" s="51"/>
      <c r="AN32" s="51"/>
      <c r="AO32" s="51"/>
      <c r="AP32" s="1"/>
      <c r="AQ32" s="1"/>
      <c r="AR32" s="1"/>
      <c r="AS32" s="56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45"/>
      <c r="BM32" s="57"/>
    </row>
    <row r="33" spans="3:87" ht="17" thickBot="1" x14ac:dyDescent="0.25">
      <c r="C33" s="45"/>
      <c r="K33" s="76">
        <v>1</v>
      </c>
      <c r="L33" s="50">
        <v>298.14999999999998</v>
      </c>
      <c r="M33" s="69">
        <f>E37</f>
        <v>1</v>
      </c>
      <c r="N33" s="98">
        <f>N37</f>
        <v>51848.933724620947</v>
      </c>
      <c r="O33" s="156">
        <v>50000</v>
      </c>
      <c r="P33" s="164">
        <f>1.036978</f>
        <v>1.036978</v>
      </c>
      <c r="Q33" s="164">
        <f>P33*O33*M33</f>
        <v>51848.899999999994</v>
      </c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N33" s="1"/>
      <c r="AO33" s="1"/>
      <c r="AP33" s="1"/>
      <c r="AQ33" s="1"/>
      <c r="AR33" s="1"/>
      <c r="AS33" s="56"/>
      <c r="BG33" s="1"/>
      <c r="BH33" s="1"/>
      <c r="BI33" s="1"/>
      <c r="BK33" s="45"/>
      <c r="BM33" s="57"/>
    </row>
    <row r="34" spans="3:87" ht="16" x14ac:dyDescent="0.2">
      <c r="C34" s="427" t="s">
        <v>79</v>
      </c>
      <c r="H34" s="1"/>
      <c r="I34" s="1"/>
      <c r="J34" s="1"/>
      <c r="K34" s="1"/>
      <c r="L34" s="1"/>
      <c r="M34" s="1"/>
      <c r="N34" s="1"/>
      <c r="O34" s="1"/>
      <c r="P34" s="1"/>
      <c r="Q34" s="44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45"/>
      <c r="AT34" s="1"/>
      <c r="AU34" s="1"/>
      <c r="AV34" s="6"/>
      <c r="AW34" s="6"/>
      <c r="AX34" s="1"/>
      <c r="AY34" s="6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M34" s="57"/>
    </row>
    <row r="35" spans="3:87" ht="17.5" customHeight="1" thickBot="1" x14ac:dyDescent="0.3">
      <c r="C35" s="427"/>
      <c r="D35" s="1"/>
      <c r="E35" s="1" t="s">
        <v>131</v>
      </c>
      <c r="F35" s="1" t="s">
        <v>5</v>
      </c>
      <c r="G35" s="1" t="s">
        <v>130</v>
      </c>
      <c r="H35" s="1" t="s">
        <v>132</v>
      </c>
      <c r="I35" s="1" t="s">
        <v>129</v>
      </c>
      <c r="J35" s="1" t="s">
        <v>8</v>
      </c>
      <c r="K35" s="1" t="s">
        <v>133</v>
      </c>
      <c r="L35" s="1" t="s">
        <v>134</v>
      </c>
      <c r="M35" s="1" t="s">
        <v>135</v>
      </c>
      <c r="N35" s="1" t="s">
        <v>136</v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I35" s="1"/>
      <c r="AJ35" s="1"/>
      <c r="AK35" s="1"/>
      <c r="AL35" s="1"/>
      <c r="AM35" s="1"/>
      <c r="AN35" s="1"/>
      <c r="AO35" s="1"/>
      <c r="AP35" s="1"/>
      <c r="AQ35" s="1"/>
      <c r="AR35" s="51"/>
      <c r="AS35" s="45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M35" s="57"/>
      <c r="BS35" s="45"/>
      <c r="BT35" s="1"/>
      <c r="BU35" s="1"/>
      <c r="BX35" s="4"/>
      <c r="BY35" s="4"/>
      <c r="CD35" s="1"/>
    </row>
    <row r="36" spans="3:87" ht="18" customHeight="1" x14ac:dyDescent="0.25">
      <c r="C36" s="427"/>
      <c r="D36" s="1"/>
      <c r="E36" s="1" t="s">
        <v>88</v>
      </c>
      <c r="F36" s="1" t="s">
        <v>90</v>
      </c>
      <c r="G36" s="2" t="s">
        <v>86</v>
      </c>
      <c r="H36" s="2" t="s">
        <v>95</v>
      </c>
      <c r="I36" s="2" t="s">
        <v>25</v>
      </c>
      <c r="J36" s="1" t="s">
        <v>98</v>
      </c>
      <c r="K36" s="2" t="s">
        <v>95</v>
      </c>
      <c r="L36" s="2" t="s">
        <v>95</v>
      </c>
      <c r="M36" s="2" t="s">
        <v>94</v>
      </c>
      <c r="N36" s="1" t="s">
        <v>92</v>
      </c>
      <c r="O36" s="1"/>
      <c r="P36" s="1"/>
      <c r="Q36" s="46"/>
      <c r="R36" s="44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74" t="s">
        <v>181</v>
      </c>
      <c r="AE36" s="63" t="s">
        <v>166</v>
      </c>
      <c r="AF36" s="70" t="s">
        <v>167</v>
      </c>
      <c r="AG36" s="58" t="s">
        <v>168</v>
      </c>
      <c r="AI36" s="1"/>
      <c r="AJ36" s="1"/>
      <c r="AK36" s="1"/>
      <c r="AL36" s="1"/>
      <c r="AM36" s="1"/>
      <c r="AN36" s="1"/>
      <c r="AO36" s="1"/>
      <c r="AP36" s="1"/>
      <c r="AQ36" s="1"/>
      <c r="AR36" s="51"/>
      <c r="AS36" s="1"/>
      <c r="AT36" s="1"/>
      <c r="AU36" s="1"/>
      <c r="AV36" s="1"/>
      <c r="AW36" s="1"/>
      <c r="AX36" s="1"/>
      <c r="AY36" s="1"/>
      <c r="AZ36" s="1"/>
      <c r="BA36" s="1"/>
      <c r="BB36" s="1"/>
      <c r="BD36" s="25"/>
      <c r="BE36" s="74" t="s">
        <v>181</v>
      </c>
      <c r="BF36" s="10" t="s">
        <v>99</v>
      </c>
      <c r="BG36" s="63" t="s">
        <v>169</v>
      </c>
      <c r="BH36" s="70" t="s">
        <v>170</v>
      </c>
      <c r="BI36" s="58" t="s">
        <v>171</v>
      </c>
      <c r="BJ36" s="25"/>
      <c r="BM36" s="57"/>
      <c r="BS36" s="1"/>
      <c r="BT36" s="1"/>
      <c r="BU36" s="1"/>
      <c r="BV36" s="1"/>
      <c r="BW36" s="1"/>
      <c r="BX36" s="1"/>
      <c r="BY36" s="1"/>
      <c r="BZ36" s="1"/>
      <c r="CC36" s="25"/>
      <c r="CF36" s="74" t="s">
        <v>181</v>
      </c>
      <c r="CG36" s="63" t="s">
        <v>185</v>
      </c>
      <c r="CH36" s="70" t="s">
        <v>186</v>
      </c>
      <c r="CI36" s="58" t="s">
        <v>209</v>
      </c>
    </row>
    <row r="37" spans="3:87" ht="17" customHeight="1" x14ac:dyDescent="0.25">
      <c r="C37" s="427"/>
      <c r="D37" s="13" t="s">
        <v>65</v>
      </c>
      <c r="E37" s="42">
        <f>D12</f>
        <v>1</v>
      </c>
      <c r="F37" s="33" cm="1">
        <f t="array" ref="F37">MW_CH4</f>
        <v>1.604276E-2</v>
      </c>
      <c r="G37" s="33">
        <f>E37/F37</f>
        <v>62.333413951215377</v>
      </c>
      <c r="H37" s="42">
        <f>b_ch_CH4</f>
        <v>831.8</v>
      </c>
      <c r="I37" s="33">
        <f>G37/G37</f>
        <v>1</v>
      </c>
      <c r="J37" s="42">
        <f>LN(I37)</f>
        <v>0</v>
      </c>
      <c r="K37" s="42">
        <f>RT0*J37</f>
        <v>0</v>
      </c>
      <c r="L37" s="42">
        <f>H37+K37</f>
        <v>831.8</v>
      </c>
      <c r="M37" s="42">
        <f>L37*I37</f>
        <v>831.8</v>
      </c>
      <c r="N37" s="35">
        <f>G37*M37</f>
        <v>51848.933724620947</v>
      </c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75" t="s">
        <v>207</v>
      </c>
      <c r="AE37" s="49" t="s">
        <v>63</v>
      </c>
      <c r="AF37" s="38" t="s">
        <v>11</v>
      </c>
      <c r="AG37" s="47" t="s">
        <v>48</v>
      </c>
      <c r="AI37" s="1"/>
      <c r="AJ37" s="426" t="s">
        <v>80</v>
      </c>
      <c r="AK37" s="426"/>
      <c r="AL37" s="426"/>
      <c r="AM37" s="426"/>
      <c r="AN37" s="426"/>
      <c r="AO37" s="426"/>
      <c r="AP37" s="1"/>
      <c r="AQ37" s="1"/>
      <c r="AR37" s="51"/>
      <c r="AS37" s="1"/>
      <c r="AT37" s="1"/>
      <c r="AU37" s="1"/>
      <c r="AV37" s="1"/>
      <c r="AW37" s="1"/>
      <c r="AX37" s="1"/>
      <c r="BE37" s="75" t="s">
        <v>207</v>
      </c>
      <c r="BF37" s="11" t="s">
        <v>63</v>
      </c>
      <c r="BG37" s="49" t="s">
        <v>63</v>
      </c>
      <c r="BH37" s="68" t="s">
        <v>89</v>
      </c>
      <c r="BI37" s="64" t="s">
        <v>93</v>
      </c>
      <c r="BM37" s="57"/>
      <c r="BS37" s="1"/>
      <c r="BT37" s="1"/>
      <c r="BU37" s="1"/>
      <c r="BV37" s="1"/>
      <c r="BW37" s="1"/>
      <c r="BX37" s="1"/>
      <c r="CF37" s="75" t="s">
        <v>207</v>
      </c>
      <c r="CG37" s="49" t="s">
        <v>63</v>
      </c>
      <c r="CH37" s="68" t="s">
        <v>89</v>
      </c>
      <c r="CI37" s="64" t="s">
        <v>93</v>
      </c>
    </row>
    <row r="38" spans="3:87" ht="15.5" customHeight="1" thickBot="1" x14ac:dyDescent="0.25">
      <c r="C38" s="45"/>
      <c r="D38" s="1" t="s">
        <v>19</v>
      </c>
      <c r="E38" s="1">
        <f>E37</f>
        <v>1</v>
      </c>
      <c r="F38" s="6">
        <f>F37</f>
        <v>1.604276E-2</v>
      </c>
      <c r="G38" s="6">
        <f>G37</f>
        <v>62.333413951215377</v>
      </c>
      <c r="H38" s="1"/>
      <c r="I38" s="6"/>
      <c r="J38" s="1"/>
      <c r="K38" s="1"/>
      <c r="L38" s="1"/>
      <c r="M38" s="1">
        <f>M37</f>
        <v>831.8</v>
      </c>
      <c r="N38" s="1">
        <f>G38*M38</f>
        <v>51848.933724620947</v>
      </c>
      <c r="O38" s="1"/>
      <c r="P38" s="1"/>
      <c r="Q38" s="1"/>
      <c r="R38" s="426" t="s">
        <v>81</v>
      </c>
      <c r="S38" s="426"/>
      <c r="T38" s="426"/>
      <c r="U38" s="426"/>
      <c r="V38" s="51"/>
      <c r="W38" s="51"/>
      <c r="X38" s="51"/>
      <c r="Y38" s="51"/>
      <c r="Z38" s="51"/>
      <c r="AA38" s="51"/>
      <c r="AB38" s="51"/>
      <c r="AC38" s="51"/>
      <c r="AD38" s="76">
        <v>1</v>
      </c>
      <c r="AE38" s="50">
        <v>298.14999999999998</v>
      </c>
      <c r="AF38" s="69">
        <f>X46</f>
        <v>18.12043124749108</v>
      </c>
      <c r="AG38" s="48">
        <f>AG46</f>
        <v>51619.471525064786</v>
      </c>
      <c r="AH38" s="51"/>
      <c r="AI38" s="51"/>
      <c r="AJ38" s="426"/>
      <c r="AK38" s="426"/>
      <c r="AL38" s="426"/>
      <c r="AM38" s="426"/>
      <c r="AN38" s="426"/>
      <c r="AO38" s="426"/>
      <c r="AP38" s="51"/>
      <c r="AQ38" s="51"/>
      <c r="AR38" s="1"/>
      <c r="AS38" s="1"/>
      <c r="AT38" s="1"/>
      <c r="AU38" s="1"/>
      <c r="AV38" s="1"/>
      <c r="AW38" s="1"/>
      <c r="AX38" s="1"/>
      <c r="BA38" s="1"/>
      <c r="BB38" s="1"/>
      <c r="BE38" s="76">
        <v>1</v>
      </c>
      <c r="BF38" s="12">
        <v>298.14999999999998</v>
      </c>
      <c r="BG38" s="50">
        <v>2236</v>
      </c>
      <c r="BH38" s="69">
        <f>AU46</f>
        <v>18.12043124749108</v>
      </c>
      <c r="BI38" s="48">
        <f>BI46</f>
        <v>-529368.86089949706</v>
      </c>
      <c r="BL38" s="426" t="s">
        <v>97</v>
      </c>
      <c r="BM38" s="426"/>
      <c r="BN38" s="426"/>
      <c r="BO38" s="426"/>
      <c r="BS38" s="1"/>
      <c r="BT38" s="1"/>
      <c r="BU38" s="1"/>
      <c r="BV38" s="1"/>
      <c r="BW38" s="1"/>
      <c r="BX38" s="1"/>
      <c r="CF38" s="76">
        <v>1</v>
      </c>
      <c r="CG38" s="50">
        <v>298.14999999999998</v>
      </c>
      <c r="CH38" s="69">
        <f>BU45</f>
        <v>18.12043124749108</v>
      </c>
      <c r="CI38" s="48">
        <f>CI45</f>
        <v>1593.8072704125107</v>
      </c>
    </row>
    <row r="39" spans="3:87" ht="15.5" customHeight="1" x14ac:dyDescent="0.25">
      <c r="C39" s="45"/>
      <c r="D39" s="1"/>
      <c r="E39" s="1" t="s">
        <v>89</v>
      </c>
      <c r="F39" s="3" t="s">
        <v>91</v>
      </c>
      <c r="G39" s="3" t="s">
        <v>87</v>
      </c>
      <c r="H39" s="4"/>
      <c r="I39" s="4"/>
      <c r="M39" s="3" t="s">
        <v>96</v>
      </c>
      <c r="N39" s="1" t="s">
        <v>93</v>
      </c>
      <c r="O39" s="1"/>
      <c r="P39" s="1"/>
      <c r="Q39" s="1"/>
      <c r="R39" s="426"/>
      <c r="S39" s="426"/>
      <c r="T39" s="426"/>
      <c r="U39" s="426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426"/>
      <c r="AK39" s="426"/>
      <c r="AL39" s="426"/>
      <c r="AM39" s="426"/>
      <c r="AN39" s="426"/>
      <c r="AO39" s="426"/>
      <c r="AP39" s="51"/>
      <c r="AQ39" s="51"/>
      <c r="AR39" s="1"/>
      <c r="AS39" s="1"/>
      <c r="AT39" s="1"/>
      <c r="AU39" s="1"/>
      <c r="AV39" s="1"/>
      <c r="AW39" s="1"/>
      <c r="AX39" s="1"/>
      <c r="BL39" s="426"/>
      <c r="BM39" s="426"/>
      <c r="BN39" s="426"/>
      <c r="BO39" s="426"/>
      <c r="BS39" s="1"/>
      <c r="BT39" s="1"/>
      <c r="BU39" s="1"/>
      <c r="BV39" s="1"/>
      <c r="BW39" s="1"/>
      <c r="BX39" s="1"/>
    </row>
    <row r="40" spans="3:87" ht="15.5" customHeight="1" x14ac:dyDescent="0.25">
      <c r="C40" s="45"/>
      <c r="D40" s="1"/>
      <c r="E40" s="1"/>
      <c r="H40" s="4"/>
      <c r="I40" s="4"/>
      <c r="N40" s="1"/>
      <c r="O40" s="1"/>
      <c r="P40" s="1"/>
      <c r="Q40" s="1"/>
      <c r="R40" s="426"/>
      <c r="S40" s="426"/>
      <c r="T40" s="426"/>
      <c r="U40" s="426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426"/>
      <c r="AK40" s="426"/>
      <c r="AL40" s="426"/>
      <c r="AM40" s="426"/>
      <c r="AN40" s="426"/>
      <c r="AO40" s="426"/>
      <c r="AP40" s="51"/>
      <c r="AQ40" s="51"/>
      <c r="AR40" s="1"/>
      <c r="AS40" s="56"/>
      <c r="AT40" s="1"/>
      <c r="AU40" s="1"/>
      <c r="AV40" s="1"/>
      <c r="AW40" s="1"/>
      <c r="AX40" s="1"/>
      <c r="BL40" s="426"/>
      <c r="BM40" s="426"/>
      <c r="BN40" s="426"/>
      <c r="BO40" s="426"/>
      <c r="BS40" s="1"/>
      <c r="BT40" s="1"/>
      <c r="BU40" s="1" t="s">
        <v>184</v>
      </c>
      <c r="BV40" s="1" t="s">
        <v>5</v>
      </c>
      <c r="BW40" s="1" t="s">
        <v>85</v>
      </c>
      <c r="BX40" s="1" t="s">
        <v>216</v>
      </c>
      <c r="BY40" s="1" t="s">
        <v>217</v>
      </c>
      <c r="BZ40" s="1" t="s">
        <v>8</v>
      </c>
      <c r="CA40" s="1" t="s">
        <v>218</v>
      </c>
      <c r="CB40" s="1" t="s">
        <v>219</v>
      </c>
      <c r="CC40" s="3" t="s">
        <v>210</v>
      </c>
      <c r="CD40" s="3" t="s">
        <v>220</v>
      </c>
      <c r="CE40" s="3" t="s">
        <v>103</v>
      </c>
      <c r="CF40" s="3" t="s">
        <v>104</v>
      </c>
      <c r="CG40" s="1" t="s">
        <v>221</v>
      </c>
      <c r="CH40" s="1" t="s">
        <v>222</v>
      </c>
      <c r="CI40" s="1" t="s">
        <v>223</v>
      </c>
    </row>
    <row r="41" spans="3:87" ht="20" customHeight="1" thickBot="1" x14ac:dyDescent="0.3">
      <c r="C41" s="45"/>
      <c r="D41" s="1"/>
      <c r="E41" s="1"/>
      <c r="H41" s="4"/>
      <c r="I41" s="4"/>
      <c r="N41" s="1"/>
      <c r="O41" s="1"/>
      <c r="P41" s="1"/>
      <c r="Q41" s="1"/>
      <c r="R41" s="1"/>
      <c r="S41" s="1"/>
      <c r="T41" s="1"/>
      <c r="U41" s="1"/>
      <c r="V41" s="1"/>
      <c r="W41" s="1"/>
      <c r="X41" s="1" t="s">
        <v>144</v>
      </c>
      <c r="Y41" s="1" t="s">
        <v>5</v>
      </c>
      <c r="Z41" s="1" t="s">
        <v>85</v>
      </c>
      <c r="AA41" s="1" t="s">
        <v>145</v>
      </c>
      <c r="AB41" s="1" t="s">
        <v>146</v>
      </c>
      <c r="AC41" s="1" t="s">
        <v>8</v>
      </c>
      <c r="AD41" s="1" t="s">
        <v>147</v>
      </c>
      <c r="AE41" s="1" t="s">
        <v>148</v>
      </c>
      <c r="AF41" s="1" t="s">
        <v>208</v>
      </c>
      <c r="AG41" s="1" t="s">
        <v>149</v>
      </c>
      <c r="AH41" s="1"/>
      <c r="AI41" s="1"/>
      <c r="AJ41" s="426"/>
      <c r="AK41" s="426"/>
      <c r="AL41" s="426"/>
      <c r="AM41" s="426"/>
      <c r="AN41" s="426"/>
      <c r="AO41" s="426"/>
      <c r="AP41" s="1"/>
      <c r="AQ41" s="1"/>
      <c r="AR41" s="1"/>
      <c r="AS41" s="56"/>
      <c r="AT41" s="1"/>
      <c r="AU41" s="1" t="s">
        <v>159</v>
      </c>
      <c r="AV41" s="1" t="s">
        <v>5</v>
      </c>
      <c r="AW41" s="1" t="s">
        <v>85</v>
      </c>
      <c r="AX41" s="1" t="s">
        <v>158</v>
      </c>
      <c r="AY41" s="1" t="s">
        <v>157</v>
      </c>
      <c r="AZ41" s="1" t="s">
        <v>8</v>
      </c>
      <c r="BA41" s="1" t="s">
        <v>156</v>
      </c>
      <c r="BB41" s="1" t="s">
        <v>155</v>
      </c>
      <c r="BC41" s="3" t="s">
        <v>150</v>
      </c>
      <c r="BD41" s="3" t="s">
        <v>151</v>
      </c>
      <c r="BE41" s="3" t="s">
        <v>103</v>
      </c>
      <c r="BF41" s="3" t="s">
        <v>104</v>
      </c>
      <c r="BG41" s="1" t="s">
        <v>154</v>
      </c>
      <c r="BH41" s="1" t="s">
        <v>152</v>
      </c>
      <c r="BI41" s="1" t="s">
        <v>153</v>
      </c>
      <c r="BJ41" s="1"/>
      <c r="BM41" s="57"/>
      <c r="BQ41" s="1"/>
      <c r="BR41" s="1"/>
      <c r="BS41" s="1"/>
      <c r="BT41" s="1"/>
      <c r="BU41" s="1" t="s">
        <v>88</v>
      </c>
      <c r="BV41" s="1" t="s">
        <v>90</v>
      </c>
      <c r="BW41" s="2" t="s">
        <v>86</v>
      </c>
      <c r="BX41" s="2" t="s">
        <v>95</v>
      </c>
      <c r="BY41" s="2" t="s">
        <v>25</v>
      </c>
      <c r="BZ41" s="2" t="s">
        <v>98</v>
      </c>
      <c r="CA41" s="2" t="s">
        <v>95</v>
      </c>
      <c r="CB41" s="2" t="s">
        <v>95</v>
      </c>
      <c r="CC41" s="4" t="s">
        <v>106</v>
      </c>
      <c r="CD41" s="4" t="s">
        <v>105</v>
      </c>
      <c r="CE41" s="4" t="s">
        <v>106</v>
      </c>
      <c r="CF41" s="4" t="s">
        <v>105</v>
      </c>
      <c r="CG41" s="4" t="s">
        <v>106</v>
      </c>
      <c r="CH41" s="1" t="s">
        <v>94</v>
      </c>
      <c r="CI41" s="1" t="s">
        <v>92</v>
      </c>
    </row>
    <row r="42" spans="3:87" ht="20" customHeight="1" x14ac:dyDescent="0.25">
      <c r="C42" s="45"/>
      <c r="D42" s="1"/>
      <c r="E42" s="1"/>
      <c r="H42" s="4"/>
      <c r="I42" s="4"/>
      <c r="N42" s="1"/>
      <c r="O42" s="1"/>
      <c r="P42" s="1"/>
      <c r="Q42" s="1"/>
      <c r="R42" s="109" t="s">
        <v>326</v>
      </c>
      <c r="S42" s="135" t="s">
        <v>348</v>
      </c>
      <c r="T42" s="377" t="s">
        <v>344</v>
      </c>
      <c r="U42" s="102" t="s">
        <v>317</v>
      </c>
      <c r="V42" s="1"/>
      <c r="W42" s="7"/>
      <c r="X42" s="1" t="s">
        <v>88</v>
      </c>
      <c r="Y42" s="1" t="s">
        <v>90</v>
      </c>
      <c r="Z42" s="2" t="s">
        <v>86</v>
      </c>
      <c r="AA42" s="2" t="s">
        <v>95</v>
      </c>
      <c r="AB42" s="2" t="s">
        <v>25</v>
      </c>
      <c r="AC42" s="1" t="s">
        <v>98</v>
      </c>
      <c r="AD42" s="2" t="s">
        <v>95</v>
      </c>
      <c r="AE42" s="2" t="s">
        <v>95</v>
      </c>
      <c r="AF42" s="2" t="s">
        <v>94</v>
      </c>
      <c r="AG42" s="1" t="s">
        <v>92</v>
      </c>
      <c r="AH42" s="1"/>
      <c r="AI42" s="1"/>
      <c r="AJ42" s="426"/>
      <c r="AK42" s="426"/>
      <c r="AL42" s="426"/>
      <c r="AM42" s="426"/>
      <c r="AN42" s="426"/>
      <c r="AO42" s="426"/>
      <c r="AP42" s="1"/>
      <c r="AQ42" s="1"/>
      <c r="AR42" s="1"/>
      <c r="AS42" s="56"/>
      <c r="AT42" s="1"/>
      <c r="AU42" s="1" t="s">
        <v>88</v>
      </c>
      <c r="AV42" s="1" t="s">
        <v>90</v>
      </c>
      <c r="AW42" s="2" t="s">
        <v>86</v>
      </c>
      <c r="AX42" s="2" t="s">
        <v>95</v>
      </c>
      <c r="AY42" s="2" t="s">
        <v>25</v>
      </c>
      <c r="AZ42" s="2" t="s">
        <v>98</v>
      </c>
      <c r="BA42" s="2" t="s">
        <v>95</v>
      </c>
      <c r="BB42" s="2" t="s">
        <v>95</v>
      </c>
      <c r="BC42" s="4" t="s">
        <v>106</v>
      </c>
      <c r="BD42" s="4" t="s">
        <v>105</v>
      </c>
      <c r="BE42" s="4" t="s">
        <v>106</v>
      </c>
      <c r="BF42" s="4" t="s">
        <v>105</v>
      </c>
      <c r="BG42" s="4" t="s">
        <v>106</v>
      </c>
      <c r="BH42" s="1" t="s">
        <v>94</v>
      </c>
      <c r="BI42" s="1" t="s">
        <v>92</v>
      </c>
      <c r="BJ42" s="1"/>
      <c r="BL42" s="109" t="s">
        <v>326</v>
      </c>
      <c r="BM42" s="135" t="s">
        <v>348</v>
      </c>
      <c r="BN42" s="358" t="s">
        <v>344</v>
      </c>
      <c r="BO42" s="102" t="s">
        <v>317</v>
      </c>
      <c r="BQ42" s="1"/>
      <c r="BR42" s="1"/>
      <c r="BS42" s="1"/>
      <c r="BT42" s="26" t="s">
        <v>23</v>
      </c>
      <c r="BU42" s="8">
        <f>AU43</f>
        <v>2.7432810813101987</v>
      </c>
      <c r="BV42" s="27">
        <f>MW_CO2</f>
        <v>4.4009800000000002E-2</v>
      </c>
      <c r="BW42" s="27">
        <f>BU42/BV42</f>
        <v>62.333413951215377</v>
      </c>
      <c r="BX42" s="43">
        <f>b_ch_CO2</f>
        <v>19.900000000000034</v>
      </c>
      <c r="BY42" s="27">
        <f>BW42/$AW$46</f>
        <v>9.5057034220532313E-2</v>
      </c>
      <c r="BZ42" s="8">
        <f>LN(BY42)</f>
        <v>-2.3532782073095637</v>
      </c>
      <c r="CA42" s="8">
        <f>RT0*BZ42</f>
        <v>-5.3442220925034132</v>
      </c>
      <c r="CB42" s="8">
        <f>BX42+CA42</f>
        <v>14.555777907496621</v>
      </c>
      <c r="CC42" s="62">
        <f>h_0_CO2</f>
        <v>9.3640000000000008</v>
      </c>
      <c r="CD42" s="62">
        <f>s_0_CO2</f>
        <v>0.21368500000000001</v>
      </c>
      <c r="CE42" s="62">
        <f>h_0_CO2</f>
        <v>9.3640000000000008</v>
      </c>
      <c r="CF42" s="62">
        <f>s_0_CO2</f>
        <v>0.21368500000000001</v>
      </c>
      <c r="CG42" s="62">
        <f>(CC42-CE42)-$BA$38*(CD42-CF42)</f>
        <v>0</v>
      </c>
      <c r="CH42" s="62">
        <f>BY42*(CB42+CG42)</f>
        <v>1.3836290786593746</v>
      </c>
      <c r="CI42" s="62">
        <f>CH42*$AW$46</f>
        <v>907.31132968994245</v>
      </c>
    </row>
    <row r="43" spans="3:87" ht="19" thickBot="1" x14ac:dyDescent="0.3">
      <c r="C43" s="1"/>
      <c r="D43" s="1"/>
      <c r="E43" s="1"/>
      <c r="F43" s="1"/>
      <c r="G43" s="1"/>
      <c r="H43" s="1"/>
      <c r="I43" s="1"/>
      <c r="J43" s="1"/>
      <c r="K43" s="1"/>
      <c r="O43" s="1"/>
      <c r="P43" s="1"/>
      <c r="Q43" s="1"/>
      <c r="R43" s="111" t="s">
        <v>48</v>
      </c>
      <c r="S43" s="6" t="s">
        <v>324</v>
      </c>
      <c r="T43" s="378"/>
      <c r="U43" s="103" t="s">
        <v>48</v>
      </c>
      <c r="V43" s="1"/>
      <c r="W43" s="13" t="s">
        <v>65</v>
      </c>
      <c r="X43" s="27">
        <f>E37</f>
        <v>1</v>
      </c>
      <c r="Y43" s="27">
        <f>MW_CH4</f>
        <v>1.604276E-2</v>
      </c>
      <c r="Z43" s="27">
        <f>X43/Y43</f>
        <v>62.333413951215377</v>
      </c>
      <c r="AA43" s="43">
        <f>b_ch_CH4</f>
        <v>831.8</v>
      </c>
      <c r="AB43" s="27">
        <f>Z43/Z46</f>
        <v>0.16666666666666669</v>
      </c>
      <c r="AC43" s="27">
        <f>LN(AB43)</f>
        <v>-1.791759469228055</v>
      </c>
      <c r="AD43" s="27">
        <f>RT0*AC43</f>
        <v>-4.0690303892493134</v>
      </c>
      <c r="AE43" s="8">
        <f>AA43+AD43</f>
        <v>827.73096961075066</v>
      </c>
      <c r="AF43" s="8">
        <f>AE43*AB43</f>
        <v>137.95516160179179</v>
      </c>
      <c r="AG43" s="55">
        <f>AF43*$Z$46</f>
        <v>51595.297168987796</v>
      </c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56"/>
      <c r="AT43" s="26" t="s">
        <v>23</v>
      </c>
      <c r="AU43" s="8">
        <f>M12</f>
        <v>2.7432810813101987</v>
      </c>
      <c r="AV43" s="27">
        <f>MW_CO2</f>
        <v>4.4009800000000002E-2</v>
      </c>
      <c r="AW43" s="27">
        <f>AU43/AV43</f>
        <v>62.333413951215377</v>
      </c>
      <c r="AX43" s="43">
        <f>b_ch_CO2</f>
        <v>19.900000000000034</v>
      </c>
      <c r="AY43" s="27">
        <f>AW43/$AW$46</f>
        <v>9.5057034220532313E-2</v>
      </c>
      <c r="AZ43" s="8">
        <f>LN(AY43)</f>
        <v>-2.3532782073095637</v>
      </c>
      <c r="BA43" s="8">
        <f>RT0*AZ43</f>
        <v>-5.3442220925034132</v>
      </c>
      <c r="BB43" s="8">
        <f>AX43+BA43</f>
        <v>14.555777907496621</v>
      </c>
      <c r="BC43" s="62">
        <f>h_CO2</f>
        <v>-8941.1903712354979</v>
      </c>
      <c r="BD43" s="62">
        <f>s_CO2</f>
        <v>0.31597000000000003</v>
      </c>
      <c r="BE43" s="62">
        <f>h_0_CO2</f>
        <v>9.3640000000000008</v>
      </c>
      <c r="BF43" s="62">
        <f>s_0_CO2</f>
        <v>0.21368500000000001</v>
      </c>
      <c r="BG43" s="62">
        <f>(BC43-BE43)-$BF$38*(BD43-BF43)</f>
        <v>-8981.050643985498</v>
      </c>
      <c r="BH43" s="62">
        <f>AY43*(BB43+BG43)</f>
        <v>-852.32840932300383</v>
      </c>
      <c r="BI43" s="62">
        <f>BH43*$AW$46</f>
        <v>-558912.23617868754</v>
      </c>
      <c r="BJ43" s="1"/>
      <c r="BL43" s="111" t="s">
        <v>48</v>
      </c>
      <c r="BM43" s="6" t="s">
        <v>324</v>
      </c>
      <c r="BN43" s="359"/>
      <c r="BO43" s="103" t="s">
        <v>48</v>
      </c>
      <c r="BT43" s="24" t="s">
        <v>68</v>
      </c>
      <c r="BU43" s="1">
        <f>AU44</f>
        <v>2.2459078113741029</v>
      </c>
      <c r="BV43" s="6">
        <f>MW_H2O</f>
        <v>1.8015280000000002E-2</v>
      </c>
      <c r="BW43" s="6">
        <f>BU43/BV43</f>
        <v>124.66682790243075</v>
      </c>
      <c r="BX43" s="7">
        <f>b_ch_H2O</f>
        <v>9.5113440000000082</v>
      </c>
      <c r="BY43" s="6">
        <f>BW43/$AW$46</f>
        <v>0.19011406844106463</v>
      </c>
      <c r="BZ43" s="1">
        <f>LN(BY43)</f>
        <v>-1.6601310267496185</v>
      </c>
      <c r="CA43" s="1">
        <f>RT0*BZ43</f>
        <v>-3.770106263699657</v>
      </c>
      <c r="CB43" s="1">
        <f>BX43+CA43</f>
        <v>5.7412377363003513</v>
      </c>
      <c r="CC43" s="1">
        <f>h_0_H2O</f>
        <v>9.9039999999999999</v>
      </c>
      <c r="CD43" s="1">
        <f>s_0_H2O</f>
        <v>0.18872</v>
      </c>
      <c r="CE43" s="1">
        <f>h_0_H2O</f>
        <v>9.9039999999999999</v>
      </c>
      <c r="CF43" s="1">
        <f>s_0_H2O</f>
        <v>0.18872</v>
      </c>
      <c r="CG43" s="4">
        <f>(CC43-CE43)-$BA$38*(CD43-CF43)</f>
        <v>0</v>
      </c>
      <c r="CH43" s="4">
        <f t="shared" ref="CH43:CH44" si="1">BY43*(CB43+CG43)</f>
        <v>1.0914900639354279</v>
      </c>
      <c r="CI43" s="4">
        <f>CH43*$AW$46</f>
        <v>715.74189681829694</v>
      </c>
    </row>
    <row r="44" spans="3:87" ht="19.25" customHeight="1" thickBot="1" x14ac:dyDescent="0.3">
      <c r="C44" s="1"/>
      <c r="D44" s="1"/>
      <c r="E44" s="1"/>
      <c r="F44" s="1"/>
      <c r="G44" s="1"/>
      <c r="H44" s="1"/>
      <c r="I44" s="1"/>
      <c r="J44" s="1"/>
      <c r="K44" s="74" t="s">
        <v>181</v>
      </c>
      <c r="L44" s="70" t="s">
        <v>165</v>
      </c>
      <c r="M44" s="70" t="s">
        <v>164</v>
      </c>
      <c r="N44" s="58" t="s">
        <v>161</v>
      </c>
      <c r="O44" s="1"/>
      <c r="P44" s="1"/>
      <c r="Q44" s="1"/>
      <c r="R44" s="124">
        <f>N33+N46-AG38</f>
        <v>363.48168596222968</v>
      </c>
      <c r="S44" s="13">
        <f>M33+M46-AF38</f>
        <v>0</v>
      </c>
      <c r="T44" s="139" t="s">
        <v>341</v>
      </c>
      <c r="U44" s="103" t="s">
        <v>98</v>
      </c>
      <c r="V44" s="1"/>
      <c r="W44" s="13" t="s">
        <v>27</v>
      </c>
      <c r="X44" s="6">
        <f>E50</f>
        <v>3.9891888926843011</v>
      </c>
      <c r="Y44" s="6">
        <f>MW_O2</f>
        <v>3.1998800000000001E-2</v>
      </c>
      <c r="Z44" s="6">
        <f>X44/Y44</f>
        <v>124.66682790243075</v>
      </c>
      <c r="AA44" s="7">
        <f>b_ch_O2</f>
        <v>4</v>
      </c>
      <c r="AB44" s="6">
        <f>Z44/Z46</f>
        <v>0.33333333333333337</v>
      </c>
      <c r="AC44" s="6">
        <f>LN(AB44)</f>
        <v>-1.0986122886681096</v>
      </c>
      <c r="AD44" s="6">
        <f>RT0*AC44</f>
        <v>-2.4949145604455567</v>
      </c>
      <c r="AE44" s="1">
        <f>AA44+AD44</f>
        <v>1.5050854395544433</v>
      </c>
      <c r="AF44" s="1">
        <f>AE44*AB44</f>
        <v>0.50169514651814784</v>
      </c>
      <c r="AG44" s="23">
        <f t="shared" ref="AG44:AG45" si="2">AF44*$Z$46</f>
        <v>187.63422747138813</v>
      </c>
      <c r="AH44" s="1"/>
      <c r="AI44" s="1"/>
      <c r="AJ44" s="1"/>
      <c r="AK44" s="109" t="s">
        <v>326</v>
      </c>
      <c r="AL44" s="135" t="s">
        <v>348</v>
      </c>
      <c r="AM44" s="358" t="s">
        <v>344</v>
      </c>
      <c r="AN44" s="102" t="s">
        <v>317</v>
      </c>
      <c r="AO44" s="1"/>
      <c r="AP44" s="1"/>
      <c r="AQ44" s="1"/>
      <c r="AR44" s="1"/>
      <c r="AS44" s="45"/>
      <c r="AT44" s="24" t="s">
        <v>68</v>
      </c>
      <c r="AU44" s="1">
        <f>M13</f>
        <v>2.2459078113741029</v>
      </c>
      <c r="AV44" s="6">
        <f>MW_H2O</f>
        <v>1.8015280000000002E-2</v>
      </c>
      <c r="AW44" s="6">
        <f>AU44/AV44</f>
        <v>124.66682790243075</v>
      </c>
      <c r="AX44" s="7">
        <f>b_ch_H2O</f>
        <v>9.5113440000000082</v>
      </c>
      <c r="AY44" s="6">
        <f>AW44/$AW$46</f>
        <v>0.19011406844106463</v>
      </c>
      <c r="AZ44" s="1">
        <f>LN(AY44)</f>
        <v>-1.6601310267496185</v>
      </c>
      <c r="BA44" s="1">
        <f>RT0*AZ44</f>
        <v>-3.770106263699657</v>
      </c>
      <c r="BB44" s="1">
        <f>AX44+BA44</f>
        <v>5.7412377363003513</v>
      </c>
      <c r="BC44" s="1">
        <f>h_T_H2O</f>
        <v>94.827839999999995</v>
      </c>
      <c r="BD44" s="1">
        <f>s_H2O</f>
        <v>0.27035000000000003</v>
      </c>
      <c r="BE44" s="1">
        <f>h_0_H2O</f>
        <v>9.9039999999999999</v>
      </c>
      <c r="BF44" s="1">
        <f>s_0_H2O</f>
        <v>0.18872</v>
      </c>
      <c r="BG44" s="4">
        <f t="shared" ref="BG44:BG45" si="3">(BC44-BE44)-$BF$38*(BD44-BF44)</f>
        <v>60.585855499999994</v>
      </c>
      <c r="BH44" s="4">
        <f t="shared" ref="BH44:BH45" si="4">AY44*(BB44+BG44)</f>
        <v>12.609713543022878</v>
      </c>
      <c r="BI44" s="4">
        <f>BH44*$AW$46</f>
        <v>8268.7883177583335</v>
      </c>
      <c r="BJ44" s="1"/>
      <c r="BK44" s="4"/>
      <c r="BL44" s="124">
        <f>(BI38-CI38)</f>
        <v>-530962.66816990962</v>
      </c>
      <c r="BM44" s="13">
        <f>BH38-CH38</f>
        <v>0</v>
      </c>
      <c r="BN44" s="139" t="s">
        <v>341</v>
      </c>
      <c r="BO44" s="103" t="s">
        <v>98</v>
      </c>
      <c r="BT44" s="59" t="s">
        <v>67</v>
      </c>
      <c r="BU44" s="28">
        <f>AU45</f>
        <v>13.131242354806778</v>
      </c>
      <c r="BV44" s="29">
        <f>MW_N2</f>
        <v>2.801348E-2</v>
      </c>
      <c r="BW44" s="29">
        <f>BU44/BV44</f>
        <v>468.74727291313962</v>
      </c>
      <c r="BX44" s="60">
        <f>b_ch_N2</f>
        <v>0.7</v>
      </c>
      <c r="BY44" s="29">
        <f>BW44/$AW$46</f>
        <v>0.71482889733840305</v>
      </c>
      <c r="BZ44" s="2">
        <f>LN(BY44)</f>
        <v>-0.33571206934781533</v>
      </c>
      <c r="CA44" s="2">
        <f>RT0*BZ44</f>
        <v>-0.76239173598594567</v>
      </c>
      <c r="CB44" s="2">
        <f>BX44+CA44</f>
        <v>-6.2391735985945718E-2</v>
      </c>
      <c r="CC44" s="1">
        <f>h_0_N2</f>
        <v>8.6690000000000005</v>
      </c>
      <c r="CD44" s="1">
        <f>s_0_N2</f>
        <v>0.19150200000000001</v>
      </c>
      <c r="CE44" s="1">
        <f>h_0_N2</f>
        <v>8.6690000000000005</v>
      </c>
      <c r="CF44" s="1">
        <f>s_0_N2</f>
        <v>0.19150200000000001</v>
      </c>
      <c r="CG44" s="4">
        <f>(CC44-CE44)-$BA$38*(CD44-CF44)</f>
        <v>0</v>
      </c>
      <c r="CH44" s="4">
        <f t="shared" si="1"/>
        <v>-4.4599415837862338E-2</v>
      </c>
      <c r="CI44" s="4">
        <f>CH44*$AW$46</f>
        <v>-29.245956095728655</v>
      </c>
    </row>
    <row r="45" spans="3:87" ht="18" x14ac:dyDescent="0.25">
      <c r="C45" s="1"/>
      <c r="D45" s="1"/>
      <c r="E45" s="1"/>
      <c r="F45" s="1"/>
      <c r="G45" s="1"/>
      <c r="H45" s="1"/>
      <c r="I45" s="1"/>
      <c r="J45" s="1"/>
      <c r="K45" s="75" t="s">
        <v>207</v>
      </c>
      <c r="L45" s="38" t="s">
        <v>63</v>
      </c>
      <c r="M45" s="38" t="s">
        <v>11</v>
      </c>
      <c r="N45" s="47" t="s">
        <v>48</v>
      </c>
      <c r="O45" s="1"/>
      <c r="P45" s="1"/>
      <c r="Q45" s="1"/>
      <c r="R45" s="6">
        <f>N37-AG43</f>
        <v>253.63655563315115</v>
      </c>
      <c r="S45" s="4"/>
      <c r="T45" s="139" t="s">
        <v>342</v>
      </c>
      <c r="U45" s="103">
        <f>AG38/(N33+N46)</f>
        <v>0.99300767533374523</v>
      </c>
      <c r="V45" s="1"/>
      <c r="W45" s="39" t="s">
        <v>67</v>
      </c>
      <c r="X45" s="7">
        <f>E51</f>
        <v>13.131242354806778</v>
      </c>
      <c r="Y45" s="6">
        <f>MW_N2</f>
        <v>2.801348E-2</v>
      </c>
      <c r="Z45" s="7">
        <f>SUM(Z43:Z44)</f>
        <v>187.00024185364612</v>
      </c>
      <c r="AA45" s="7">
        <f>b_ch_N2</f>
        <v>0.7</v>
      </c>
      <c r="AB45" s="6">
        <f>Z45/Z46</f>
        <v>0.5</v>
      </c>
      <c r="AC45" s="6">
        <f>LN(AB45)</f>
        <v>-0.69314718055994529</v>
      </c>
      <c r="AD45" s="6">
        <f>RT0*AC45</f>
        <v>-1.5741158288037564</v>
      </c>
      <c r="AE45" s="1">
        <f>AA45+AD45</f>
        <v>-0.87411582880375649</v>
      </c>
      <c r="AF45" s="1">
        <f>AE45*AB45</f>
        <v>-0.43705791440187824</v>
      </c>
      <c r="AG45" s="18">
        <f t="shared" si="2"/>
        <v>-163.4598713944028</v>
      </c>
      <c r="AH45" s="7"/>
      <c r="AI45" s="1"/>
      <c r="AJ45" s="1"/>
      <c r="AK45" s="111" t="s">
        <v>48</v>
      </c>
      <c r="AL45" s="6" t="s">
        <v>324</v>
      </c>
      <c r="AM45" s="359"/>
      <c r="AN45" s="103" t="s">
        <v>48</v>
      </c>
      <c r="AO45" s="1"/>
      <c r="AP45" s="1"/>
      <c r="AQ45" s="1"/>
      <c r="AR45" s="1"/>
      <c r="AS45" s="45"/>
      <c r="AT45" s="59" t="s">
        <v>67</v>
      </c>
      <c r="AU45" s="28">
        <f>M14</f>
        <v>13.131242354806778</v>
      </c>
      <c r="AV45" s="29">
        <f>MW_N2</f>
        <v>2.801348E-2</v>
      </c>
      <c r="AW45" s="29">
        <f>AU45/AV45</f>
        <v>468.74727291313962</v>
      </c>
      <c r="AX45" s="60">
        <f>b_ch_N2</f>
        <v>0.7</v>
      </c>
      <c r="AY45" s="29">
        <f>AW45/$AW$46</f>
        <v>0.71482889733840305</v>
      </c>
      <c r="AZ45" s="2">
        <f>LN(AY45)</f>
        <v>-0.33571206934781533</v>
      </c>
      <c r="BA45" s="2">
        <f>RT0*AZ45</f>
        <v>-0.76239173598594567</v>
      </c>
      <c r="BB45" s="2">
        <f>AX45+BA45</f>
        <v>-6.2391735985945718E-2</v>
      </c>
      <c r="BC45" s="1">
        <f>h_T_N2</f>
        <v>73.347520000000003</v>
      </c>
      <c r="BD45" s="1">
        <f>s_N2</f>
        <v>0.25600000000000001</v>
      </c>
      <c r="BE45" s="1">
        <f>h_0_N2</f>
        <v>8.6690000000000005</v>
      </c>
      <c r="BF45" s="1">
        <f>s_0_N2</f>
        <v>0.19150200000000001</v>
      </c>
      <c r="BG45" s="4">
        <f t="shared" si="3"/>
        <v>45.448441300000006</v>
      </c>
      <c r="BH45" s="4">
        <f t="shared" si="4"/>
        <v>32.443259764390277</v>
      </c>
      <c r="BI45" s="4">
        <f>BH45*$AW$46</f>
        <v>21274.586961432182</v>
      </c>
      <c r="BJ45" s="1"/>
      <c r="BK45" s="4"/>
      <c r="BL45" s="6"/>
      <c r="BM45" s="4"/>
      <c r="BN45" s="139" t="s">
        <v>342</v>
      </c>
      <c r="BO45" s="103">
        <f>CI38/BI38</f>
        <v>-3.0107688383943345E-3</v>
      </c>
      <c r="BQ45" s="7"/>
      <c r="BR45" s="7"/>
      <c r="BS45" s="45"/>
      <c r="BT45" s="4" t="s">
        <v>19</v>
      </c>
      <c r="BU45" s="4">
        <f>SUM(BU42:BU44)</f>
        <v>18.12043124749108</v>
      </c>
      <c r="BV45" s="4">
        <f>BY42*BV42 + BY43*BV43 + BY44*BV44</f>
        <v>2.7633244258555133E-2</v>
      </c>
      <c r="BW45" s="4">
        <f>SUM(BW42:BW44)</f>
        <v>655.7475147667858</v>
      </c>
      <c r="BX45" s="4"/>
      <c r="BY45" s="4">
        <f>SUM(BY42:BY44)</f>
        <v>1</v>
      </c>
      <c r="CB45" s="17">
        <f>SUM(CB42:CB44)</f>
        <v>20.234623907811027</v>
      </c>
      <c r="CC45" s="17"/>
      <c r="CD45" s="17"/>
      <c r="CE45" s="17"/>
      <c r="CF45" s="17"/>
      <c r="CG45" s="17">
        <f>SUM(CG42:CG44)</f>
        <v>0</v>
      </c>
      <c r="CH45" s="17">
        <f>SUM(CH42:CH44)</f>
        <v>2.4305197267569403</v>
      </c>
      <c r="CI45" s="17">
        <f>SUM(CI42:CI44)</f>
        <v>1593.8072704125107</v>
      </c>
    </row>
    <row r="46" spans="3:87" ht="19" thickBot="1" x14ac:dyDescent="0.3">
      <c r="C46" s="1"/>
      <c r="D46" s="1"/>
      <c r="E46" s="1"/>
      <c r="F46" s="1"/>
      <c r="G46" s="1"/>
      <c r="H46" s="1"/>
      <c r="I46" s="1"/>
      <c r="J46" s="1"/>
      <c r="K46" s="76">
        <v>1</v>
      </c>
      <c r="L46" s="69">
        <v>298.14999999999998</v>
      </c>
      <c r="M46" s="69">
        <f>E52</f>
        <v>17.12043124749108</v>
      </c>
      <c r="N46" s="48">
        <f>N52</f>
        <v>134.0194864060721</v>
      </c>
      <c r="O46" s="1"/>
      <c r="P46" s="1"/>
      <c r="Q46" s="1"/>
      <c r="R46" s="6"/>
      <c r="S46" s="4"/>
      <c r="T46" s="140" t="s">
        <v>343</v>
      </c>
      <c r="U46" s="99">
        <f>AG43/N37</f>
        <v>0.99510816255199652</v>
      </c>
      <c r="V46" s="1"/>
      <c r="W46" s="8" t="s">
        <v>19</v>
      </c>
      <c r="X46" s="8">
        <f>SUM(X43:X45)</f>
        <v>18.12043124749108</v>
      </c>
      <c r="Y46" s="8">
        <f>AB43*Y43 + AB44*Y44 + AB45*Y45</f>
        <v>2.7346800000000004E-2</v>
      </c>
      <c r="Z46" s="8">
        <f>SUM(Z43:Z45)</f>
        <v>374.00048370729223</v>
      </c>
      <c r="AA46" s="8"/>
      <c r="AB46" s="8">
        <f>SUM(AB43:AB45)</f>
        <v>1</v>
      </c>
      <c r="AC46" s="8"/>
      <c r="AD46" s="8"/>
      <c r="AE46" s="8"/>
      <c r="AF46" s="8">
        <f>SUM(AF43:AF45)</f>
        <v>138.01979883390806</v>
      </c>
      <c r="AG46" s="8">
        <f>SUM(AG43:AG45)</f>
        <v>51619.471525064786</v>
      </c>
      <c r="AH46" s="1"/>
      <c r="AI46" s="1"/>
      <c r="AJ46" s="1"/>
      <c r="AK46" s="124">
        <f>AG38-BI38</f>
        <v>580988.33242456184</v>
      </c>
      <c r="AL46" s="13">
        <f>BH38-AF38</f>
        <v>0</v>
      </c>
      <c r="AM46" s="139" t="s">
        <v>341</v>
      </c>
      <c r="AN46" s="103" t="s">
        <v>98</v>
      </c>
      <c r="AO46" s="1"/>
      <c r="AP46" s="1"/>
      <c r="AQ46" s="1"/>
      <c r="AR46" s="1"/>
      <c r="AS46" s="45"/>
      <c r="AT46" s="4" t="s">
        <v>19</v>
      </c>
      <c r="AU46" s="4">
        <f>SUM(AU43:AU45)</f>
        <v>18.12043124749108</v>
      </c>
      <c r="AV46" s="4">
        <f>AY43*AV43 + AY44*AV44 + AY45*AV45</f>
        <v>2.7633244258555133E-2</v>
      </c>
      <c r="AW46" s="4">
        <f>SUM(AW43:AW45)</f>
        <v>655.7475147667858</v>
      </c>
      <c r="AX46" s="4"/>
      <c r="AY46" s="4">
        <f>SUM(AY43:AY45)</f>
        <v>1</v>
      </c>
      <c r="BB46" s="17">
        <f>SUM(BB43:BB45)</f>
        <v>20.234623907811027</v>
      </c>
      <c r="BC46" s="17"/>
      <c r="BD46" s="17"/>
      <c r="BE46" s="17"/>
      <c r="BF46" s="17"/>
      <c r="BG46" s="17">
        <f>SUM(BG43:BG45)</f>
        <v>-8875.0163471854994</v>
      </c>
      <c r="BH46" s="17">
        <f>SUM(BH43:BH45)</f>
        <v>-807.27543601559069</v>
      </c>
      <c r="BI46" s="17">
        <f>SUM(BI43:BI45)</f>
        <v>-529368.86089949706</v>
      </c>
      <c r="BL46" s="6"/>
      <c r="BM46" s="4"/>
      <c r="BN46" s="140" t="s">
        <v>343</v>
      </c>
      <c r="BO46" s="99">
        <f>CI42/BI43</f>
        <v>-1.6233520595170324E-3</v>
      </c>
      <c r="BQ46" s="4"/>
      <c r="BR46" s="4"/>
      <c r="BS46" s="45"/>
      <c r="BT46" s="4"/>
      <c r="BU46" s="1" t="s">
        <v>89</v>
      </c>
      <c r="BV46" s="3" t="s">
        <v>91</v>
      </c>
      <c r="BW46" s="3" t="s">
        <v>87</v>
      </c>
      <c r="BX46" s="4"/>
      <c r="BY46" s="4"/>
      <c r="CD46" s="1"/>
      <c r="CE46" s="1"/>
      <c r="CF46" s="1"/>
      <c r="CG46" s="3" t="s">
        <v>96</v>
      </c>
      <c r="CH46" s="3" t="s">
        <v>96</v>
      </c>
      <c r="CI46" s="1" t="s">
        <v>93</v>
      </c>
    </row>
    <row r="47" spans="3:87" ht="18" x14ac:dyDescent="0.25">
      <c r="C47" s="424" t="s">
        <v>83</v>
      </c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 t="s">
        <v>89</v>
      </c>
      <c r="Y47" s="3" t="s">
        <v>91</v>
      </c>
      <c r="Z47" s="3" t="s">
        <v>87</v>
      </c>
      <c r="AA47" s="4"/>
      <c r="AB47" s="4"/>
      <c r="AF47" s="3" t="s">
        <v>96</v>
      </c>
      <c r="AG47" s="1" t="s">
        <v>93</v>
      </c>
      <c r="AH47" s="1"/>
      <c r="AI47" s="1"/>
      <c r="AJ47" s="1"/>
      <c r="AK47" s="6"/>
      <c r="AL47" s="4"/>
      <c r="AM47" s="139" t="s">
        <v>342</v>
      </c>
      <c r="AN47" s="103">
        <f>BI38/AG38</f>
        <v>-10.255216592879147</v>
      </c>
      <c r="AO47" s="1"/>
      <c r="AP47" s="1"/>
      <c r="AQ47" s="1"/>
      <c r="AR47" s="1"/>
      <c r="AS47" s="45"/>
      <c r="AT47" s="4"/>
      <c r="AU47" s="1" t="s">
        <v>89</v>
      </c>
      <c r="AV47" s="3" t="s">
        <v>91</v>
      </c>
      <c r="AW47" s="3" t="s">
        <v>87</v>
      </c>
      <c r="AX47" s="4"/>
      <c r="AY47" s="4"/>
      <c r="BD47" s="1"/>
      <c r="BE47" s="1"/>
      <c r="BF47" s="1"/>
      <c r="BG47" s="3" t="s">
        <v>96</v>
      </c>
      <c r="BH47" s="3" t="s">
        <v>96</v>
      </c>
      <c r="BI47" s="1" t="s">
        <v>93</v>
      </c>
      <c r="BJ47" s="4"/>
      <c r="BL47" s="57"/>
      <c r="BQ47" s="4"/>
      <c r="BR47" s="4"/>
      <c r="BS47" s="45"/>
      <c r="BT47" s="4"/>
      <c r="BU47" s="4"/>
      <c r="BV47" s="4"/>
      <c r="BW47" s="4"/>
      <c r="BX47" s="4"/>
      <c r="BY47" s="4"/>
    </row>
    <row r="48" spans="3:87" ht="19" thickBot="1" x14ac:dyDescent="0.3">
      <c r="C48" s="424"/>
      <c r="D48" s="1"/>
      <c r="E48" s="1" t="s">
        <v>137</v>
      </c>
      <c r="F48" s="1" t="s">
        <v>5</v>
      </c>
      <c r="G48" s="1" t="s">
        <v>85</v>
      </c>
      <c r="H48" s="1" t="s">
        <v>138</v>
      </c>
      <c r="I48" s="1" t="s">
        <v>139</v>
      </c>
      <c r="J48" s="1" t="s">
        <v>8</v>
      </c>
      <c r="K48" s="1" t="s">
        <v>140</v>
      </c>
      <c r="L48" s="1" t="s">
        <v>141</v>
      </c>
      <c r="M48" s="1" t="s">
        <v>142</v>
      </c>
      <c r="N48" s="1" t="s">
        <v>143</v>
      </c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6"/>
      <c r="AL48" s="4"/>
      <c r="AM48" s="140" t="s">
        <v>343</v>
      </c>
      <c r="AN48" s="99">
        <f>BI43/AG38</f>
        <v>-10.827546653733124</v>
      </c>
      <c r="AO48" s="1"/>
      <c r="AP48" s="1"/>
      <c r="AQ48" s="1"/>
      <c r="AR48" s="1"/>
      <c r="AS48" s="45"/>
      <c r="AT48" s="4"/>
      <c r="AU48" s="4"/>
      <c r="AV48" s="4"/>
      <c r="AW48" s="4"/>
      <c r="AX48" s="4"/>
      <c r="AY48" s="4"/>
      <c r="BD48" s="1"/>
      <c r="BE48" s="1"/>
      <c r="BF48" s="1"/>
      <c r="BG48" s="1"/>
      <c r="BH48" s="1"/>
      <c r="BI48" s="1"/>
      <c r="BJ48" s="4"/>
      <c r="BL48" s="57"/>
      <c r="BS48" s="45"/>
    </row>
    <row r="49" spans="3:77" ht="15.5" customHeight="1" x14ac:dyDescent="0.25">
      <c r="C49" s="424"/>
      <c r="D49" s="7"/>
      <c r="E49" s="1" t="s">
        <v>88</v>
      </c>
      <c r="F49" s="1" t="s">
        <v>90</v>
      </c>
      <c r="G49" s="2" t="s">
        <v>86</v>
      </c>
      <c r="H49" s="1" t="s">
        <v>14</v>
      </c>
      <c r="I49" s="2" t="s">
        <v>25</v>
      </c>
      <c r="J49" s="1" t="s">
        <v>98</v>
      </c>
      <c r="K49" s="1" t="s">
        <v>14</v>
      </c>
      <c r="L49" s="1" t="s">
        <v>14</v>
      </c>
      <c r="M49" s="1" t="s">
        <v>26</v>
      </c>
      <c r="N49" s="1" t="s">
        <v>48</v>
      </c>
      <c r="O49" s="1"/>
      <c r="P49" s="1"/>
      <c r="Q49" s="1"/>
      <c r="R49" s="1"/>
      <c r="S49" s="1"/>
      <c r="T49" s="1"/>
      <c r="U49" s="1"/>
      <c r="V49" s="1"/>
      <c r="W49" s="1"/>
      <c r="X49" s="1" t="s">
        <v>47</v>
      </c>
      <c r="Y49" s="1" t="s">
        <v>5</v>
      </c>
      <c r="Z49" s="114" t="s">
        <v>322</v>
      </c>
      <c r="AA49" s="1" t="s">
        <v>316</v>
      </c>
      <c r="AB49" s="1"/>
      <c r="AC49" s="1"/>
      <c r="AD49" s="1"/>
      <c r="AE49" s="1"/>
      <c r="AF49" s="1"/>
      <c r="AG49" s="1"/>
      <c r="AH49" s="1"/>
      <c r="AI49" s="1"/>
      <c r="AJ49" s="1"/>
      <c r="AK49" s="73"/>
      <c r="AL49" s="73"/>
      <c r="AM49" s="73" t="s">
        <v>187</v>
      </c>
      <c r="AN49" s="73"/>
      <c r="AO49" s="73"/>
      <c r="AP49" s="1"/>
      <c r="AQ49" s="1"/>
      <c r="AR49" s="1"/>
      <c r="AS49" s="4"/>
      <c r="AT49" s="4"/>
      <c r="AY49" s="1"/>
      <c r="AZ49" s="1"/>
      <c r="BA49" s="1"/>
      <c r="BB49" s="1"/>
      <c r="BC49" s="1"/>
      <c r="BL49" s="57"/>
      <c r="BS49" s="45"/>
      <c r="BT49" s="4"/>
      <c r="BU49" s="4"/>
      <c r="BV49" s="4"/>
      <c r="BW49" s="4"/>
      <c r="BX49" s="4"/>
      <c r="BY49" s="4"/>
    </row>
    <row r="50" spans="3:77" ht="17" x14ac:dyDescent="0.25">
      <c r="C50" s="424"/>
      <c r="D50" s="17" t="s">
        <v>27</v>
      </c>
      <c r="E50" s="27">
        <f>D13</f>
        <v>3.9891888926843011</v>
      </c>
      <c r="F50" s="27">
        <f>MW_O2</f>
        <v>3.1998800000000001E-2</v>
      </c>
      <c r="G50" s="27">
        <f>E50/F50</f>
        <v>124.66682790243075</v>
      </c>
      <c r="H50" s="43">
        <f>b_ch_O2</f>
        <v>4</v>
      </c>
      <c r="I50" s="27">
        <f>G50/G52</f>
        <v>0.21008403361344538</v>
      </c>
      <c r="J50" s="27">
        <f>LN(I50)</f>
        <v>-1.5602476682433286</v>
      </c>
      <c r="K50" s="27">
        <f>RT0*J50</f>
        <v>-3.5432742429276503</v>
      </c>
      <c r="L50" s="8">
        <f>H50+K50</f>
        <v>0.45672575707234975</v>
      </c>
      <c r="M50" s="8">
        <f>L50*I50</f>
        <v>9.5950789300913816E-2</v>
      </c>
      <c r="N50" s="55">
        <f>M50*$G$52</f>
        <v>56.938551355546018</v>
      </c>
      <c r="O50" s="1"/>
      <c r="P50" s="1"/>
      <c r="Q50" s="1"/>
      <c r="R50" s="1"/>
      <c r="S50" s="1"/>
      <c r="T50" s="1"/>
      <c r="U50" s="1"/>
      <c r="V50" s="1"/>
      <c r="W50" s="13" t="s">
        <v>65</v>
      </c>
      <c r="X50" s="1">
        <f>X43/$X$46</f>
        <v>5.5186324560485174E-2</v>
      </c>
      <c r="Y50" s="27">
        <f>MW_CH4</f>
        <v>1.604276E-2</v>
      </c>
      <c r="Z50" s="1">
        <f>1.0401+(Y51*(X51/X54))+(Y52*(X52/X54)+(Y53*(X53/X54)))</f>
        <v>1.0779771514784724</v>
      </c>
      <c r="AA50" s="1">
        <f>X43*Z50*AE34</f>
        <v>0</v>
      </c>
      <c r="AB50" s="1"/>
      <c r="AC50" s="1"/>
      <c r="AD50" s="1"/>
      <c r="AE50" s="1"/>
      <c r="AF50" s="1"/>
      <c r="AG50" s="1"/>
      <c r="AH50" s="1"/>
      <c r="AI50" s="73"/>
      <c r="AJ50" s="73"/>
      <c r="AK50" s="73" t="s">
        <v>188</v>
      </c>
      <c r="AL50" s="73"/>
      <c r="AM50" s="73"/>
      <c r="AN50" s="1"/>
      <c r="AO50" s="1"/>
      <c r="AP50" s="1"/>
      <c r="AQ50" s="1"/>
      <c r="AR50" s="4"/>
      <c r="AS50" s="56"/>
      <c r="AT50" s="4"/>
      <c r="AU50" s="4"/>
      <c r="AV50" s="4"/>
      <c r="AW50" s="4"/>
      <c r="AX50" s="4"/>
      <c r="AY50" s="4"/>
      <c r="AZ50" s="1"/>
      <c r="BA50" s="1"/>
      <c r="BB50" s="1"/>
      <c r="BC50" s="1"/>
      <c r="BD50" s="4"/>
      <c r="BE50" s="4"/>
      <c r="BF50" s="4"/>
      <c r="BG50" s="4"/>
      <c r="BH50" s="4"/>
      <c r="BI50" s="4"/>
      <c r="BJ50" s="4"/>
      <c r="BL50" s="57"/>
    </row>
    <row r="51" spans="3:77" ht="15.5" customHeight="1" x14ac:dyDescent="0.25">
      <c r="C51" s="424"/>
      <c r="D51" s="7" t="s">
        <v>67</v>
      </c>
      <c r="E51" s="6">
        <f>D14</f>
        <v>13.131242354806778</v>
      </c>
      <c r="F51" s="6">
        <f>MW_N2</f>
        <v>2.801348E-2</v>
      </c>
      <c r="G51" s="6">
        <f>E51/F51</f>
        <v>468.74727291313962</v>
      </c>
      <c r="H51" s="7">
        <f>b_ch_N2</f>
        <v>0.7</v>
      </c>
      <c r="I51" s="6">
        <f>G51/G52</f>
        <v>0.7899159663865547</v>
      </c>
      <c r="J51" s="6">
        <f>LN(I51)</f>
        <v>-0.23582871084152537</v>
      </c>
      <c r="K51" s="6">
        <f>RT0*J51</f>
        <v>-0.53555971521393908</v>
      </c>
      <c r="L51" s="1">
        <f>H51+K51</f>
        <v>0.16444028478606088</v>
      </c>
      <c r="M51" s="1">
        <f>L51*I51</f>
        <v>0.12989400646966154</v>
      </c>
      <c r="N51" s="18">
        <f>M51*$G$52</f>
        <v>77.08093505052608</v>
      </c>
      <c r="O51" s="1"/>
      <c r="P51" s="1"/>
      <c r="Q51" s="1"/>
      <c r="R51" s="1"/>
      <c r="S51" s="1"/>
      <c r="T51" s="1"/>
      <c r="U51" s="1"/>
      <c r="V51" s="1"/>
      <c r="W51" s="13" t="s">
        <v>27</v>
      </c>
      <c r="X51" s="1">
        <f t="shared" ref="X51:X52" si="5">X44/$X$46</f>
        <v>0.22014867296475829</v>
      </c>
      <c r="Y51" s="6">
        <f>MW_O2</f>
        <v>3.1998800000000001E-2</v>
      </c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4"/>
      <c r="AS51" s="56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L51" s="57"/>
    </row>
    <row r="52" spans="3:77" ht="18" x14ac:dyDescent="0.25">
      <c r="C52" s="6"/>
      <c r="D52" s="8" t="s">
        <v>19</v>
      </c>
      <c r="E52" s="43">
        <f>SUM(E50:E51)</f>
        <v>17.12043124749108</v>
      </c>
      <c r="F52" s="27">
        <f>I50*F50 + I51*F51</f>
        <v>2.885073210084034E-2</v>
      </c>
      <c r="G52" s="43">
        <f>SUM(G50:G51)</f>
        <v>593.41410081557035</v>
      </c>
      <c r="H52" s="43"/>
      <c r="I52" s="43">
        <f>SUM(I50:I51)</f>
        <v>1</v>
      </c>
      <c r="J52" s="27"/>
      <c r="K52" s="27"/>
      <c r="L52" s="8"/>
      <c r="M52" s="8">
        <f>M50+M51</f>
        <v>0.22584479577057537</v>
      </c>
      <c r="N52" s="43">
        <f>SUM(N50:N51)</f>
        <v>134.0194864060721</v>
      </c>
      <c r="O52" s="1"/>
      <c r="P52" s="1"/>
      <c r="Q52" s="1"/>
      <c r="R52" s="1"/>
      <c r="S52" s="1"/>
      <c r="T52" s="1"/>
      <c r="U52" s="1"/>
      <c r="V52" s="1"/>
      <c r="W52" s="39" t="s">
        <v>67</v>
      </c>
      <c r="X52" s="1">
        <f t="shared" si="5"/>
        <v>0.72466500247475651</v>
      </c>
      <c r="Y52" s="6">
        <f>MW_N2</f>
        <v>2.801348E-2</v>
      </c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4"/>
      <c r="AS52" s="56"/>
      <c r="AU52" s="1"/>
      <c r="AV52" s="1"/>
      <c r="AW52" s="1"/>
      <c r="AX52" s="1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L52" s="57"/>
    </row>
    <row r="53" spans="3:77" ht="18" x14ac:dyDescent="0.25">
      <c r="E53" s="1" t="s">
        <v>89</v>
      </c>
      <c r="F53" s="3" t="s">
        <v>91</v>
      </c>
      <c r="G53" s="3" t="s">
        <v>87</v>
      </c>
      <c r="H53" s="4"/>
      <c r="I53" s="4"/>
      <c r="M53" s="3" t="s">
        <v>96</v>
      </c>
      <c r="N53" s="1" t="s">
        <v>93</v>
      </c>
      <c r="O53" s="1"/>
      <c r="P53" s="1"/>
      <c r="Q53" s="1"/>
      <c r="R53" s="1"/>
      <c r="S53" s="1"/>
      <c r="T53" s="1"/>
      <c r="U53" s="1"/>
      <c r="V53" s="1"/>
      <c r="W53" s="1" t="s">
        <v>182</v>
      </c>
      <c r="X53" s="1">
        <f>Y53/Y55</f>
        <v>0.25131336503195217</v>
      </c>
      <c r="Y53" s="1">
        <f>MW_H*4</f>
        <v>4.0317600000000006E-3</v>
      </c>
      <c r="Z53" s="1">
        <f>Z55*AA53</f>
        <v>0</v>
      </c>
      <c r="AA53" s="1"/>
      <c r="AB53" s="1"/>
      <c r="AC53" s="1"/>
      <c r="AD53" s="1"/>
      <c r="AE53" s="1"/>
      <c r="AF53" s="1"/>
      <c r="AG53" s="1"/>
      <c r="AH53" s="1"/>
      <c r="AI53" s="1"/>
      <c r="AJ53" s="1"/>
      <c r="AM53" s="4"/>
      <c r="AN53" s="4"/>
      <c r="AO53" s="4"/>
      <c r="AP53" s="4"/>
      <c r="AQ53" s="4"/>
      <c r="AR53" s="4"/>
      <c r="AS53" s="56"/>
      <c r="AT53" s="7"/>
      <c r="AU53" s="1"/>
      <c r="AV53" s="1"/>
      <c r="AW53" s="1"/>
      <c r="AX53" s="1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M53" s="57"/>
    </row>
    <row r="54" spans="3:77" ht="16" x14ac:dyDescent="0.2">
      <c r="N54" s="1">
        <f>M52*G52</f>
        <v>134.0194864060721</v>
      </c>
      <c r="O54" s="1"/>
      <c r="P54" s="1"/>
      <c r="Q54" s="1"/>
      <c r="R54" s="1"/>
      <c r="S54" s="1"/>
      <c r="T54" s="1"/>
      <c r="U54" s="1"/>
      <c r="V54" s="1"/>
      <c r="W54" s="1" t="s">
        <v>18</v>
      </c>
      <c r="X54" s="1">
        <f>Y54/Y55</f>
        <v>0.74868663496804788</v>
      </c>
      <c r="Y54" s="1">
        <f>MW_C</f>
        <v>1.2010999999999999E-2</v>
      </c>
      <c r="Z54" s="1">
        <f>AA54*Z55</f>
        <v>0</v>
      </c>
      <c r="AA54" s="1"/>
      <c r="AB54" s="1"/>
      <c r="AC54" s="1"/>
      <c r="AD54" s="1"/>
      <c r="AE54" s="1"/>
      <c r="AF54" s="1"/>
      <c r="AG54" s="1"/>
      <c r="AH54" s="1"/>
      <c r="AI54" s="1"/>
      <c r="AL54" s="4"/>
      <c r="AM54" s="4"/>
      <c r="AN54" s="4"/>
      <c r="AO54" s="4"/>
      <c r="AP54" s="4"/>
      <c r="AQ54" s="4"/>
      <c r="AR54" s="4"/>
      <c r="AS54" s="4"/>
      <c r="BA54" s="4"/>
      <c r="BB54" s="4"/>
      <c r="BC54" s="4"/>
    </row>
    <row r="55" spans="3:77" ht="16" x14ac:dyDescent="0.2"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>
        <f>Y53+Y54</f>
        <v>1.604276E-2</v>
      </c>
      <c r="Z55" s="1">
        <f>Z43</f>
        <v>62.333413951215377</v>
      </c>
      <c r="AA55" s="1"/>
      <c r="AB55" s="1"/>
      <c r="AC55" s="1"/>
      <c r="AD55" s="1"/>
      <c r="AE55" s="1"/>
      <c r="AF55" s="1"/>
      <c r="AG55" s="1"/>
      <c r="AH55" s="1"/>
      <c r="AI55" s="1"/>
      <c r="AL55" s="4"/>
      <c r="AM55" s="4"/>
      <c r="AN55" s="4"/>
      <c r="AO55" s="4"/>
      <c r="AR55" s="4"/>
      <c r="AS55" s="4"/>
      <c r="AT55" s="4"/>
      <c r="AU55" s="4"/>
      <c r="AV55" s="4"/>
      <c r="AW55" s="4"/>
      <c r="BC55" s="1"/>
    </row>
    <row r="56" spans="3:77" ht="16" x14ac:dyDescent="0.2"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 t="s">
        <v>361</v>
      </c>
      <c r="Z56" s="1"/>
      <c r="AA56" s="1" t="s">
        <v>360</v>
      </c>
      <c r="AB56" s="1"/>
      <c r="AC56" s="1"/>
      <c r="AD56" s="1"/>
      <c r="AE56" s="1"/>
      <c r="AF56" s="1"/>
      <c r="AG56" s="1"/>
      <c r="AH56" s="1"/>
      <c r="AI56" s="1"/>
      <c r="AL56" s="4"/>
      <c r="AM56" s="4"/>
      <c r="AN56" s="4"/>
      <c r="AO56" s="4"/>
      <c r="AR56" s="4"/>
      <c r="AS56" s="4"/>
      <c r="AT56" s="4"/>
      <c r="AU56" s="4"/>
      <c r="AV56" s="4"/>
    </row>
    <row r="57" spans="3:77" ht="34" x14ac:dyDescent="0.4">
      <c r="C57" s="422">
        <v>2</v>
      </c>
      <c r="D57" s="422"/>
      <c r="E57" s="422"/>
      <c r="F57" s="422"/>
      <c r="G57" s="422"/>
      <c r="H57" s="422"/>
      <c r="I57" s="422"/>
      <c r="J57" s="422"/>
      <c r="K57" s="422"/>
      <c r="L57" s="422"/>
      <c r="M57" s="422"/>
      <c r="N57" s="422"/>
      <c r="O57" s="42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L57" s="4"/>
      <c r="AM57" s="4"/>
      <c r="AN57" s="4"/>
      <c r="AO57" s="4"/>
      <c r="AR57" s="4"/>
      <c r="AS57" s="4"/>
      <c r="AT57" s="4"/>
      <c r="AU57" s="4"/>
      <c r="AV57" s="4"/>
    </row>
    <row r="58" spans="3:77" ht="16" x14ac:dyDescent="0.2"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S58" s="4"/>
      <c r="AT58" s="4"/>
      <c r="AU58" s="4"/>
      <c r="AV58" s="4"/>
    </row>
    <row r="59" spans="3:77" ht="16" x14ac:dyDescent="0.2">
      <c r="N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T59" s="4"/>
      <c r="AU59" s="4"/>
      <c r="AV59" s="4"/>
    </row>
    <row r="60" spans="3:77" ht="16" x14ac:dyDescent="0.2"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</row>
    <row r="61" spans="3:77" ht="16" x14ac:dyDescent="0.2"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</row>
    <row r="62" spans="3:77" ht="16" x14ac:dyDescent="0.2">
      <c r="P62" s="1"/>
      <c r="Q62" s="1"/>
    </row>
    <row r="63" spans="3:77" ht="14.5" customHeight="1" x14ac:dyDescent="0.35"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</row>
    <row r="64" spans="3:77" ht="14.5" customHeight="1" x14ac:dyDescent="0.35"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</row>
    <row r="65" spans="14:34" ht="16" x14ac:dyDescent="0.2"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</row>
    <row r="66" spans="14:34" ht="16" x14ac:dyDescent="0.2"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</row>
    <row r="67" spans="14:34" ht="29" x14ac:dyDescent="0.35">
      <c r="N67" s="5"/>
      <c r="O67" s="1"/>
      <c r="P67" s="1"/>
    </row>
    <row r="68" spans="14:34" ht="29" x14ac:dyDescent="0.35">
      <c r="N68" s="5"/>
      <c r="O68" s="1"/>
      <c r="P68" s="1"/>
    </row>
    <row r="69" spans="14:34" ht="29" x14ac:dyDescent="0.35">
      <c r="N69" s="5"/>
    </row>
    <row r="70" spans="14:34" ht="29" x14ac:dyDescent="0.35">
      <c r="N70" s="5"/>
    </row>
  </sheetData>
  <mergeCells count="20">
    <mergeCell ref="BI10:BQ11"/>
    <mergeCell ref="H2:M2"/>
    <mergeCell ref="H3:J3"/>
    <mergeCell ref="L3:M3"/>
    <mergeCell ref="H5:M5"/>
    <mergeCell ref="AN3:BK5"/>
    <mergeCell ref="BI17:BI22"/>
    <mergeCell ref="BL38:BO40"/>
    <mergeCell ref="C34:C37"/>
    <mergeCell ref="AJ37:AO42"/>
    <mergeCell ref="R38:U40"/>
    <mergeCell ref="T42:T43"/>
    <mergeCell ref="BN42:BN43"/>
    <mergeCell ref="C57:O57"/>
    <mergeCell ref="C28:O28"/>
    <mergeCell ref="W28:AG28"/>
    <mergeCell ref="AT28:BI28"/>
    <mergeCell ref="BT28:CI28"/>
    <mergeCell ref="C47:C51"/>
    <mergeCell ref="AM44:AM45"/>
  </mergeCells>
  <conditionalFormatting sqref="S44">
    <cfRule type="cellIs" dxfId="2" priority="3" operator="notEqual">
      <formula>0</formula>
    </cfRule>
  </conditionalFormatting>
  <conditionalFormatting sqref="AL46">
    <cfRule type="cellIs" dxfId="1" priority="2" operator="notEqual">
      <formula>0</formula>
    </cfRule>
  </conditionalFormatting>
  <conditionalFormatting sqref="BM44">
    <cfRule type="cellIs" dxfId="0" priority="1" operator="notEqual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6D678-D2A5-7B48-9C1B-E9F83E157EA3}">
  <dimension ref="A2:W38"/>
  <sheetViews>
    <sheetView zoomScale="161" workbookViewId="0">
      <selection activeCell="L19" sqref="L19"/>
    </sheetView>
  </sheetViews>
  <sheetFormatPr baseColWidth="10" defaultColWidth="11.5" defaultRowHeight="15" x14ac:dyDescent="0.2"/>
  <sheetData>
    <row r="2" spans="1:23" x14ac:dyDescent="0.2">
      <c r="B2" s="166"/>
      <c r="C2" s="166"/>
      <c r="D2" s="166"/>
      <c r="E2" s="166"/>
      <c r="F2" s="166"/>
      <c r="G2" s="166"/>
      <c r="H2" s="166"/>
      <c r="I2" s="166"/>
    </row>
    <row r="3" spans="1:23" x14ac:dyDescent="0.2">
      <c r="A3" s="166"/>
      <c r="B3" s="166"/>
      <c r="C3" s="166"/>
      <c r="D3" s="166"/>
      <c r="E3" s="166"/>
      <c r="F3" s="166"/>
      <c r="G3" s="166"/>
      <c r="H3" s="166"/>
      <c r="I3" s="166"/>
      <c r="P3" s="166"/>
      <c r="Q3" s="166"/>
      <c r="R3" s="166"/>
      <c r="S3" s="166"/>
      <c r="T3" s="166"/>
      <c r="U3" s="166"/>
      <c r="V3" s="166"/>
      <c r="W3" s="166"/>
    </row>
    <row r="4" spans="1:23" x14ac:dyDescent="0.2">
      <c r="A4" s="166"/>
      <c r="B4" s="168"/>
      <c r="C4" s="168"/>
      <c r="D4" s="313" t="s">
        <v>317</v>
      </c>
      <c r="E4" s="313"/>
      <c r="F4" s="313"/>
      <c r="G4" s="313"/>
      <c r="H4" s="166"/>
      <c r="I4" s="166"/>
      <c r="P4" s="166"/>
      <c r="Q4" s="166"/>
      <c r="R4" s="166"/>
      <c r="S4" s="396" t="s">
        <v>355</v>
      </c>
      <c r="T4" s="396"/>
      <c r="U4" s="396"/>
      <c r="V4" s="396"/>
      <c r="W4" s="166"/>
    </row>
    <row r="5" spans="1:23" x14ac:dyDescent="0.2">
      <c r="A5" s="166"/>
      <c r="B5" s="168"/>
      <c r="C5" s="168"/>
      <c r="D5" s="419" t="s">
        <v>82</v>
      </c>
      <c r="E5" s="419"/>
      <c r="F5" s="419"/>
      <c r="G5" s="419"/>
      <c r="H5" s="166"/>
      <c r="I5" s="166"/>
      <c r="P5" s="166"/>
      <c r="Q5" s="166"/>
      <c r="R5" s="166"/>
      <c r="S5" s="396"/>
      <c r="T5" s="396"/>
      <c r="U5" s="396"/>
      <c r="V5" s="396"/>
      <c r="W5" s="166"/>
    </row>
    <row r="6" spans="1:23" ht="15" customHeight="1" x14ac:dyDescent="0.2">
      <c r="A6" s="166"/>
      <c r="B6" s="399" t="s">
        <v>4</v>
      </c>
      <c r="C6" s="3"/>
      <c r="D6" s="196" t="s">
        <v>364</v>
      </c>
      <c r="E6" s="196" t="s">
        <v>189</v>
      </c>
      <c r="F6" s="196" t="s">
        <v>176</v>
      </c>
      <c r="G6" s="196" t="s">
        <v>350</v>
      </c>
      <c r="H6" s="166"/>
      <c r="I6" s="166"/>
      <c r="P6" s="166"/>
      <c r="Q6" s="166"/>
      <c r="R6" s="166"/>
      <c r="S6" s="396"/>
      <c r="T6" s="396"/>
      <c r="U6" s="396"/>
      <c r="V6" s="396"/>
      <c r="W6" s="166"/>
    </row>
    <row r="7" spans="1:23" ht="16" thickBot="1" x14ac:dyDescent="0.25">
      <c r="A7" s="166"/>
      <c r="B7" s="399"/>
      <c r="C7" s="147" t="s">
        <v>341</v>
      </c>
      <c r="D7" s="3">
        <f>Bejan_MEROI_Iron</f>
        <v>0.71020207646031153</v>
      </c>
      <c r="E7" s="3">
        <f>Bejan_IronExtraction</f>
        <v>0</v>
      </c>
      <c r="F7" s="3">
        <f>Bejan_IronHauling</f>
        <v>0</v>
      </c>
      <c r="G7" s="3">
        <f>Bejan_IronBeneficiation</f>
        <v>0.10204303400670409</v>
      </c>
      <c r="H7" s="166"/>
      <c r="I7" s="166"/>
      <c r="P7" s="166"/>
      <c r="Q7" s="166"/>
      <c r="R7" s="166"/>
      <c r="S7" s="397"/>
      <c r="T7" s="397"/>
      <c r="U7" s="397"/>
      <c r="V7" s="397"/>
      <c r="W7" s="166"/>
    </row>
    <row r="8" spans="1:23" x14ac:dyDescent="0.2">
      <c r="A8" s="166"/>
      <c r="B8" s="399"/>
      <c r="C8" s="149" t="s">
        <v>342</v>
      </c>
      <c r="D8" s="3">
        <f>Student_MEROI_Iron</f>
        <v>1.1602561161065021</v>
      </c>
      <c r="E8" s="3">
        <f>Student_IronExtraction</f>
        <v>0.54834789034775577</v>
      </c>
      <c r="F8" s="3">
        <f>Student_IronHauling</f>
        <v>0.15191900995389168</v>
      </c>
      <c r="G8" s="3">
        <f>Student_IronBeneficiation</f>
        <v>0.9084965360427989</v>
      </c>
      <c r="H8" s="166"/>
      <c r="I8" s="166"/>
      <c r="P8" s="166"/>
      <c r="Q8" s="396" t="s">
        <v>354</v>
      </c>
      <c r="R8" s="412"/>
      <c r="S8" s="414" t="s">
        <v>341</v>
      </c>
      <c r="T8" s="415"/>
      <c r="U8" s="400" t="s">
        <v>406</v>
      </c>
      <c r="V8" s="401"/>
      <c r="W8" s="166"/>
    </row>
    <row r="9" spans="1:23" x14ac:dyDescent="0.2">
      <c r="A9" s="166"/>
      <c r="B9" s="399"/>
      <c r="C9" s="148" t="s">
        <v>406</v>
      </c>
      <c r="D9" s="165">
        <f>Product_MEROI_Iron</f>
        <v>0.97422228752096129</v>
      </c>
      <c r="E9" s="3">
        <f>Product_IronExtraction</f>
        <v>0.4504526211892465</v>
      </c>
      <c r="F9" s="3">
        <f>Product_IronHauling</f>
        <v>0.12756053024900801</v>
      </c>
      <c r="G9" s="3">
        <f>Product_IronBeneficiation</f>
        <v>0.75440225157720575</v>
      </c>
      <c r="H9" s="166"/>
      <c r="I9" s="166"/>
      <c r="P9" s="166"/>
      <c r="Q9" s="396"/>
      <c r="R9" s="412"/>
      <c r="S9" s="416"/>
      <c r="T9" s="417"/>
      <c r="U9" s="402"/>
      <c r="V9" s="403"/>
      <c r="W9" s="166"/>
    </row>
    <row r="10" spans="1:23" x14ac:dyDescent="0.2">
      <c r="A10" s="166"/>
      <c r="C10" s="132"/>
      <c r="D10" s="166"/>
      <c r="E10" s="202"/>
      <c r="F10" s="202"/>
      <c r="G10" s="202"/>
      <c r="H10" s="168"/>
      <c r="I10" s="166"/>
      <c r="P10" s="166"/>
      <c r="Q10" s="396"/>
      <c r="R10" s="412"/>
      <c r="S10" s="416"/>
      <c r="T10" s="417"/>
      <c r="U10" s="402"/>
      <c r="V10" s="403"/>
      <c r="W10" s="166"/>
    </row>
    <row r="11" spans="1:23" x14ac:dyDescent="0.2">
      <c r="A11" s="166"/>
      <c r="B11" s="166"/>
      <c r="C11" s="166"/>
      <c r="D11" s="166"/>
      <c r="E11" s="168"/>
      <c r="F11" s="168"/>
      <c r="G11" s="168"/>
      <c r="H11" s="168"/>
      <c r="I11" s="166"/>
      <c r="P11" s="166"/>
      <c r="Q11" s="396"/>
      <c r="R11" s="412"/>
      <c r="S11" s="416"/>
      <c r="T11" s="417"/>
      <c r="U11" s="402"/>
      <c r="V11" s="403"/>
      <c r="W11" s="166"/>
    </row>
    <row r="12" spans="1:23" x14ac:dyDescent="0.2">
      <c r="A12" s="166"/>
      <c r="B12" s="166"/>
      <c r="C12" s="166"/>
      <c r="D12" s="166"/>
      <c r="E12" s="166"/>
      <c r="F12" s="166"/>
      <c r="G12" s="166"/>
      <c r="H12" s="166"/>
      <c r="I12" s="166"/>
      <c r="P12" s="166"/>
      <c r="Q12" s="430" t="s">
        <v>405</v>
      </c>
      <c r="R12" s="412"/>
      <c r="S12" s="408" t="s">
        <v>316</v>
      </c>
      <c r="T12" s="409"/>
      <c r="U12" s="404" t="s">
        <v>342</v>
      </c>
      <c r="V12" s="405"/>
      <c r="W12" s="166"/>
    </row>
    <row r="13" spans="1:23" x14ac:dyDescent="0.2">
      <c r="A13" s="166"/>
      <c r="B13" s="168"/>
      <c r="C13" s="168"/>
      <c r="D13" s="313" t="s">
        <v>317</v>
      </c>
      <c r="E13" s="313"/>
      <c r="F13" s="313"/>
      <c r="G13" s="313"/>
      <c r="H13" s="313"/>
      <c r="I13" s="166"/>
      <c r="P13" s="166"/>
      <c r="Q13" s="396"/>
      <c r="R13" s="412"/>
      <c r="S13" s="408"/>
      <c r="T13" s="409"/>
      <c r="U13" s="404"/>
      <c r="V13" s="405"/>
      <c r="W13" s="166"/>
    </row>
    <row r="14" spans="1:23" ht="15" customHeight="1" x14ac:dyDescent="0.2">
      <c r="A14" s="166"/>
      <c r="B14" s="168"/>
      <c r="C14" s="168"/>
      <c r="D14" s="419" t="s">
        <v>82</v>
      </c>
      <c r="E14" s="419"/>
      <c r="F14" s="419"/>
      <c r="G14" s="419"/>
      <c r="H14" s="419"/>
      <c r="I14" s="166"/>
      <c r="P14" s="166"/>
      <c r="Q14" s="396"/>
      <c r="R14" s="412"/>
      <c r="S14" s="408"/>
      <c r="T14" s="409"/>
      <c r="U14" s="404"/>
      <c r="V14" s="405"/>
      <c r="W14" s="166"/>
    </row>
    <row r="15" spans="1:23" ht="16" thickBot="1" x14ac:dyDescent="0.25">
      <c r="A15" s="166"/>
      <c r="B15" s="398" t="s">
        <v>20</v>
      </c>
      <c r="C15" s="3"/>
      <c r="D15" s="197" t="s">
        <v>364</v>
      </c>
      <c r="E15" s="197" t="s">
        <v>189</v>
      </c>
      <c r="F15" s="197" t="s">
        <v>176</v>
      </c>
      <c r="G15" s="197" t="s">
        <v>350</v>
      </c>
      <c r="H15" s="197" t="s">
        <v>351</v>
      </c>
      <c r="I15" s="166"/>
      <c r="P15" s="166"/>
      <c r="Q15" s="396"/>
      <c r="R15" s="412"/>
      <c r="S15" s="410"/>
      <c r="T15" s="411"/>
      <c r="U15" s="406"/>
      <c r="V15" s="407"/>
      <c r="W15" s="166"/>
    </row>
    <row r="16" spans="1:23" x14ac:dyDescent="0.2">
      <c r="A16" s="166"/>
      <c r="B16" s="398"/>
      <c r="C16" s="147" t="s">
        <v>341</v>
      </c>
      <c r="D16" s="3">
        <f>Bejan_MEROI_Limestone</f>
        <v>20716.65209277975</v>
      </c>
      <c r="E16" s="3">
        <f>Bejan_LimeExtraction</f>
        <v>0</v>
      </c>
      <c r="F16" s="3">
        <f>Bejan_LimeHauling</f>
        <v>0</v>
      </c>
      <c r="G16" s="3">
        <f>Bejan_LimeBeneficiation</f>
        <v>0</v>
      </c>
      <c r="H16" s="3" t="s">
        <v>98</v>
      </c>
      <c r="I16" s="166"/>
      <c r="P16" s="166"/>
      <c r="Q16" s="166"/>
      <c r="R16" s="166"/>
      <c r="S16" s="166"/>
      <c r="T16" s="166"/>
      <c r="U16" s="166"/>
      <c r="V16" s="166"/>
      <c r="W16" s="166"/>
    </row>
    <row r="17" spans="1:12" x14ac:dyDescent="0.2">
      <c r="A17" s="166"/>
      <c r="B17" s="398"/>
      <c r="C17" s="149" t="s">
        <v>342</v>
      </c>
      <c r="D17" s="3">
        <f>Student_MEROI_Limestone</f>
        <v>25394.240916408646</v>
      </c>
      <c r="E17" s="3">
        <f>Student_LimeExtraction</f>
        <v>0.98926908455007689</v>
      </c>
      <c r="F17" s="3">
        <f>Student__LimeHauling</f>
        <v>0.89989464623142024</v>
      </c>
      <c r="G17" s="3">
        <f>Student_LimeBeneficiation</f>
        <v>0.99885105550639652</v>
      </c>
      <c r="H17" s="3">
        <f>Student_Kiln</f>
        <v>1.0517594711289686</v>
      </c>
      <c r="I17" s="166"/>
    </row>
    <row r="18" spans="1:12" x14ac:dyDescent="0.2">
      <c r="A18" s="166"/>
      <c r="B18" s="398"/>
      <c r="C18" s="148" t="s">
        <v>406</v>
      </c>
      <c r="D18" s="165">
        <f>Product_MEROI_Limestone</f>
        <v>22010.978428607345</v>
      </c>
      <c r="E18" s="3">
        <f>Product_LimeExtraction</f>
        <v>0.85722484529662279</v>
      </c>
      <c r="F18" s="3">
        <f>Product_LimeHauling</f>
        <v>0.78000211588999502</v>
      </c>
      <c r="G18" s="3">
        <f>Product_LimeBeneficiation</f>
        <v>0.86577461041321313</v>
      </c>
      <c r="H18" s="3">
        <f>Product_Kiln</f>
        <v>2.2442037200773749E-4</v>
      </c>
      <c r="I18" s="166"/>
    </row>
    <row r="19" spans="1:12" x14ac:dyDescent="0.2">
      <c r="A19" s="166"/>
      <c r="C19" s="132"/>
      <c r="D19" s="166"/>
      <c r="E19" s="202"/>
      <c r="F19" s="202"/>
      <c r="G19" s="202"/>
      <c r="H19" s="202"/>
      <c r="I19" s="166"/>
      <c r="L19" t="s">
        <v>449</v>
      </c>
    </row>
    <row r="20" spans="1:12" x14ac:dyDescent="0.2">
      <c r="A20" s="166"/>
      <c r="B20" s="166"/>
      <c r="C20" s="166"/>
      <c r="D20" s="166"/>
      <c r="E20" s="166"/>
      <c r="F20" s="166"/>
      <c r="G20" s="166"/>
      <c r="H20" s="166"/>
      <c r="I20" s="166"/>
    </row>
    <row r="21" spans="1:12" x14ac:dyDescent="0.2">
      <c r="A21" s="166"/>
      <c r="B21" s="168"/>
      <c r="C21" s="168"/>
      <c r="D21" s="313" t="s">
        <v>317</v>
      </c>
      <c r="E21" s="313"/>
      <c r="F21" s="313"/>
      <c r="G21" s="313"/>
      <c r="H21" s="166"/>
      <c r="I21" s="166"/>
    </row>
    <row r="22" spans="1:12" ht="15" customHeight="1" x14ac:dyDescent="0.2">
      <c r="A22" s="166"/>
      <c r="B22" s="168"/>
      <c r="C22" s="168"/>
      <c r="D22" s="419" t="s">
        <v>82</v>
      </c>
      <c r="E22" s="419"/>
      <c r="F22" s="419"/>
      <c r="G22" s="419"/>
      <c r="H22" s="166"/>
      <c r="I22" s="166"/>
    </row>
    <row r="23" spans="1:12" x14ac:dyDescent="0.2">
      <c r="A23" s="166"/>
      <c r="B23" s="420" t="s">
        <v>353</v>
      </c>
      <c r="C23" s="3"/>
      <c r="D23" s="156" t="s">
        <v>364</v>
      </c>
      <c r="E23" s="156" t="s">
        <v>189</v>
      </c>
      <c r="F23" s="156" t="s">
        <v>176</v>
      </c>
      <c r="G23" s="156" t="s">
        <v>378</v>
      </c>
      <c r="H23" s="166"/>
      <c r="I23" s="166"/>
    </row>
    <row r="24" spans="1:12" x14ac:dyDescent="0.2">
      <c r="A24" s="166"/>
      <c r="B24" s="420"/>
      <c r="C24" s="147" t="s">
        <v>341</v>
      </c>
      <c r="D24" s="3">
        <f>Bejan_MEROI_Coal</f>
        <v>111.42326190935763</v>
      </c>
      <c r="E24" s="3">
        <f>Bejan_CoalExtraction</f>
        <v>0</v>
      </c>
      <c r="F24" s="3">
        <f>Bejan_CoalHauling</f>
        <v>0</v>
      </c>
      <c r="G24" s="3" t="str">
        <f>Bejan_CokeBeneficiation</f>
        <v>[-]</v>
      </c>
      <c r="H24" s="166"/>
      <c r="I24" s="166"/>
    </row>
    <row r="25" spans="1:12" x14ac:dyDescent="0.2">
      <c r="A25" s="166"/>
      <c r="B25" s="420"/>
      <c r="C25" s="149" t="s">
        <v>342</v>
      </c>
      <c r="D25" s="3">
        <f>Student_MEROI_Coal</f>
        <v>113.02497570495387</v>
      </c>
      <c r="E25" s="3">
        <f>Student_CoalExtraction</f>
        <v>0.98878157674342848</v>
      </c>
      <c r="F25" s="3">
        <f>Student_CoalHauling</f>
        <v>0.98202222166069097</v>
      </c>
      <c r="G25" s="3">
        <f>Student_CokeBeneficiation</f>
        <v>1.2140142164545837</v>
      </c>
      <c r="H25" s="166"/>
      <c r="I25" s="166"/>
    </row>
    <row r="26" spans="1:12" x14ac:dyDescent="0.2">
      <c r="A26" s="166"/>
      <c r="B26" s="420"/>
      <c r="C26" s="148" t="s">
        <v>406</v>
      </c>
      <c r="D26" s="165">
        <f>Product_MEROI_Coal</f>
        <v>112.98778938876482</v>
      </c>
      <c r="E26" s="3">
        <f>Product_CoalExtraction</f>
        <v>0.98839130078384352</v>
      </c>
      <c r="F26" s="3">
        <f>Product_CoalHauling</f>
        <v>0.9816991267994748</v>
      </c>
      <c r="G26" s="3">
        <f>Product_CokeBeneficiation</f>
        <v>0.64499412077538865</v>
      </c>
      <c r="I26" s="166"/>
    </row>
    <row r="27" spans="1:12" x14ac:dyDescent="0.2">
      <c r="A27" s="166"/>
      <c r="B27" s="166"/>
      <c r="C27" s="203"/>
      <c r="D27" s="166"/>
      <c r="E27" s="202"/>
      <c r="F27" s="202"/>
      <c r="G27" s="202"/>
      <c r="H27" s="168"/>
      <c r="I27" s="166"/>
    </row>
    <row r="28" spans="1:12" x14ac:dyDescent="0.2">
      <c r="A28" s="166"/>
      <c r="B28" s="166"/>
      <c r="C28" s="166"/>
      <c r="D28" s="166"/>
      <c r="E28" s="166"/>
      <c r="F28" s="166"/>
      <c r="G28" s="166"/>
      <c r="H28" s="166"/>
      <c r="I28" s="166"/>
    </row>
    <row r="29" spans="1:12" x14ac:dyDescent="0.2">
      <c r="A29" s="166"/>
      <c r="B29" s="166"/>
      <c r="C29" s="166"/>
      <c r="D29" s="166"/>
      <c r="E29" s="166"/>
      <c r="F29" s="166"/>
      <c r="G29" s="166"/>
      <c r="H29" s="166"/>
      <c r="I29" s="166"/>
    </row>
    <row r="30" spans="1:12" x14ac:dyDescent="0.2">
      <c r="A30" s="166"/>
      <c r="B30" s="166"/>
      <c r="C30" s="166"/>
      <c r="D30" s="166"/>
      <c r="E30" s="166"/>
      <c r="F30" s="166"/>
      <c r="G30" s="166"/>
      <c r="H30" s="166"/>
      <c r="I30" s="166"/>
    </row>
    <row r="31" spans="1:12" x14ac:dyDescent="0.2">
      <c r="A31" s="166"/>
      <c r="B31" s="166"/>
      <c r="C31" s="166"/>
      <c r="D31" s="166"/>
      <c r="E31" s="166"/>
      <c r="F31" s="166"/>
      <c r="G31" s="166"/>
      <c r="H31" s="166"/>
      <c r="I31" s="166"/>
    </row>
    <row r="32" spans="1:12" x14ac:dyDescent="0.2">
      <c r="A32" s="166"/>
      <c r="B32" s="418" t="s">
        <v>402</v>
      </c>
      <c r="D32" s="195" t="s">
        <v>81</v>
      </c>
      <c r="E32" s="195" t="s">
        <v>352</v>
      </c>
      <c r="F32" s="166"/>
      <c r="G32" s="166"/>
      <c r="H32" s="166"/>
      <c r="I32" s="166"/>
    </row>
    <row r="33" spans="1:9" x14ac:dyDescent="0.2">
      <c r="A33" s="166"/>
      <c r="B33" s="418"/>
      <c r="C33" s="147" t="s">
        <v>341</v>
      </c>
      <c r="D33" s="3" t="s">
        <v>98</v>
      </c>
      <c r="E33" s="3" t="str">
        <f>Bejan_BF</f>
        <v>[-]</v>
      </c>
      <c r="F33" s="166"/>
      <c r="G33" s="166"/>
      <c r="H33" s="166"/>
      <c r="I33" s="166"/>
    </row>
    <row r="34" spans="1:9" x14ac:dyDescent="0.2">
      <c r="A34" s="166"/>
      <c r="B34" s="418"/>
      <c r="C34" s="149" t="s">
        <v>342</v>
      </c>
      <c r="D34" s="3">
        <f>Student_mixer</f>
        <v>0.99300939590335358</v>
      </c>
      <c r="E34" s="3">
        <f>Student_BF</f>
        <v>0.33030596672893314</v>
      </c>
      <c r="F34" s="166"/>
      <c r="G34" s="166"/>
      <c r="H34" s="166"/>
      <c r="I34" s="166"/>
    </row>
    <row r="35" spans="1:9" x14ac:dyDescent="0.2">
      <c r="A35" s="166"/>
      <c r="B35" s="418"/>
      <c r="C35" s="148" t="s">
        <v>406</v>
      </c>
      <c r="D35" s="3">
        <f>Product_Mixer</f>
        <v>1.0717776463170951E-2</v>
      </c>
      <c r="E35" s="3">
        <f>Product_BF</f>
        <v>0.2948122246878026</v>
      </c>
      <c r="F35" s="166"/>
      <c r="G35" s="166"/>
      <c r="H35" s="166"/>
      <c r="I35" s="166"/>
    </row>
    <row r="36" spans="1:9" x14ac:dyDescent="0.2">
      <c r="A36" s="166"/>
      <c r="B36" s="166"/>
      <c r="C36" s="203"/>
      <c r="D36" s="168"/>
      <c r="E36" s="168"/>
      <c r="F36" s="166"/>
      <c r="G36" s="166"/>
      <c r="H36" s="166"/>
      <c r="I36" s="166"/>
    </row>
    <row r="37" spans="1:9" x14ac:dyDescent="0.2">
      <c r="A37" s="166"/>
      <c r="B37" s="166"/>
      <c r="C37" s="166"/>
      <c r="D37" s="166"/>
      <c r="E37" s="166"/>
      <c r="F37" s="166"/>
      <c r="G37" s="166"/>
      <c r="H37" s="166"/>
      <c r="I37" s="166"/>
    </row>
    <row r="38" spans="1:9" x14ac:dyDescent="0.2">
      <c r="A38" s="166"/>
      <c r="B38" s="166"/>
      <c r="C38" s="166"/>
      <c r="D38" s="166"/>
      <c r="E38" s="166"/>
      <c r="F38" s="166"/>
      <c r="G38" s="166"/>
      <c r="H38" s="166"/>
      <c r="I38" s="166"/>
    </row>
  </sheetData>
  <mergeCells count="18">
    <mergeCell ref="Q12:R15"/>
    <mergeCell ref="S12:T15"/>
    <mergeCell ref="U12:V15"/>
    <mergeCell ref="S4:T7"/>
    <mergeCell ref="U4:V7"/>
    <mergeCell ref="Q8:R11"/>
    <mergeCell ref="S8:T11"/>
    <mergeCell ref="U8:V11"/>
    <mergeCell ref="B23:B26"/>
    <mergeCell ref="B32:B35"/>
    <mergeCell ref="B6:B9"/>
    <mergeCell ref="D4:G4"/>
    <mergeCell ref="D5:G5"/>
    <mergeCell ref="D13:H13"/>
    <mergeCell ref="D14:H14"/>
    <mergeCell ref="B15:B18"/>
    <mergeCell ref="D21:G21"/>
    <mergeCell ref="D22:G22"/>
  </mergeCell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3E1E3716C13334BBCA31FA58FBCC02A" ma:contentTypeVersion="4" ma:contentTypeDescription="Create a new document." ma:contentTypeScope="" ma:versionID="0545ef4b576db7fb58eb3df66d019f98">
  <xsd:schema xmlns:xsd="http://www.w3.org/2001/XMLSchema" xmlns:xs="http://www.w3.org/2001/XMLSchema" xmlns:p="http://schemas.microsoft.com/office/2006/metadata/properties" xmlns:ns2="933038b0-efc8-4863-81f2-0c2f5cc47dc6" targetNamespace="http://schemas.microsoft.com/office/2006/metadata/properties" ma:root="true" ma:fieldsID="33de43f85dda87e422d76007f28f4c43" ns2:_="">
    <xsd:import namespace="933038b0-efc8-4863-81f2-0c2f5cc47dc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33038b0-efc8-4863-81f2-0c2f5cc47dc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B5F17C0-1AC3-4572-A624-B264B78037B2}">
  <ds:schemaRefs>
    <ds:schemaRef ds:uri="http://purl.org/dc/elements/1.1/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  <ds:schemaRef ds:uri="http://schemas.microsoft.com/office/2006/documentManagement/types"/>
    <ds:schemaRef ds:uri="http://purl.org/dc/terms/"/>
    <ds:schemaRef ds:uri="933038b0-efc8-4863-81f2-0c2f5cc47dc6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1A9B53E5-3A7A-4760-801A-EC2FA0ED7F9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2BD485D-B59C-4EFF-AD7C-09A45E9CEFF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33038b0-efc8-4863-81f2-0c2f5cc47dc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308</vt:i4>
      </vt:variant>
    </vt:vector>
  </HeadingPairs>
  <TitlesOfParts>
    <vt:vector size="321" baseType="lpstr">
      <vt:lpstr>Constants</vt:lpstr>
      <vt:lpstr>Calculators</vt:lpstr>
      <vt:lpstr>Fuel Exergy</vt:lpstr>
      <vt:lpstr>Ore-&gt;PI</vt:lpstr>
      <vt:lpstr>Energy X</vt:lpstr>
      <vt:lpstr>MCC_B_RUVY_matrices_mat_level</vt:lpstr>
      <vt:lpstr>MCC_M_RUVY_matrices_mat_level</vt:lpstr>
      <vt:lpstr>MCC_h_RUVY_matrices_mat_level</vt:lpstr>
      <vt:lpstr>Energy RUVY matrices</vt:lpstr>
      <vt:lpstr>Efficiencies</vt:lpstr>
      <vt:lpstr>Waste</vt:lpstr>
      <vt:lpstr>Methane Combustion - EES</vt:lpstr>
      <vt:lpstr>Tables for Paper</vt:lpstr>
      <vt:lpstr>Air_to_Kiln</vt:lpstr>
      <vt:lpstr>Ash_in_coal</vt:lpstr>
      <vt:lpstr>b_ch_Al2O3</vt:lpstr>
      <vt:lpstr>b_ch_C</vt:lpstr>
      <vt:lpstr>b_ch_C2H4</vt:lpstr>
      <vt:lpstr>b_ch_Ca</vt:lpstr>
      <vt:lpstr>b_ch_CaCO3</vt:lpstr>
      <vt:lpstr>b_ch_CaO</vt:lpstr>
      <vt:lpstr>b_ch_CaSiO3</vt:lpstr>
      <vt:lpstr>b_ch_CH4</vt:lpstr>
      <vt:lpstr>b_ch_Cl</vt:lpstr>
      <vt:lpstr>b_ch_CO</vt:lpstr>
      <vt:lpstr>b_ch_CO2</vt:lpstr>
      <vt:lpstr>b_ch_coal</vt:lpstr>
      <vt:lpstr>b_ch_coke</vt:lpstr>
      <vt:lpstr>b_ch_Diesel</vt:lpstr>
      <vt:lpstr>b_ch_Fe</vt:lpstr>
      <vt:lpstr>b_ch_Fe2O3</vt:lpstr>
      <vt:lpstr>b_ch_FeC</vt:lpstr>
      <vt:lpstr>b_ch_fueloil</vt:lpstr>
      <vt:lpstr>b_ch_Gasoline</vt:lpstr>
      <vt:lpstr>b_ch_H</vt:lpstr>
      <vt:lpstr>b_ch_H2</vt:lpstr>
      <vt:lpstr>b_ch_H2O</vt:lpstr>
      <vt:lpstr>b_ch_K2O</vt:lpstr>
      <vt:lpstr>b_ch_MgCO3</vt:lpstr>
      <vt:lpstr>b_ch_MgO</vt:lpstr>
      <vt:lpstr>b_ch_N</vt:lpstr>
      <vt:lpstr>b_ch_N2</vt:lpstr>
      <vt:lpstr>b_ch_Na2O</vt:lpstr>
      <vt:lpstr>b_ch_O</vt:lpstr>
      <vt:lpstr>b_ch_O2</vt:lpstr>
      <vt:lpstr>b_ch_P</vt:lpstr>
      <vt:lpstr>b_ch_S</vt:lpstr>
      <vt:lpstr>b_ch_Si</vt:lpstr>
      <vt:lpstr>b_ch_SiO2</vt:lpstr>
      <vt:lpstr>B_lost_blast_furnace</vt:lpstr>
      <vt:lpstr>B_lost_coal_ext</vt:lpstr>
      <vt:lpstr>B_lost_coal_haul</vt:lpstr>
      <vt:lpstr>B_lost_coke_oven</vt:lpstr>
      <vt:lpstr>B_lost_iron_benef</vt:lpstr>
      <vt:lpstr>B_lost_Iron_Ext</vt:lpstr>
      <vt:lpstr>B_lost_Iron_haul</vt:lpstr>
      <vt:lpstr>B_lost_kiln</vt:lpstr>
      <vt:lpstr>B_lost_lime_benef</vt:lpstr>
      <vt:lpstr>B_lost_lime_ext</vt:lpstr>
      <vt:lpstr>B_lost_lime_haul</vt:lpstr>
      <vt:lpstr>B_lost_mixer</vt:lpstr>
      <vt:lpstr>Bejan_BF</vt:lpstr>
      <vt:lpstr>Bejan_CoalExtraction</vt:lpstr>
      <vt:lpstr>Bejan_CoalHauling</vt:lpstr>
      <vt:lpstr>Bejan_CokeBeneficiation</vt:lpstr>
      <vt:lpstr>Bejan_IronBeneficiation</vt:lpstr>
      <vt:lpstr>Bejan_IronExtraction</vt:lpstr>
      <vt:lpstr>Bejan_IronHauling</vt:lpstr>
      <vt:lpstr>Bejan_LimeBeneficiation</vt:lpstr>
      <vt:lpstr>Bejan_LimeExtraction</vt:lpstr>
      <vt:lpstr>Bejan_LimeHauling</vt:lpstr>
      <vt:lpstr>Bejan_MEROI_Coal</vt:lpstr>
      <vt:lpstr>Bejan_MEROI_Iron</vt:lpstr>
      <vt:lpstr>Bejan_MEROI_Limestone</vt:lpstr>
      <vt:lpstr>Beneficiation_CoalWaste</vt:lpstr>
      <vt:lpstr>Beneficiation_Iron_waste</vt:lpstr>
      <vt:lpstr>BF_CO2Waste</vt:lpstr>
      <vt:lpstr>BF_SolidWaste</vt:lpstr>
      <vt:lpstr>Btu_to_kJ</vt:lpstr>
      <vt:lpstr>C_for_BF</vt:lpstr>
      <vt:lpstr>C_Kiln_out</vt:lpstr>
      <vt:lpstr>cal_to_kJ</vt:lpstr>
      <vt:lpstr>CH4_into_Kiln</vt:lpstr>
      <vt:lpstr>CH4_out_COtreatment</vt:lpstr>
      <vt:lpstr>CH4_to_BF</vt:lpstr>
      <vt:lpstr>CH4_to_coke_oven</vt:lpstr>
      <vt:lpstr>CO2_BF_Out</vt:lpstr>
      <vt:lpstr>CO2_Diesel_molcoeff</vt:lpstr>
      <vt:lpstr>CO2_from_coke_oven_comb</vt:lpstr>
      <vt:lpstr>CO2_Gasoline_molcoeff</vt:lpstr>
      <vt:lpstr>CO2_Kiln_Out</vt:lpstr>
      <vt:lpstr>CO2_molcoeff</vt:lpstr>
      <vt:lpstr>Co2_Naturalgas_molcoeff</vt:lpstr>
      <vt:lpstr>Co2_Oil_molcoef</vt:lpstr>
      <vt:lpstr>CO2_out_BF</vt:lpstr>
      <vt:lpstr>CO2_out_Coal_Ext</vt:lpstr>
      <vt:lpstr>CO2_out_coke_oven</vt:lpstr>
      <vt:lpstr>COG_needed</vt:lpstr>
      <vt:lpstr>Coking_BF_in</vt:lpstr>
      <vt:lpstr>Diesel_N2_molcoeff</vt:lpstr>
      <vt:lpstr>E_tot</vt:lpstr>
      <vt:lpstr>Fe_BF_out</vt:lpstr>
      <vt:lpstr>Fe2O3_BF_in</vt:lpstr>
      <vt:lpstr>h_0_CO2</vt:lpstr>
      <vt:lpstr>h_0_H2O</vt:lpstr>
      <vt:lpstr>h_0_N2</vt:lpstr>
      <vt:lpstr>h_Al2O3</vt:lpstr>
      <vt:lpstr>h_C</vt:lpstr>
      <vt:lpstr>h_C2H4</vt:lpstr>
      <vt:lpstr>h_C2H6</vt:lpstr>
      <vt:lpstr>h_C6H6</vt:lpstr>
      <vt:lpstr>h_C8H18</vt:lpstr>
      <vt:lpstr>h_CaCO3</vt:lpstr>
      <vt:lpstr>h_CaO</vt:lpstr>
      <vt:lpstr>h_CaSiO3</vt:lpstr>
      <vt:lpstr>h_CH4</vt:lpstr>
      <vt:lpstr>h_Cl</vt:lpstr>
      <vt:lpstr>h_CO</vt:lpstr>
      <vt:lpstr>h_CO2</vt:lpstr>
      <vt:lpstr>h_CS2</vt:lpstr>
      <vt:lpstr>h_Fe</vt:lpstr>
      <vt:lpstr>h_Fe2O3</vt:lpstr>
      <vt:lpstr>h_fg_ash</vt:lpstr>
      <vt:lpstr>h_H</vt:lpstr>
      <vt:lpstr>h_H2</vt:lpstr>
      <vt:lpstr>h_H2O</vt:lpstr>
      <vt:lpstr>h_H2S</vt:lpstr>
      <vt:lpstr>h_HCN</vt:lpstr>
      <vt:lpstr>h_K2O</vt:lpstr>
      <vt:lpstr>h_MgCO3</vt:lpstr>
      <vt:lpstr>h_MgO</vt:lpstr>
      <vt:lpstr>h_N</vt:lpstr>
      <vt:lpstr>h_N2</vt:lpstr>
      <vt:lpstr>h_Na2O</vt:lpstr>
      <vt:lpstr>h_NH3</vt:lpstr>
      <vt:lpstr>h_O</vt:lpstr>
      <vt:lpstr>h_O2</vt:lpstr>
      <vt:lpstr>h_P</vt:lpstr>
      <vt:lpstr>h_S</vt:lpstr>
      <vt:lpstr>h_Si</vt:lpstr>
      <vt:lpstr>h_SiO2</vt:lpstr>
      <vt:lpstr>h_T_CO2</vt:lpstr>
      <vt:lpstr>h_T_H2O</vt:lpstr>
      <vt:lpstr>h_T_N2</vt:lpstr>
      <vt:lpstr>H2_Kiln_Out</vt:lpstr>
      <vt:lpstr>H2_out_COtreatment</vt:lpstr>
      <vt:lpstr>H2_to_BF</vt:lpstr>
      <vt:lpstr>H2_to_coke_oven</vt:lpstr>
      <vt:lpstr>H2O__Diesel_molcoeff</vt:lpstr>
      <vt:lpstr>H2O_from_coke_oven_comb</vt:lpstr>
      <vt:lpstr>H2O_Gasoline_molcoeff</vt:lpstr>
      <vt:lpstr>H2O_Kiln_Out</vt:lpstr>
      <vt:lpstr>H2O_molcoeff</vt:lpstr>
      <vt:lpstr>H2O_Naturalgas_molcoeff</vt:lpstr>
      <vt:lpstr>H2O_Oil_molcoeff</vt:lpstr>
      <vt:lpstr>H2O_out_BF</vt:lpstr>
      <vt:lpstr>H2O_out_Coal_Ext</vt:lpstr>
      <vt:lpstr>H2O_out_coke_oven</vt:lpstr>
      <vt:lpstr>kg_to_ton</vt:lpstr>
      <vt:lpstr>Kiln_CO2Waste</vt:lpstr>
      <vt:lpstr>Kiln_SolidWaste</vt:lpstr>
      <vt:lpstr>kWh_to_kJ</vt:lpstr>
      <vt:lpstr>LHV_CH4</vt:lpstr>
      <vt:lpstr>LHV_Diesel</vt:lpstr>
      <vt:lpstr>LHV_Gasoline</vt:lpstr>
      <vt:lpstr>LHV_Oil</vt:lpstr>
      <vt:lpstr>Lime_to_Energy_Conversion</vt:lpstr>
      <vt:lpstr>Limestone_for_BF</vt:lpstr>
      <vt:lpstr>mass_bal_BF</vt:lpstr>
      <vt:lpstr>mass_bal_CoalExt</vt:lpstr>
      <vt:lpstr>mass_bal_CoalHaul</vt:lpstr>
      <vt:lpstr>mass_bal_CokeOven</vt:lpstr>
      <vt:lpstr>mass_bal_IronBenef</vt:lpstr>
      <vt:lpstr>mass_bal_IronExt</vt:lpstr>
      <vt:lpstr>mass_bal_IronHaul</vt:lpstr>
      <vt:lpstr>mass_bal_kiln</vt:lpstr>
      <vt:lpstr>mass_bal_LimeBenef</vt:lpstr>
      <vt:lpstr>mass_bal_LimeExt</vt:lpstr>
      <vt:lpstr>mass_bal_LimeHaul</vt:lpstr>
      <vt:lpstr>mass_bal_Mixer</vt:lpstr>
      <vt:lpstr>mcc_energy_reqts</vt:lpstr>
      <vt:lpstr>MgCO3_in</vt:lpstr>
      <vt:lpstr>MgO_out</vt:lpstr>
      <vt:lpstr>mol_C_Coal</vt:lpstr>
      <vt:lpstr>mol_C_Coal_in</vt:lpstr>
      <vt:lpstr>mol_C_to_BF</vt:lpstr>
      <vt:lpstr>mol_Coal</vt:lpstr>
      <vt:lpstr>mol_H_Coal</vt:lpstr>
      <vt:lpstr>mol_N_Coal</vt:lpstr>
      <vt:lpstr>mol_O_Coal</vt:lpstr>
      <vt:lpstr>MW_Al2O3</vt:lpstr>
      <vt:lpstr>MW_C</vt:lpstr>
      <vt:lpstr>MW_C12H23</vt:lpstr>
      <vt:lpstr>MW_C2H4</vt:lpstr>
      <vt:lpstr>MW_C2H6</vt:lpstr>
      <vt:lpstr>MW_C6H6</vt:lpstr>
      <vt:lpstr>MW_C8H18</vt:lpstr>
      <vt:lpstr>MW_CaCO3</vt:lpstr>
      <vt:lpstr>MW_CaO</vt:lpstr>
      <vt:lpstr>MW_CaSiO3</vt:lpstr>
      <vt:lpstr>MW_CH4</vt:lpstr>
      <vt:lpstr>MW_Cl</vt:lpstr>
      <vt:lpstr>MW_CO</vt:lpstr>
      <vt:lpstr>MW_CO2</vt:lpstr>
      <vt:lpstr>MW_CS2</vt:lpstr>
      <vt:lpstr>MW_Fe</vt:lpstr>
      <vt:lpstr>MW_Fe2O3</vt:lpstr>
      <vt:lpstr>MW_FeC</vt:lpstr>
      <vt:lpstr>MW_H</vt:lpstr>
      <vt:lpstr>MW_H2O</vt:lpstr>
      <vt:lpstr>MW_H2S</vt:lpstr>
      <vt:lpstr>MW_HCN</vt:lpstr>
      <vt:lpstr>MW_K2O</vt:lpstr>
      <vt:lpstr>MW_MgCO3</vt:lpstr>
      <vt:lpstr>MW_MgO</vt:lpstr>
      <vt:lpstr>MW_N2</vt:lpstr>
      <vt:lpstr>MW_Na2O</vt:lpstr>
      <vt:lpstr>MW_NH3</vt:lpstr>
      <vt:lpstr>MW_O</vt:lpstr>
      <vt:lpstr>MW_O2</vt:lpstr>
      <vt:lpstr>MW_Oil</vt:lpstr>
      <vt:lpstr>MW_P</vt:lpstr>
      <vt:lpstr>MW_S</vt:lpstr>
      <vt:lpstr>MW_Si</vt:lpstr>
      <vt:lpstr>MW_SIO2</vt:lpstr>
      <vt:lpstr>N2_added_BF</vt:lpstr>
      <vt:lpstr>N2_BF_out</vt:lpstr>
      <vt:lpstr>N2_for_coke_oven_comb</vt:lpstr>
      <vt:lpstr>N2_from_coke_oven_comb</vt:lpstr>
      <vt:lpstr>N2_in_Coal_Ext</vt:lpstr>
      <vt:lpstr>N2_in_coke_oven</vt:lpstr>
      <vt:lpstr>N2_Kiln_in</vt:lpstr>
      <vt:lpstr>N2_molcoeff</vt:lpstr>
      <vt:lpstr>N2_out_coke_oven</vt:lpstr>
      <vt:lpstr>N2_out_COtreatment</vt:lpstr>
      <vt:lpstr>N2_to_BF_from_coke</vt:lpstr>
      <vt:lpstr>N2_to_coke_oven</vt:lpstr>
      <vt:lpstr>NCV_dry_anthrocite</vt:lpstr>
      <vt:lpstr>O2_added_BF</vt:lpstr>
      <vt:lpstr>O2_BF_in</vt:lpstr>
      <vt:lpstr>O2_Diesel_molcoeff</vt:lpstr>
      <vt:lpstr>O2_for_coke_oven_comb</vt:lpstr>
      <vt:lpstr>O2_Gasoline_molcoeff</vt:lpstr>
      <vt:lpstr>O2_in_Coal_Ext</vt:lpstr>
      <vt:lpstr>O2_in_coke_oven</vt:lpstr>
      <vt:lpstr>O2_Kiln_in</vt:lpstr>
      <vt:lpstr>O2_molcoeff</vt:lpstr>
      <vt:lpstr>O2_Naturalgas_molcoeff</vt:lpstr>
      <vt:lpstr>O2_Oil_molcoeff</vt:lpstr>
      <vt:lpstr>O2_out_COtreatment</vt:lpstr>
      <vt:lpstr>O2_to_BF_from_coke</vt:lpstr>
      <vt:lpstr>O2_to_coke_oven</vt:lpstr>
      <vt:lpstr>Ore_to_Kiln</vt:lpstr>
      <vt:lpstr>phi_anthrocite</vt:lpstr>
      <vt:lpstr>phi_dry_constant_a_</vt:lpstr>
      <vt:lpstr>phi_dry_constant_b</vt:lpstr>
      <vt:lpstr>phi_dry_constant_c</vt:lpstr>
      <vt:lpstr>Product_BF</vt:lpstr>
      <vt:lpstr>Product_CoalExtraction</vt:lpstr>
      <vt:lpstr>Product_CoalHauling</vt:lpstr>
      <vt:lpstr>Product_CokeBeneficiation</vt:lpstr>
      <vt:lpstr>Product_IronBeneficiation</vt:lpstr>
      <vt:lpstr>Product_IronExtraction</vt:lpstr>
      <vt:lpstr>Product_IronHauling</vt:lpstr>
      <vt:lpstr>Product_Kiln</vt:lpstr>
      <vt:lpstr>Product_LimeBeneficiation</vt:lpstr>
      <vt:lpstr>Product_LimeExtraction</vt:lpstr>
      <vt:lpstr>Product_LimeHauling</vt:lpstr>
      <vt:lpstr>Product_MEROI_Coal</vt:lpstr>
      <vt:lpstr>Product_MEROI_Iron</vt:lpstr>
      <vt:lpstr>Product_MEROI_Limestone</vt:lpstr>
      <vt:lpstr>Product_Mixer</vt:lpstr>
      <vt:lpstr>Quicklime_for_BF</vt:lpstr>
      <vt:lpstr>R__MCC_B_RUVY_matrices_mat_level</vt:lpstr>
      <vt:lpstr>R__MCC_h_RUVY_matrices_mat_level</vt:lpstr>
      <vt:lpstr>R__MCC_M_RUVY_matrices_mat_level</vt:lpstr>
      <vt:lpstr>r_EIOU__MCC_B_RUVY_matrices_mat_level</vt:lpstr>
      <vt:lpstr>r_EIOU__MCC_h_RUVY_matrices_mat_level</vt:lpstr>
      <vt:lpstr>r_EIOU__MCC_M_RUVY_matrices_mat_level</vt:lpstr>
      <vt:lpstr>RT0</vt:lpstr>
      <vt:lpstr>s_0_CO2</vt:lpstr>
      <vt:lpstr>s_0_H2O</vt:lpstr>
      <vt:lpstr>s_0_N2</vt:lpstr>
      <vt:lpstr>s_CO2</vt:lpstr>
      <vt:lpstr>s_H2O</vt:lpstr>
      <vt:lpstr>s_N2</vt:lpstr>
      <vt:lpstr>S_units__MCC_B_RUVY_matrices_mat_level</vt:lpstr>
      <vt:lpstr>MCC_h_RUVY_matrices_mat_level!S_units_M</vt:lpstr>
      <vt:lpstr>S_units_M</vt:lpstr>
      <vt:lpstr>SiO2_BF_in</vt:lpstr>
      <vt:lpstr>Slag_BF_out</vt:lpstr>
      <vt:lpstr>Student__LimeHauling</vt:lpstr>
      <vt:lpstr>Student_BF</vt:lpstr>
      <vt:lpstr>Student_CoalExtraction</vt:lpstr>
      <vt:lpstr>Student_CoalHauling</vt:lpstr>
      <vt:lpstr>Student_CokeBeneficiation</vt:lpstr>
      <vt:lpstr>Student_IronBeneficiation</vt:lpstr>
      <vt:lpstr>Student_IronExtraction</vt:lpstr>
      <vt:lpstr>Student_IronHauling</vt:lpstr>
      <vt:lpstr>Student_Kiln</vt:lpstr>
      <vt:lpstr>Student_LimeBeneficiation</vt:lpstr>
      <vt:lpstr>Student_LimeExtraction</vt:lpstr>
      <vt:lpstr>Student_MEROI_Coal</vt:lpstr>
      <vt:lpstr>Student_MEROI_Iron</vt:lpstr>
      <vt:lpstr>Student_MEROI_Limestone</vt:lpstr>
      <vt:lpstr>Student_mixer</vt:lpstr>
      <vt:lpstr>U__MCC_B_RUVY_matrices_mat_level</vt:lpstr>
      <vt:lpstr>U__MCC_h_RUVY_matrices_mat_level</vt:lpstr>
      <vt:lpstr>U__MCC_M_RUVY_matrices_mat_level</vt:lpstr>
      <vt:lpstr>U_EIOU__MCC_B_RUVY_matrices_mat_level</vt:lpstr>
      <vt:lpstr>U_EIOU__MCC_h_RUVY_matrices_mat_level</vt:lpstr>
      <vt:lpstr>U_EIOU__MCC_M_RUVY_matrices_mat_level</vt:lpstr>
      <vt:lpstr>U_feed__MCC_B_RUVY_matrices_mat_level</vt:lpstr>
      <vt:lpstr>U_feed__MCC_h_RUVY_matrices_mat_level</vt:lpstr>
      <vt:lpstr>U_feed__MCC_M_RUVY_matrices_mat_level</vt:lpstr>
      <vt:lpstr>V__MCC_B_RUVY_matrices_mat_level</vt:lpstr>
      <vt:lpstr>V__MCC_h_RUVY_matrices_mat_level</vt:lpstr>
      <vt:lpstr>V__MCC_M_RUVY_matrices_mat_level</vt:lpstr>
      <vt:lpstr>Y__MCC_B_RUVY_matrices_mat_level</vt:lpstr>
      <vt:lpstr>Y__MCC_h_RUVY_matrices_mat_level</vt:lpstr>
      <vt:lpstr>Y__MCC_M_RUVY_matrices_mat_level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Erin Schuman</dc:creator>
  <cp:keywords/>
  <dc:description/>
  <cp:lastModifiedBy>Erin Schuman</cp:lastModifiedBy>
  <cp:revision/>
  <cp:lastPrinted>2025-06-04T17:14:24Z</cp:lastPrinted>
  <dcterms:created xsi:type="dcterms:W3CDTF">2025-05-19T15:01:37Z</dcterms:created>
  <dcterms:modified xsi:type="dcterms:W3CDTF">2025-07-16T16:06:44Z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0x01010013E1E3716C13334BBCA31FA58FBCC02A</vt:lpwstr>
  </property>
</Properties>
</file>