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7B186F8-EC71-D448-8048-3DD047A06235}" xr6:coauthVersionLast="47" xr6:coauthVersionMax="47" xr10:uidLastSave="{00000000-0000-0000-0000-000000000000}"/>
  <bookViews>
    <workbookView xWindow="6340" yWindow="940" windowWidth="37420" windowHeight="2612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Gtreatment">'Ore-&gt;PI'!$DC$237</definedName>
    <definedName name="Bejan_Cokeove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COGdistribution">'Ore-&gt;PI'!$DW$238</definedName>
    <definedName name="Rational_COGtreatment">'Ore-&gt;PI'!$DC$238</definedName>
    <definedName name="Resource_COGdistribution">'Ore-&gt;PI'!$DW$239</definedName>
    <definedName name="Resource_COGtreatment">'Ore-&gt;PI'!$DC$239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ove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" i="3" l="1"/>
  <c r="D58" i="14" l="1"/>
  <c r="D57" i="14"/>
  <c r="D56" i="14"/>
  <c r="D55" i="14"/>
  <c r="D54" i="14"/>
  <c r="D53" i="14"/>
  <c r="D52" i="14"/>
  <c r="D51" i="14"/>
  <c r="C62" i="14"/>
  <c r="C58" i="14"/>
  <c r="C57" i="14"/>
  <c r="C56" i="14"/>
  <c r="C55" i="14"/>
  <c r="C54" i="14"/>
  <c r="C53" i="14"/>
  <c r="C52" i="14"/>
  <c r="C51" i="14"/>
  <c r="BG43" i="8"/>
  <c r="H154" i="22"/>
  <c r="G153" i="22"/>
  <c r="C223" i="22" l="1"/>
  <c r="C220" i="22"/>
  <c r="C217" i="22"/>
  <c r="C216" i="22"/>
  <c r="C215" i="22"/>
  <c r="C214" i="22"/>
  <c r="C213" i="22"/>
  <c r="C212" i="22"/>
  <c r="C211" i="22"/>
  <c r="BE111" i="22"/>
  <c r="EF160" i="9" a="1"/>
  <c r="EF160" i="9" s="1"/>
  <c r="BC110" i="22"/>
  <c r="EE241" i="9" a="1"/>
  <c r="EE241" i="9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8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4" i="22"/>
  <c r="AQ45" i="22"/>
  <c r="AQ46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M111" i="22"/>
  <c r="BK111" i="22"/>
  <c r="BC117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Z241" i="9" a="1"/>
  <c r="EZ241" i="9" s="1"/>
  <c r="AG132" i="22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BF111" i="22" l="1"/>
  <c r="G197" i="22" s="1"/>
  <c r="BE71" i="22"/>
  <c r="AL132" i="22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AW117" i="22"/>
  <c r="BF96" i="22"/>
  <c r="R136" i="22"/>
  <c r="AL123" i="22"/>
  <c r="BF103" i="22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B136" i="22"/>
  <c r="BF106" i="22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AU117" i="22"/>
  <c r="N136" i="22"/>
  <c r="AX117" i="22"/>
  <c r="BF97" i="22"/>
  <c r="S136" i="22"/>
  <c r="AL124" i="22"/>
  <c r="AL133" i="22"/>
  <c r="AH136" i="22"/>
  <c r="BF112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BF87" i="22"/>
  <c r="W136" i="22"/>
  <c r="AL127" i="22"/>
  <c r="BF10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167" i="22" s="1" a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C167" i="22" l="1"/>
  <c r="K175" i="22"/>
  <c r="K195" i="22"/>
  <c r="K176" i="22"/>
  <c r="K198" i="22"/>
  <c r="K177" i="22"/>
  <c r="K199" i="22"/>
  <c r="K178" i="22"/>
  <c r="K200" i="22"/>
  <c r="K179" i="22"/>
  <c r="K201" i="22"/>
  <c r="K180" i="22"/>
  <c r="K181" i="22"/>
  <c r="K182" i="22"/>
  <c r="K183" i="22"/>
  <c r="K184" i="22"/>
  <c r="K185" i="22"/>
  <c r="K186" i="22"/>
  <c r="K187" i="22"/>
  <c r="K168" i="22"/>
  <c r="K188" i="22"/>
  <c r="K169" i="22"/>
  <c r="K189" i="22"/>
  <c r="K170" i="22"/>
  <c r="K190" i="22"/>
  <c r="K191" i="22"/>
  <c r="K192" i="22"/>
  <c r="K173" i="22"/>
  <c r="K193" i="22"/>
  <c r="K174" i="22"/>
  <c r="K194" i="22"/>
  <c r="BF85" i="22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K196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F84" i="22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<sst xmlns="http://schemas.openxmlformats.org/spreadsheetml/2006/main" count="5733" uniqueCount="681">
  <si>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</si>
  <si>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</si>
  <si>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</si>
  <si>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</si>
  <si>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</si>
  <si>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</si>
  <si>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</si>
  <si>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</si>
  <si>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</si>
  <si>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</si>
  <si>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</si>
  <si>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</si>
  <si>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</si>
  <si>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</si>
  <si>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</si>
  <si>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</si>
  <si>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</si>
  <si>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</si>
  <si>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</si>
  <si>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</si>
  <si>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</si>
  <si>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</si>
  <si>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</si>
  <si>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</si>
  <si>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</si>
  <si>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</si>
  <si>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</si>
  <si>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</si>
  <si>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</si>
  <si>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</si>
  <si>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</si>
  <si>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</si>
  <si>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</si>
  <si>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</si>
  <si>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</si>
  <si>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</si>
  <si>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</si>
  <si>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</si>
  <si>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</si>
  <si>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</si>
  <si>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</si>
  <si>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</si>
  <si>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</si>
  <si>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</si>
  <si>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</si>
  <si>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</si>
  <si>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</si>
  <si>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</si>
  <si>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</si>
  <si>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</si>
  <si>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</si>
  <si>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</si>
  <si>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</si>
  <si>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</si>
  <si>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</si>
  <si>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</si>
  <si>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</si>
  <si>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</si>
  <si>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</si>
  <si>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</si>
  <si>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</si>
  <si>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</si>
  <si>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</si>
  <si>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</si>
  <si>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</si>
  <si>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</si>
  <si>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</si>
  <si>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</si>
  <si>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</si>
  <si>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</si>
  <si>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</si>
  <si>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</si>
  <si>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</si>
  <si>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</si>
  <si>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</si>
  <si>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</si>
  <si>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</si>
  <si>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</si>
  <si>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</si>
  <si>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</si>
  <si>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</si>
  <si>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</si>
  <si>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</si>
  <si>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</si>
  <si>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</si>
  <si>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</si>
  <si>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</si>
  <si>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</si>
  <si>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</si>
  <si>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</si>
  <si>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</si>
  <si>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</si>
  <si>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</si>
  <si>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</si>
  <si>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</si>
  <si>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</si>
  <si>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</si>
  <si>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</si>
  <si>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</si>
  <si>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</si>
  <si>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</si>
  <si>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</si>
  <si>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</si>
  <si>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</si>
  <si>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</si>
  <si>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</si>
  <si>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</si>
  <si>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</si>
  <si>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</si>
  <si>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</si>
  <si>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</si>
  <si>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</si>
  <si>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</si>
  <si>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</si>
  <si>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</si>
  <si>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</si>
  <si>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</si>
  <si>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</si>
  <si>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</si>
  <si>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</si>
  <si>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</si>
  <si>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</si>
  <si>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</si>
  <si>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</si>
  <si>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</si>
  <si>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</si>
  <si>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</si>
  <si>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</si>
  <si>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</si>
  <si>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</si>
  <si>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</si>
  <si>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</si>
  <si>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</si>
  <si>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</si>
  <si>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</si>
  <si>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</si>
  <si>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</si>
  <si>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</si>
  <si>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</si>
  <si>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</si>
  <si>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</si>
  <si>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</si>
  <si>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</si>
  <si>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</si>
  <si>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</si>
  <si>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</si>
  <si>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</si>
  <si>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</si>
  <si>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</si>
  <si>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</si>
  <si>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</si>
  <si>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</si>
  <si>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</si>
  <si>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</si>
  <si>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</si>
  <si>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</si>
  <si>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</si>
  <si>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</si>
  <si>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</si>
  <si>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</si>
  <si>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</si>
  <si>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</si>
  <si>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</si>
  <si>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</si>
  <si>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</si>
  <si>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</si>
  <si>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</si>
  <si>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</si>
  <si>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</si>
  <si>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</si>
  <si>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</si>
  <si>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</si>
  <si>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</si>
  <si>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</si>
  <si>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</si>
  <si>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</si>
  <si>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</si>
  <si>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</si>
  <si>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</si>
  <si>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</si>
  <si>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</si>
  <si>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</si>
  <si>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</si>
  <si>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</si>
  <si>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</si>
  <si>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</si>
  <si>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</si>
  <si>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</si>
  <si>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</si>
  <si>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</si>
  <si>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</si>
  <si>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</si>
  <si>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</si>
  <si>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</si>
  <si>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</si>
  <si>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</si>
  <si>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</si>
  <si>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</si>
  <si>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</si>
  <si>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</si>
  <si>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</si>
  <si>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</si>
  <si>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</si>
  <si>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</si>
  <si>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</si>
  <si>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</si>
  <si>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</si>
  <si>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</si>
  <si>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</si>
  <si>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</si>
  <si>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</si>
  <si>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</si>
  <si>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</si>
  <si>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</si>
  <si>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</si>
  <si>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</si>
  <si>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</si>
  <si>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</si>
  <si>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</si>
  <si>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</si>
  <si>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</si>
  <si>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</si>
  <si>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</si>
  <si>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</si>
  <si>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</si>
  <si>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</si>
  <si>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</si>
  <si>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</si>
  <si>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</si>
  <si>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</si>
  <si>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</si>
  <si>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</si>
  <si>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</si>
  <si>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</si>
  <si>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</si>
  <si>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</si>
  <si>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</si>
  <si>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</si>
  <si>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</si>
  <si>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</si>
  <si>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</si>
  <si>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</si>
  <si>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</si>
  <si>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</si>
  <si>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</si>
  <si>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</si>
  <si>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</si>
  <si>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</si>
  <si>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</si>
  <si>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</si>
  <si>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</si>
  <si>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</si>
  <si>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</si>
  <si>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</si>
  <si>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</si>
  <si>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</si>
  <si>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</si>
  <si>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</si>
  <si>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</si>
  <si>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</si>
  <si>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</si>
  <si>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</si>
  <si>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</si>
  <si>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</si>
  <si>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</si>
  <si>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</si>
  <si>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</si>
  <si>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</si>
  <si>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</si>
  <si>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</si>
  <si>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</si>
  <si>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</si>
  <si>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</si>
  <si>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</si>
  <si>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</si>
  <si>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</si>
  <si>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</si>
  <si>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</si>
  <si>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</si>
  <si>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</si>
  <si>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</si>
  <si>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</si>
  <si>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</si>
  <si>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</si>
  <si>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</si>
  <si>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</si>
  <si>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</si>
  <si>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</si>
  <si>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</si>
  <si>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</si>
  <si>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</si>
  <si>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</si>
  <si>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</si>
  <si>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</si>
  <si>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</si>
  <si>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</si>
  <si>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</si>
  <si>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</si>
  <si>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</si>
  <si>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</si>
  <si>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</si>
  <si>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</si>
  <si>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</si>
  <si>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</si>
  <si>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</si>
  <si>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</si>
  <si>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</si>
  <si>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</si>
  <si>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</si>
  <si>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</si>
  <si>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</si>
  <si>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</si>
  <si>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</si>
  <si>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</si>
  <si>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</si>
  <si>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</si>
  <si>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</si>
  <si>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</si>
  <si>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</si>
  <si>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</si>
  <si>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</si>
  <si>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</si>
  <si>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</si>
  <si>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</si>
  <si>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</si>
  <si>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</si>
  <si>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</si>
  <si>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</si>
  <si>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</si>
  <si>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</si>
  <si>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</si>
  <si>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</si>
  <si>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</si>
  <si>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</si>
  <si>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</si>
  <si>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</si>
  <si>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</si>
  <si>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</si>
  <si>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</si>
  <si>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</si>
  <si>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</si>
  <si>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</si>
  <si>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</si>
  <si>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</si>
  <si>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</si>
  <si>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</si>
  <si>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</si>
  <si>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</si>
  <si>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</si>
  <si>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</si>
  <si>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</si>
  <si>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</si>
  <si>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</si>
  <si>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</si>
  <si>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</si>
  <si>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</si>
  <si>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</si>
  <si>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</si>
  <si>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</si>
  <si>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</si>
  <si>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</si>
  <si>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</si>
  <si>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</si>
  <si>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</si>
  <si>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</si>
  <si>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</si>
  <si>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</si>
  <si>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</si>
  <si>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</si>
  <si>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</si>
  <si>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</si>
  <si>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</si>
  <si>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</si>
  <si>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</si>
  <si>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</si>
  <si>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</si>
  <si>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</si>
  <si>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</si>
  <si>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</si>
  <si>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</si>
  <si>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</si>
  <si>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</si>
  <si>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</si>
  <si>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</si>
  <si>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</si>
  <si>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</si>
  <si>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</si>
  <si>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</si>
  <si>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</si>
  <si>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</si>
  <si>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</si>
  <si>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</si>
  <si>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</si>
  <si>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</si>
  <si>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</si>
  <si>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</si>
  <si>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</si>
  <si>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</si>
  <si>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</si>
  <si>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</si>
  <si>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</si>
  <si>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</si>
  <si>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</si>
  <si>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</si>
  <si>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</si>
  <si>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</si>
  <si>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</si>
  <si>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</si>
  <si>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</si>
  <si>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</si>
  <si>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</si>
  <si>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</si>
  <si>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</si>
  <si>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</si>
  <si>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</si>
  <si>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</si>
  <si>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</si>
  <si>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</si>
  <si>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</si>
  <si>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</si>
  <si>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</si>
  <si>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</si>
  <si>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</si>
  <si>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</si>
  <si>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</si>
  <si>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</si>
  <si>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</si>
  <si>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</si>
  <si>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</si>
  <si>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</si>
  <si>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</si>
  <si>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</si>
  <si>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</si>
  <si>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</si>
  <si>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</si>
  <si>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</si>
  <si>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</si>
  <si>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</si>
  <si>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</si>
  <si>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</si>
  <si>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</si>
  <si>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</si>
  <si>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</si>
  <si>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</si>
  <si>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</si>
  <si>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</si>
  <si>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</si>
  <si>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</si>
  <si>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</si>
  <si>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</si>
  <si>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</si>
  <si>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</si>
  <si>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</si>
  <si>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</si>
  <si>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</si>
  <si>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</si>
  <si>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</si>
  <si>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</si>
  <si>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</si>
  <si>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</si>
  <si>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</si>
  <si>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</si>
  <si>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</si>
  <si>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</si>
  <si>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</si>
  <si>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</si>
  <si>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</si>
  <si>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</si>
  <si>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</si>
  <si>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</si>
  <si>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</si>
  <si>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</si>
  <si>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</si>
  <si>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</si>
  <si>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</si>
  <si>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</si>
  <si>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</si>
  <si>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</si>
  <si>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</si>
  <si>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</si>
  <si>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</si>
  <si>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</si>
  <si>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</si>
  <si>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</si>
  <si>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</si>
  <si>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</si>
  <si>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</si>
  <si>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</si>
  <si>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</si>
  <si>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</si>
  <si>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</si>
  <si>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</si>
  <si>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</si>
  <si>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</si>
  <si>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</si>
  <si>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</si>
  <si>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</si>
  <si>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</si>
  <si>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</si>
  <si>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</si>
  <si>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</si>
  <si>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</si>
  <si>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</si>
  <si>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</si>
  <si>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</si>
  <si>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</si>
  <si>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</si>
  <si>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</si>
  <si>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</si>
  <si>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</si>
  <si>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</si>
  <si>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</si>
  <si>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</si>
  <si>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</si>
  <si>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</si>
  <si>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</si>
  <si>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</si>
  <si>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</si>
  <si>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</si>
  <si>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</si>
  <si>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</si>
  <si>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</si>
  <si>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</si>
  <si>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</si>
  <si>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</si>
  <si>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</si>
  <si>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</si>
  <si>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</si>
  <si>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</si>
  <si>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</si>
  <si>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</si>
  <si>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</si>
  <si>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</si>
  <si>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</si>
  <si>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</si>
  <si>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</si>
  <si>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</si>
  <si>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</si>
  <si>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</si>
  <si>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</si>
  <si>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</si>
  <si>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</si>
  <si>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</si>
  <si>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</si>
  <si>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</si>
  <si>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</si>
  <si>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</si>
  <si>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</si>
  <si>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</si>
  <si>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</si>
  <si>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</si>
  <si>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</si>
  <si>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</si>
  <si>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</si>
  <si>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</si>
  <si>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</si>
  <si>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</si>
  <si>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</si>
  <si>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</si>
  <si>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</si>
  <si>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</si>
  <si>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</si>
  <si>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</si>
  <si>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</si>
  <si>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</si>
  <si>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</si>
  <si>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</si>
  <si>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</si>
  <si>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</si>
  <si>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</si>
  <si>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</si>
  <si>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</si>
  <si>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</si>
  <si>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</si>
  <si>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</si>
  <si>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</si>
  <si>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</si>
  <si>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</si>
  <si>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</si>
  <si>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</si>
  <si>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</si>
  <si>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</si>
  <si>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</si>
  <si>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</si>
  <si>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</si>
  <si>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</si>
  <si>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</si>
  <si>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</si>
  <si>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</si>
  <si>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</si>
  <si>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</si>
  <si>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</si>
  <si>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</si>
  <si>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</si>
  <si>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</si>
  <si>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</si>
  <si>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</si>
  <si>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</si>
  <si>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</si>
  <si>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</si>
  <si>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</si>
  <si>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</si>
  <si>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</si>
  <si>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</si>
  <si>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</si>
  <si>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</si>
  <si>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</si>
  <si>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</si>
  <si>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</si>
  <si>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</si>
  <si>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</si>
  <si>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</si>
  <si>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</si>
  <si>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</si>
  <si>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</si>
  <si>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</si>
  <si>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</si>
  <si>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</si>
  <si>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</si>
  <si>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</si>
  <si>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</si>
  <si>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</si>
  <si>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</si>
  <si>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</si>
  <si>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</si>
  <si>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</si>
  <si>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</si>
  <si>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</si>
  <si>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</si>
  <si>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</si>
  <si>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</si>
  <si>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</si>
  <si>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</si>
  <si>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</si>
  <si>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</si>
  <si>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</si>
  <si>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</si>
  <si>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</si>
  <si>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</si>
  <si>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</si>
  <si>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</si>
  <si>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</si>
  <si>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</si>
  <si>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</si>
  <si>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</si>
  <si>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</si>
  <si>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</si>
  <si>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</si>
  <si>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</si>
  <si>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</si>
  <si>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</si>
  <si>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</si>
  <si>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</si>
  <si>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</si>
  <si>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</si>
  <si>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</si>
  <si>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</si>
  <si>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</si>
  <si>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</si>
  <si>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</si>
  <si>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</si>
  <si>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</si>
  <si>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</si>
  <si>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</si>
  <si>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</si>
  <si>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</si>
  <si>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</si>
  <si>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</si>
  <si>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</si>
  <si>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</si>
  <si>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</si>
  <si>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</si>
  <si>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</si>
  <si>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</si>
  <si>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</si>
  <si>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</si>
  <si>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</si>
  <si>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</si>
  <si>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r>
      <t>η</t>
    </r>
    <r>
      <rPr>
        <vertAlign val="subscript"/>
        <sz val="11"/>
        <color theme="1"/>
        <rFont val="Cambria Math"/>
        <family val="1"/>
      </rPr>
      <t>Bejan</t>
    </r>
  </si>
  <si>
    <r>
      <t>η</t>
    </r>
    <r>
      <rPr>
        <vertAlign val="subscript"/>
        <sz val="11"/>
        <color theme="1"/>
        <rFont val="Cambria Math"/>
        <family val="1"/>
      </rPr>
      <t>Rational</t>
    </r>
  </si>
  <si>
    <r>
      <t>η</t>
    </r>
    <r>
      <rPr>
        <vertAlign val="subscript"/>
        <sz val="11"/>
        <color theme="1"/>
        <rFont val="Cambria Math"/>
        <family val="1"/>
      </rPr>
      <t>Resource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</si>
</sst>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3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55" fillId="0" borderId="43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0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16" fillId="12" borderId="19" xfId="0" applyFont="1" applyFill="1" applyBorder="1" applyAlignment="1">
      <alignment horizontal="center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6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250</xdr:row>
      <xdr:rowOff>157023</xdr:rowOff>
    </xdr:from>
    <xdr:to>
      <xdr:col>101</xdr:col>
      <xdr:colOff>389643</xdr:colOff>
      <xdr:row>250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zoomScale="125" workbookViewId="0">
      <selection activeCell="D29" sqref="D2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0" t="s">
        <v>102</v>
      </c>
      <c r="S2" s="311"/>
      <c r="T2" s="310" t="s">
        <v>108</v>
      </c>
      <c r="U2" s="311"/>
      <c r="W2" s="312" t="s">
        <v>233</v>
      </c>
      <c r="X2" s="312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3" t="s">
        <v>391</v>
      </c>
      <c r="R12" s="313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671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664</v>
      </c>
    </row>
    <row r="57" spans="2:3" x14ac:dyDescent="0.2">
      <c r="B57" s="13" t="s">
        <v>669</v>
      </c>
      <c r="C57" s="3" t="s">
        <v>668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2" t="s">
        <v>125</v>
      </c>
      <c r="P10" s="312"/>
      <c r="Q10" s="312"/>
      <c r="R10" s="312"/>
      <c r="S10" s="312"/>
      <c r="T10" s="312"/>
      <c r="U10" s="312"/>
      <c r="V10" s="312" t="s">
        <v>125</v>
      </c>
      <c r="W10" s="312"/>
      <c r="X10" s="312"/>
      <c r="Y10" s="312"/>
      <c r="Z10" s="312"/>
      <c r="AA10" s="312"/>
      <c r="AB10" s="312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2" t="s">
        <v>306</v>
      </c>
      <c r="P11" s="312"/>
      <c r="Q11" s="312"/>
      <c r="R11" s="310"/>
      <c r="S11" s="311"/>
      <c r="T11" s="328" t="s">
        <v>305</v>
      </c>
      <c r="U11" s="329"/>
      <c r="V11" s="312" t="str">
        <f>_xlfn.CONCAT(E19," ",C19," ","+"," ",E21," ",C21," ","--&gt;"," ",E22," ",C22," ","+"," ",E20*E21," ",C20)</f>
        <v>1.5 C + 1.5 O2 --&gt; 1.5 CO2 + 5.64 N2</v>
      </c>
      <c r="W11" s="312"/>
      <c r="X11" s="312"/>
      <c r="Y11" s="312"/>
      <c r="Z11" s="312"/>
      <c r="AA11" s="312"/>
      <c r="AB11" s="31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2" t="s">
        <v>225</v>
      </c>
      <c r="P12" s="312"/>
      <c r="Q12" s="312"/>
      <c r="R12" s="310"/>
      <c r="S12" s="311"/>
      <c r="T12" s="312" t="s">
        <v>224</v>
      </c>
      <c r="U12" s="312"/>
      <c r="V12" s="312" t="str">
        <f>_xlfn.CONCAT(E25," ",C25," ","+"," ",E26," ",C26," ","--&gt;"," ",E27," ",C27)</f>
        <v>1.5 CO2 + 1.5 C --&gt; 3 CO</v>
      </c>
      <c r="W12" s="312"/>
      <c r="X12" s="312"/>
      <c r="Y12" s="312"/>
      <c r="Z12" s="312"/>
      <c r="AA12" s="312"/>
      <c r="AB12" s="31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2" t="s">
        <v>226</v>
      </c>
      <c r="P13" s="312"/>
      <c r="Q13" s="312"/>
      <c r="R13" s="310"/>
      <c r="S13" s="311"/>
      <c r="T13" s="328" t="s">
        <v>227</v>
      </c>
      <c r="U13" s="329"/>
      <c r="V13" s="312" t="str">
        <f>_xlfn.CONCAT(E29," ",C29," ","+"," ",E30," ",C30," ","--&gt;"," ",E31," ",C31," ","+"," ",E32," ",C32)</f>
        <v>1 Fe2O3 + 3 CO --&gt; 2 Fe + 3 CO2</v>
      </c>
      <c r="W13" s="312"/>
      <c r="X13" s="312"/>
      <c r="Y13" s="312"/>
      <c r="Z13" s="312"/>
      <c r="AA13" s="312"/>
      <c r="AB13" s="31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2"/>
      <c r="P14" s="312"/>
      <c r="Q14" s="312"/>
      <c r="R14" s="310"/>
      <c r="S14" s="311"/>
      <c r="T14" s="312"/>
      <c r="U14" s="312"/>
      <c r="V14" s="312" t="str">
        <f>_xlfn.CONCAT(E36," ",C36," ","--&gt;"," ",E37," ",C37," ","+"," ",E39," ",C39)</f>
        <v>1 CaCO3 --&gt; 1 CaO + 0.0624775822865075 MgO</v>
      </c>
      <c r="W14" s="312"/>
      <c r="X14" s="312"/>
      <c r="Y14" s="312"/>
      <c r="Z14" s="312"/>
      <c r="AA14" s="312"/>
      <c r="AB14" s="312"/>
    </row>
    <row r="15" spans="1:28" ht="17" x14ac:dyDescent="0.25">
      <c r="O15" s="312" t="s">
        <v>228</v>
      </c>
      <c r="P15" s="312"/>
      <c r="Q15" s="312"/>
      <c r="R15" s="310"/>
      <c r="S15" s="311"/>
      <c r="T15" s="312" t="s">
        <v>229</v>
      </c>
      <c r="U15" s="312"/>
      <c r="V15" s="312" t="str">
        <f>_xlfn.CONCAT(E41," ",C41," ","+"," ",E42," ",C42," ","--&gt;"," ",E43," ",C43)</f>
        <v>1 CaO + 1 SiO2 --&gt; 1 CaSiO3</v>
      </c>
      <c r="W15" s="312"/>
      <c r="X15" s="312"/>
      <c r="Y15" s="312"/>
      <c r="Z15" s="312"/>
      <c r="AA15" s="312"/>
      <c r="AB15" s="312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2" t="s">
        <v>334</v>
      </c>
      <c r="P17" s="312"/>
      <c r="Q17" s="312"/>
      <c r="R17" s="312"/>
      <c r="S17" s="312"/>
      <c r="T17" s="312"/>
      <c r="U17" s="312"/>
      <c r="V17" s="312" t="s">
        <v>125</v>
      </c>
      <c r="W17" s="312"/>
      <c r="X17" s="312"/>
      <c r="Y17" s="312"/>
      <c r="Z17" s="312"/>
      <c r="AA17" s="312"/>
      <c r="AB17" s="312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2" t="s">
        <v>335</v>
      </c>
      <c r="P18" s="312"/>
      <c r="Q18" s="312"/>
      <c r="R18" s="312"/>
      <c r="S18" s="312"/>
      <c r="T18" s="312" t="s">
        <v>336</v>
      </c>
      <c r="U18" s="310"/>
      <c r="V18" s="33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3"/>
      <c r="X18" s="333"/>
      <c r="Y18" s="333"/>
      <c r="Z18" s="333"/>
      <c r="AA18" s="333"/>
      <c r="AB18" s="333"/>
    </row>
    <row r="19" spans="1:28" ht="16" x14ac:dyDescent="0.2">
      <c r="B19" s="32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3"/>
      <c r="W19" s="333"/>
      <c r="X19" s="333"/>
      <c r="Y19" s="333"/>
      <c r="Z19" s="333"/>
      <c r="AA19" s="333"/>
      <c r="AB19" s="333"/>
    </row>
    <row r="20" spans="1:28" ht="18" x14ac:dyDescent="0.25">
      <c r="A20" s="1"/>
      <c r="B20" s="324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7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7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6" t="s">
        <v>19</v>
      </c>
      <c r="C44" s="31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20"/>
      <c r="D48" s="320"/>
      <c r="E48" s="320"/>
      <c r="F48" s="320"/>
      <c r="H48" s="312" t="s">
        <v>70</v>
      </c>
      <c r="I48" s="312"/>
      <c r="J48" s="312"/>
      <c r="K48" s="312"/>
      <c r="L48" s="312"/>
      <c r="M48" s="312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2" t="s">
        <v>74</v>
      </c>
      <c r="I49" s="312"/>
      <c r="J49" s="312"/>
      <c r="K49" s="13"/>
      <c r="L49" s="328" t="s">
        <v>358</v>
      </c>
      <c r="M49" s="329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5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15"/>
      <c r="J51" s="315"/>
      <c r="K51" s="315"/>
      <c r="L51" s="315"/>
      <c r="M51" s="315"/>
    </row>
    <row r="52" spans="1:17" ht="16.25" customHeight="1" x14ac:dyDescent="0.25">
      <c r="C52" s="20" t="s">
        <v>24</v>
      </c>
      <c r="D52" s="13" t="s">
        <v>429</v>
      </c>
      <c r="H52" s="315"/>
      <c r="I52" s="315"/>
      <c r="J52" s="315"/>
      <c r="K52" s="315"/>
      <c r="L52" s="315"/>
      <c r="M52" s="315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652</v>
      </c>
      <c r="D55" s="303" t="s">
        <v>655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21" t="s">
        <v>654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4" t="s">
        <v>656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653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4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589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34" t="s">
        <v>493</v>
      </c>
      <c r="Z69" s="335"/>
      <c r="AA69" s="335"/>
      <c r="AB69" s="335"/>
      <c r="AC69" s="335"/>
      <c r="AD69" s="335"/>
      <c r="AE69" s="335"/>
      <c r="AF69" s="335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9"/>
      <c r="C70" s="339"/>
      <c r="D70" s="339"/>
      <c r="E70" s="339"/>
      <c r="F70" s="339"/>
      <c r="G70" s="339"/>
      <c r="Y70" s="336"/>
      <c r="Z70" s="337"/>
      <c r="AA70" s="337"/>
      <c r="AB70" s="337"/>
      <c r="AC70" s="337"/>
      <c r="AD70" s="337"/>
      <c r="AE70" s="337"/>
      <c r="AF70" s="337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36"/>
      <c r="Z71" s="337"/>
      <c r="AA71" s="337"/>
      <c r="AB71" s="337"/>
      <c r="AC71" s="337"/>
      <c r="AD71" s="337"/>
      <c r="AE71" s="337"/>
      <c r="AF71" s="337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13" t="s">
        <v>113</v>
      </c>
      <c r="I77" s="313"/>
      <c r="J77" s="313"/>
      <c r="K77" s="313"/>
      <c r="L77" s="313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41" t="s">
        <v>660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41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41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639</v>
      </c>
      <c r="N82" s="6"/>
      <c r="O82" s="6"/>
      <c r="P82" s="6"/>
      <c r="Y82" s="24"/>
    </row>
    <row r="83" spans="1:39" ht="18" x14ac:dyDescent="0.25">
      <c r="A83" s="341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41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40" t="s">
        <v>658</v>
      </c>
      <c r="I84" s="340"/>
      <c r="J84" s="340"/>
      <c r="K84" s="340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41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659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4" t="s">
        <v>657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4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4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4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42" t="s">
        <v>661</v>
      </c>
      <c r="D147" s="342"/>
      <c r="E147" s="342"/>
      <c r="F147" s="342"/>
      <c r="G147" s="342"/>
    </row>
    <row r="148" spans="1:30" x14ac:dyDescent="0.2">
      <c r="B148" s="171" t="s">
        <v>451</v>
      </c>
      <c r="C148" s="337"/>
      <c r="D148" s="337"/>
      <c r="E148" s="337"/>
      <c r="F148" s="337"/>
      <c r="G148" s="337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37" t="s">
        <v>662</v>
      </c>
      <c r="C176" s="337"/>
      <c r="D176" s="337"/>
      <c r="E176" s="337"/>
      <c r="F176" s="337"/>
      <c r="G176" s="337"/>
    </row>
    <row r="177" spans="2:17" x14ac:dyDescent="0.2">
      <c r="B177" s="337"/>
      <c r="C177" s="337"/>
      <c r="D177" s="337"/>
      <c r="E177" s="337"/>
      <c r="F177" s="337"/>
      <c r="G177" s="337"/>
    </row>
    <row r="178" spans="2:17" x14ac:dyDescent="0.2">
      <c r="B178" s="337"/>
      <c r="C178" s="337"/>
      <c r="D178" s="337"/>
      <c r="E178" s="337"/>
      <c r="F178" s="337"/>
      <c r="G178" s="337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37" t="s">
        <v>497</v>
      </c>
      <c r="C215" s="337"/>
      <c r="D215" s="337"/>
      <c r="E215" s="337"/>
      <c r="G215" s="20" t="s">
        <v>67</v>
      </c>
      <c r="H215" s="237" t="s">
        <v>24</v>
      </c>
      <c r="J215" s="312" t="s">
        <v>70</v>
      </c>
      <c r="K215" s="312"/>
      <c r="L215" s="312"/>
      <c r="M215" s="312"/>
      <c r="N215" s="312"/>
      <c r="O215" s="312"/>
    </row>
    <row r="216" spans="2:20" ht="18" x14ac:dyDescent="0.25">
      <c r="B216" s="337"/>
      <c r="C216" s="337"/>
      <c r="D216" s="337"/>
      <c r="E216" s="337"/>
      <c r="G216" s="13">
        <v>3.76</v>
      </c>
      <c r="H216" s="13">
        <v>2</v>
      </c>
      <c r="J216" s="312" t="s">
        <v>499</v>
      </c>
      <c r="K216" s="312"/>
      <c r="L216" s="312"/>
      <c r="M216" s="13"/>
      <c r="N216" s="338" t="s">
        <v>75</v>
      </c>
      <c r="O216" s="329"/>
    </row>
    <row r="217" spans="2:20" x14ac:dyDescent="0.2">
      <c r="B217" s="337"/>
      <c r="C217" s="337"/>
      <c r="D217" s="337"/>
      <c r="E217" s="337"/>
      <c r="J217" s="312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12"/>
      <c r="L217" s="312"/>
      <c r="M217" s="312"/>
      <c r="N217" s="312"/>
      <c r="O217" s="312"/>
    </row>
    <row r="218" spans="2:20" x14ac:dyDescent="0.2">
      <c r="B218" s="313" t="s">
        <v>663</v>
      </c>
      <c r="C218" s="313"/>
      <c r="D218" s="313"/>
      <c r="E218" s="313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642</v>
      </c>
      <c r="K228" s="132" t="s">
        <v>645</v>
      </c>
      <c r="L228" s="3" t="s">
        <v>392</v>
      </c>
      <c r="M228" s="3" t="s">
        <v>40</v>
      </c>
      <c r="N228" s="4" t="s">
        <v>35</v>
      </c>
      <c r="O228" s="132" t="s">
        <v>643</v>
      </c>
      <c r="P228" s="132" t="s">
        <v>644</v>
      </c>
    </row>
    <row r="229" spans="2:21" x14ac:dyDescent="0.2">
      <c r="C229" s="3" t="s">
        <v>641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646</v>
      </c>
    </row>
    <row r="235" spans="2:21" x14ac:dyDescent="0.2">
      <c r="C235" s="3" t="s">
        <v>588</v>
      </c>
      <c r="N235" s="3" t="s">
        <v>647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37" t="s">
        <v>507</v>
      </c>
      <c r="C240" s="337"/>
      <c r="D240" s="337"/>
      <c r="E240" s="337"/>
      <c r="J240" s="312" t="s">
        <v>70</v>
      </c>
      <c r="K240" s="312"/>
      <c r="L240" s="312"/>
      <c r="M240" s="312"/>
      <c r="N240" s="312"/>
      <c r="O240" s="312"/>
    </row>
    <row r="241" spans="2:21" ht="18" x14ac:dyDescent="0.25">
      <c r="B241" s="337"/>
      <c r="C241" s="337"/>
      <c r="D241" s="337"/>
      <c r="E241" s="337"/>
      <c r="J241" s="312" t="s">
        <v>509</v>
      </c>
      <c r="K241" s="312"/>
      <c r="L241" s="312"/>
      <c r="M241" s="13"/>
      <c r="N241" s="338" t="s">
        <v>75</v>
      </c>
      <c r="O241" s="329"/>
    </row>
    <row r="242" spans="2:21" x14ac:dyDescent="0.2">
      <c r="B242" s="337"/>
      <c r="C242" s="337"/>
      <c r="D242" s="337"/>
      <c r="E242" s="337"/>
      <c r="J242" s="312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12"/>
      <c r="L242" s="312"/>
      <c r="M242" s="312"/>
      <c r="N242" s="312"/>
      <c r="O242" s="312"/>
    </row>
    <row r="243" spans="2:21" x14ac:dyDescent="0.2">
      <c r="B243" s="313" t="s">
        <v>663</v>
      </c>
      <c r="C243" s="313"/>
      <c r="D243" s="313"/>
      <c r="E243" s="313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642</v>
      </c>
      <c r="C252" s="132" t="s">
        <v>645</v>
      </c>
      <c r="D252" s="3" t="s">
        <v>392</v>
      </c>
      <c r="E252" s="3" t="s">
        <v>40</v>
      </c>
      <c r="F252" s="4" t="s">
        <v>35</v>
      </c>
      <c r="G252" s="132" t="s">
        <v>643</v>
      </c>
      <c r="H252" s="132" t="s">
        <v>648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37" t="s">
        <v>512</v>
      </c>
      <c r="C257" s="337"/>
      <c r="D257" s="337"/>
      <c r="E257" s="337"/>
      <c r="J257" s="312" t="s">
        <v>70</v>
      </c>
      <c r="K257" s="312"/>
      <c r="L257" s="312"/>
      <c r="M257" s="312"/>
      <c r="N257" s="312"/>
      <c r="O257" s="312"/>
    </row>
    <row r="258" spans="2:19" ht="18" x14ac:dyDescent="0.25">
      <c r="B258" s="337"/>
      <c r="C258" s="337"/>
      <c r="D258" s="337"/>
      <c r="E258" s="337"/>
      <c r="J258" s="312" t="s">
        <v>514</v>
      </c>
      <c r="K258" s="312"/>
      <c r="L258" s="312"/>
      <c r="M258" s="13"/>
      <c r="N258" s="338" t="s">
        <v>75</v>
      </c>
      <c r="O258" s="329"/>
    </row>
    <row r="259" spans="2:19" x14ac:dyDescent="0.2">
      <c r="B259" s="337"/>
      <c r="C259" s="337"/>
      <c r="D259" s="337"/>
      <c r="E259" s="337"/>
      <c r="J259" s="312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12"/>
      <c r="L259" s="312"/>
      <c r="M259" s="312"/>
      <c r="N259" s="312"/>
      <c r="O259" s="312"/>
    </row>
    <row r="260" spans="2:19" x14ac:dyDescent="0.2">
      <c r="B260" s="313" t="s">
        <v>663</v>
      </c>
      <c r="C260" s="313"/>
      <c r="D260" s="313"/>
      <c r="E260" s="313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642</v>
      </c>
      <c r="C269" s="132" t="s">
        <v>645</v>
      </c>
      <c r="D269" s="3" t="s">
        <v>392</v>
      </c>
      <c r="E269" s="3" t="s">
        <v>40</v>
      </c>
      <c r="F269" s="4" t="s">
        <v>35</v>
      </c>
      <c r="G269" s="132" t="s">
        <v>643</v>
      </c>
      <c r="H269" s="132" t="s">
        <v>649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37" t="s">
        <v>511</v>
      </c>
      <c r="C273" s="337"/>
      <c r="D273" s="337"/>
      <c r="E273" s="337"/>
      <c r="J273" s="312" t="s">
        <v>70</v>
      </c>
      <c r="K273" s="312"/>
      <c r="L273" s="312"/>
      <c r="M273" s="312"/>
      <c r="N273" s="312"/>
      <c r="O273" s="312"/>
    </row>
    <row r="274" spans="2:15" ht="18" x14ac:dyDescent="0.25">
      <c r="B274" s="337"/>
      <c r="C274" s="337"/>
      <c r="D274" s="337"/>
      <c r="E274" s="337"/>
      <c r="J274" s="312" t="s">
        <v>74</v>
      </c>
      <c r="K274" s="312"/>
      <c r="L274" s="312"/>
      <c r="M274" s="13"/>
      <c r="N274" s="338" t="s">
        <v>75</v>
      </c>
      <c r="O274" s="329"/>
    </row>
    <row r="275" spans="2:15" x14ac:dyDescent="0.2">
      <c r="B275" s="337"/>
      <c r="C275" s="337"/>
      <c r="D275" s="337"/>
      <c r="E275" s="337"/>
      <c r="J275" s="312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12"/>
      <c r="L275" s="312"/>
      <c r="M275" s="312"/>
      <c r="N275" s="312"/>
      <c r="O275" s="312"/>
    </row>
    <row r="276" spans="2:15" x14ac:dyDescent="0.2">
      <c r="B276" s="313" t="s">
        <v>663</v>
      </c>
      <c r="C276" s="313"/>
      <c r="D276" s="313"/>
      <c r="E276" s="313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593</v>
      </c>
      <c r="H285" s="3" t="s">
        <v>593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591</v>
      </c>
      <c r="C290" s="3">
        <f>C287/C288</f>
        <v>0.33567230039130802</v>
      </c>
    </row>
    <row r="291" spans="2:3" x14ac:dyDescent="0.2">
      <c r="B291" s="3" t="s">
        <v>592</v>
      </c>
      <c r="C291" s="3">
        <f>(1-C290)</f>
        <v>0.66432769960869198</v>
      </c>
    </row>
  </sheetData>
  <mergeCells count="77"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1">
    <cfRule type="cellIs" dxfId="35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617</v>
      </c>
      <c r="E3" s="3" t="s">
        <v>616</v>
      </c>
      <c r="F3" s="292" t="s">
        <v>611</v>
      </c>
      <c r="G3" s="292" t="s">
        <v>619</v>
      </c>
      <c r="H3" s="3" t="s">
        <v>620</v>
      </c>
      <c r="I3" s="292" t="s">
        <v>621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628</v>
      </c>
      <c r="V3" s="3" t="s">
        <v>629</v>
      </c>
    </row>
    <row r="4" spans="2:22" x14ac:dyDescent="0.2">
      <c r="B4" s="3"/>
      <c r="C4" s="171" t="s">
        <v>600</v>
      </c>
      <c r="D4" s="13" t="s">
        <v>618</v>
      </c>
      <c r="E4" s="13" t="s">
        <v>63</v>
      </c>
      <c r="F4" s="13" t="s">
        <v>346</v>
      </c>
      <c r="G4" s="13" t="s">
        <v>618</v>
      </c>
      <c r="H4" s="13" t="s">
        <v>98</v>
      </c>
      <c r="I4" s="13" t="s">
        <v>618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600</v>
      </c>
      <c r="U4" s="13" t="s">
        <v>58</v>
      </c>
      <c r="V4" s="13" t="s">
        <v>58</v>
      </c>
    </row>
    <row r="5" spans="2:22" ht="15" customHeight="1" x14ac:dyDescent="0.2">
      <c r="B5" s="343" t="s">
        <v>594</v>
      </c>
      <c r="C5" s="3" t="s">
        <v>599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599</v>
      </c>
      <c r="U5" s="3">
        <f>K5</f>
        <v>-9.8484726160779719</v>
      </c>
      <c r="V5">
        <f>K15</f>
        <v>880.83108552905367</v>
      </c>
    </row>
    <row r="6" spans="2:22" ht="18" x14ac:dyDescent="0.25">
      <c r="B6" s="343"/>
      <c r="C6" s="3"/>
      <c r="D6" s="3" t="s">
        <v>54</v>
      </c>
      <c r="E6" s="1" t="s">
        <v>604</v>
      </c>
      <c r="F6" s="1" t="s">
        <v>605</v>
      </c>
      <c r="G6" s="1" t="s">
        <v>606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602</v>
      </c>
      <c r="U6" s="3">
        <f>H8</f>
        <v>831.8</v>
      </c>
      <c r="V6" s="3">
        <f>H18</f>
        <v>831.8</v>
      </c>
    </row>
    <row r="7" spans="2:22" ht="16" x14ac:dyDescent="0.2">
      <c r="B7" s="343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601</v>
      </c>
      <c r="U7" s="3">
        <f>Q11</f>
        <v>-293.51452993154498</v>
      </c>
      <c r="V7">
        <f>P21</f>
        <v>-2123.0450060933322</v>
      </c>
    </row>
    <row r="8" spans="2:22" x14ac:dyDescent="0.2">
      <c r="B8" s="343"/>
      <c r="C8" s="3" t="s">
        <v>602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43"/>
      <c r="C9" s="3"/>
      <c r="D9" s="3" t="s">
        <v>40</v>
      </c>
      <c r="E9" s="3" t="s">
        <v>596</v>
      </c>
      <c r="F9" s="3" t="s">
        <v>597</v>
      </c>
      <c r="G9" s="292" t="s">
        <v>608</v>
      </c>
      <c r="H9" s="292" t="s">
        <v>609</v>
      </c>
      <c r="I9" s="3" t="s">
        <v>610</v>
      </c>
      <c r="J9" s="292" t="s">
        <v>611</v>
      </c>
      <c r="K9" s="292" t="s">
        <v>612</v>
      </c>
      <c r="L9" s="292" t="s">
        <v>101</v>
      </c>
      <c r="M9" s="292" t="s">
        <v>613</v>
      </c>
      <c r="N9" s="292" t="s">
        <v>614</v>
      </c>
      <c r="O9" s="3" t="s">
        <v>54</v>
      </c>
      <c r="P9" s="292" t="s">
        <v>615</v>
      </c>
      <c r="Q9" s="292" t="s">
        <v>34</v>
      </c>
    </row>
    <row r="10" spans="2:22" ht="17" x14ac:dyDescent="0.25">
      <c r="B10" s="343"/>
      <c r="C10" s="3"/>
      <c r="D10" s="13" t="s">
        <v>630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628</v>
      </c>
      <c r="V10" s="3" t="s">
        <v>629</v>
      </c>
    </row>
    <row r="11" spans="2:22" x14ac:dyDescent="0.2">
      <c r="B11" s="343"/>
      <c r="C11" s="3" t="s">
        <v>601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600</v>
      </c>
      <c r="U11" s="13" t="s">
        <v>58</v>
      </c>
      <c r="V11" s="13" t="s">
        <v>58</v>
      </c>
    </row>
    <row r="12" spans="2:22" x14ac:dyDescent="0.2">
      <c r="S12" s="344" t="s">
        <v>631</v>
      </c>
      <c r="T12" s="13" t="s">
        <v>599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598</v>
      </c>
      <c r="E13" s="240" t="s">
        <v>596</v>
      </c>
      <c r="F13" s="240" t="s">
        <v>597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4"/>
      <c r="T13" s="13" t="s">
        <v>602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603</v>
      </c>
      <c r="H14" s="294" t="s">
        <v>603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4"/>
      <c r="T14" s="13" t="s">
        <v>601</v>
      </c>
      <c r="U14" s="240">
        <v>869.44899999999996</v>
      </c>
      <c r="V14" s="240">
        <v>858.81600000000003</v>
      </c>
    </row>
    <row r="15" spans="2:22" x14ac:dyDescent="0.2">
      <c r="B15" s="343" t="s">
        <v>595</v>
      </c>
      <c r="C15" s="240" t="s">
        <v>599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43"/>
      <c r="C16" s="240"/>
      <c r="D16" s="240" t="s">
        <v>54</v>
      </c>
      <c r="E16" s="295" t="s">
        <v>604</v>
      </c>
      <c r="F16" s="295" t="s">
        <v>605</v>
      </c>
      <c r="G16" s="295" t="s">
        <v>606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43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43"/>
      <c r="C18" s="240" t="s">
        <v>602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43"/>
      <c r="C19" s="240"/>
      <c r="D19" s="240" t="s">
        <v>501</v>
      </c>
      <c r="E19" s="240" t="s">
        <v>501</v>
      </c>
      <c r="F19" s="297" t="s">
        <v>623</v>
      </c>
      <c r="G19" s="297" t="s">
        <v>624</v>
      </c>
      <c r="H19" s="297" t="s">
        <v>611</v>
      </c>
      <c r="I19" s="297" t="s">
        <v>621</v>
      </c>
      <c r="J19" s="297" t="s">
        <v>621</v>
      </c>
      <c r="K19" s="240" t="s">
        <v>40</v>
      </c>
      <c r="L19" s="297" t="s">
        <v>613</v>
      </c>
      <c r="M19" s="297" t="s">
        <v>614</v>
      </c>
      <c r="N19" s="297" t="s">
        <v>625</v>
      </c>
      <c r="O19" s="297" t="s">
        <v>626</v>
      </c>
      <c r="P19" s="297" t="s">
        <v>34</v>
      </c>
    </row>
    <row r="20" spans="2:16" x14ac:dyDescent="0.2">
      <c r="B20" s="343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622</v>
      </c>
      <c r="K20" s="294" t="s">
        <v>607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43"/>
      <c r="C21" s="240" t="s">
        <v>601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572</v>
      </c>
    </row>
    <row r="33" spans="3:3" x14ac:dyDescent="0.2">
      <c r="C33" s="3" t="s">
        <v>573</v>
      </c>
    </row>
    <row r="34" spans="3:3" x14ac:dyDescent="0.2">
      <c r="C34" s="3" t="s">
        <v>557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BL115" zoomScale="125" zoomScaleNormal="120" workbookViewId="0">
      <selection activeCell="BV150" sqref="BV150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2" t="s">
        <v>364</v>
      </c>
      <c r="Q23" s="36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3"/>
      <c r="Q24" s="363"/>
    </row>
    <row r="25" spans="14:66" ht="16" x14ac:dyDescent="0.2">
      <c r="P25" s="347" t="s">
        <v>344</v>
      </c>
      <c r="Q25" s="138" t="s">
        <v>317</v>
      </c>
      <c r="AO25" s="357" t="s">
        <v>438</v>
      </c>
      <c r="AP25" s="357"/>
      <c r="AQ25" s="357"/>
      <c r="AR25" s="357"/>
      <c r="AS25" s="357"/>
      <c r="AT25" s="357"/>
      <c r="AU25" s="357"/>
      <c r="BH25" s="357" t="s">
        <v>442</v>
      </c>
      <c r="BI25" s="357"/>
      <c r="BJ25" s="357"/>
      <c r="BK25" s="357"/>
      <c r="BL25" s="357"/>
      <c r="BM25" s="357"/>
      <c r="BN25" s="357"/>
    </row>
    <row r="26" spans="14:66" x14ac:dyDescent="0.2">
      <c r="P26" s="348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637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1" t="s">
        <v>422</v>
      </c>
      <c r="F42" s="371"/>
      <c r="G42" s="371"/>
      <c r="H42" s="371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58" t="s">
        <v>415</v>
      </c>
      <c r="X42" s="358"/>
      <c r="Y42" s="358"/>
      <c r="Z42" s="358"/>
      <c r="AA42" s="358"/>
      <c r="AB42" s="4"/>
      <c r="AC42" s="4"/>
      <c r="AD42" s="4"/>
      <c r="AE42" s="4"/>
      <c r="AF42" s="4"/>
      <c r="AG42" s="4"/>
      <c r="AH42" s="4"/>
      <c r="AI42" s="97"/>
      <c r="AJ42" s="4" t="s">
        <v>551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8" t="s">
        <v>565</v>
      </c>
      <c r="AQ42" s="358"/>
      <c r="AR42" s="358"/>
      <c r="AS42" s="358"/>
      <c r="AT42" s="358"/>
      <c r="AV42" s="4"/>
      <c r="AW42" s="4"/>
      <c r="AX42" s="4"/>
      <c r="AY42" s="4"/>
      <c r="AZ42" s="4"/>
      <c r="BA42" s="4"/>
      <c r="BB42" s="4"/>
      <c r="BC42" s="4" t="s">
        <v>550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8" t="s">
        <v>443</v>
      </c>
      <c r="BJ42" s="358"/>
      <c r="BK42" s="358"/>
      <c r="BL42" s="358"/>
      <c r="BM42" s="358"/>
      <c r="BV42" s="3" t="s">
        <v>548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1"/>
      <c r="F43" s="371"/>
      <c r="G43" s="371"/>
      <c r="H43" s="371"/>
      <c r="J43" s="4"/>
      <c r="K43" s="4"/>
      <c r="L43" s="4"/>
      <c r="M43" s="4"/>
      <c r="N43" s="4"/>
      <c r="O43" s="4"/>
      <c r="P43" s="4"/>
      <c r="Q43" s="4"/>
      <c r="R43" s="4"/>
      <c r="S43" s="4"/>
      <c r="W43" s="361"/>
      <c r="X43" s="361"/>
      <c r="Y43" s="361"/>
      <c r="Z43" s="361"/>
      <c r="AA43" s="36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8"/>
      <c r="AQ43" s="358"/>
      <c r="AR43" s="358"/>
      <c r="AS43" s="358"/>
      <c r="AT43" s="358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8"/>
      <c r="BJ43" s="358"/>
      <c r="BK43" s="358"/>
      <c r="BL43" s="358"/>
      <c r="BM43" s="358"/>
    </row>
    <row r="44" spans="5:80" ht="19.25" customHeight="1" x14ac:dyDescent="0.25">
      <c r="J44" s="4"/>
      <c r="K44" s="1" t="s">
        <v>558</v>
      </c>
      <c r="L44" s="1" t="s">
        <v>559</v>
      </c>
      <c r="M44" s="1" t="s">
        <v>561</v>
      </c>
      <c r="N44" s="1" t="s">
        <v>85</v>
      </c>
      <c r="O44" s="1" t="s">
        <v>665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560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45" t="s">
        <v>344</v>
      </c>
      <c r="AA44" s="138" t="s">
        <v>317</v>
      </c>
      <c r="AB44" s="4"/>
      <c r="AC44" s="4"/>
      <c r="AD44" s="1" t="s">
        <v>558</v>
      </c>
      <c r="AE44" s="1" t="s">
        <v>559</v>
      </c>
      <c r="AF44" s="1" t="s">
        <v>561</v>
      </c>
      <c r="AG44" s="1" t="s">
        <v>85</v>
      </c>
      <c r="AH44" s="1" t="s">
        <v>665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560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47" t="s">
        <v>344</v>
      </c>
      <c r="AT44" s="138" t="s">
        <v>317</v>
      </c>
      <c r="AU44" s="4"/>
      <c r="AV44" s="4"/>
      <c r="AW44" s="1" t="s">
        <v>558</v>
      </c>
      <c r="AX44" s="1" t="s">
        <v>559</v>
      </c>
      <c r="AY44" s="1" t="s">
        <v>561</v>
      </c>
      <c r="AZ44" s="1" t="s">
        <v>85</v>
      </c>
      <c r="BA44" s="1" t="s">
        <v>665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560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47" t="s">
        <v>344</v>
      </c>
      <c r="BM44" s="138" t="s">
        <v>317</v>
      </c>
      <c r="BN44" s="1"/>
      <c r="BO44" s="4"/>
      <c r="BP44" s="1" t="s">
        <v>558</v>
      </c>
      <c r="BQ44" s="1" t="s">
        <v>559</v>
      </c>
      <c r="BR44" s="1" t="s">
        <v>561</v>
      </c>
      <c r="BS44" s="1" t="s">
        <v>85</v>
      </c>
      <c r="BT44" s="1" t="s">
        <v>665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650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46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650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48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650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48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650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9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59" t="s">
        <v>551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9" t="s">
        <v>550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59" t="s">
        <v>548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9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637</v>
      </c>
      <c r="AA47" s="136">
        <f>($AO$42+AO63)/(V59+V72+$V$42)</f>
        <v>0.54834789034775577</v>
      </c>
      <c r="AB47" s="359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637</v>
      </c>
      <c r="AT47" s="136">
        <f>BH42/(AU28+AO42)</f>
        <v>0.15191900995389168</v>
      </c>
      <c r="AU47" s="359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637</v>
      </c>
      <c r="BM47" s="136">
        <f>(CA42+CA55)/(BN35+BH42)</f>
        <v>0.9084965360427989</v>
      </c>
      <c r="BN47" s="359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9" t="s">
        <v>553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59" t="s">
        <v>552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59" t="s">
        <v>549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9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9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9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666</v>
      </c>
      <c r="BU49" s="4"/>
      <c r="BV49" s="4"/>
      <c r="BZ49" s="3" t="s">
        <v>96</v>
      </c>
      <c r="CA49" s="1" t="s">
        <v>93</v>
      </c>
    </row>
    <row r="50" spans="2:86" x14ac:dyDescent="0.2">
      <c r="I50" s="359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9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9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9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9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9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666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587</v>
      </c>
      <c r="Z53" s="1" t="s">
        <v>587</v>
      </c>
      <c r="AA53" s="1" t="s">
        <v>587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666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587</v>
      </c>
      <c r="AS53" s="1" t="s">
        <v>587</v>
      </c>
      <c r="AT53" s="1" t="s">
        <v>587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666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587</v>
      </c>
      <c r="BK53" s="1" t="s">
        <v>587</v>
      </c>
      <c r="BL53" s="1" t="s">
        <v>587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586</v>
      </c>
      <c r="Z54" s="3" t="s">
        <v>586</v>
      </c>
      <c r="AA54" s="3" t="s">
        <v>586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586</v>
      </c>
      <c r="AS54" s="3" t="s">
        <v>586</v>
      </c>
      <c r="AT54" s="3" t="s">
        <v>586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586</v>
      </c>
      <c r="BK54" s="3" t="s">
        <v>586</v>
      </c>
      <c r="BL54" s="3" t="s">
        <v>586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547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558</v>
      </c>
      <c r="BQ57" s="1" t="s">
        <v>559</v>
      </c>
      <c r="BR57" s="1" t="s">
        <v>561</v>
      </c>
      <c r="BS57" s="1" t="s">
        <v>85</v>
      </c>
      <c r="BT57" s="1" t="s">
        <v>665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650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9" t="s">
        <v>547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59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51" t="s">
        <v>489</v>
      </c>
      <c r="C61" s="351"/>
      <c r="D61" s="351"/>
      <c r="E61" s="351"/>
      <c r="F61" s="351"/>
      <c r="G61" s="351"/>
      <c r="H61" s="351"/>
      <c r="J61" s="4"/>
      <c r="K61" s="3" t="s">
        <v>564</v>
      </c>
      <c r="L61" s="1" t="s">
        <v>558</v>
      </c>
      <c r="M61" s="1" t="s">
        <v>561</v>
      </c>
      <c r="N61" s="1" t="s">
        <v>85</v>
      </c>
      <c r="O61" s="1" t="s">
        <v>665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560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59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52"/>
      <c r="C62" s="352"/>
      <c r="D62" s="352"/>
      <c r="E62" s="352"/>
      <c r="F62" s="352"/>
      <c r="G62" s="352"/>
      <c r="H62" s="352"/>
      <c r="J62" s="4" t="s">
        <v>41</v>
      </c>
      <c r="K62" s="3" t="s">
        <v>563</v>
      </c>
      <c r="L62" s="1" t="s">
        <v>88</v>
      </c>
      <c r="M62" s="1" t="s">
        <v>90</v>
      </c>
      <c r="N62" s="1" t="s">
        <v>86</v>
      </c>
      <c r="O62" s="1" t="s">
        <v>650</v>
      </c>
      <c r="P62" s="1" t="s">
        <v>651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9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576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666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666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558</v>
      </c>
      <c r="AE65" s="1" t="s">
        <v>559</v>
      </c>
      <c r="AF65" s="1" t="s">
        <v>561</v>
      </c>
      <c r="AG65" s="1" t="s">
        <v>85</v>
      </c>
      <c r="AH65" s="1" t="s">
        <v>665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650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9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9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9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9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666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51" t="s">
        <v>522</v>
      </c>
      <c r="F74" s="351"/>
      <c r="G74" s="351"/>
      <c r="H74" s="351"/>
      <c r="K74" s="1" t="s">
        <v>558</v>
      </c>
      <c r="L74" s="1" t="s">
        <v>559</v>
      </c>
      <c r="M74" s="1" t="s">
        <v>561</v>
      </c>
      <c r="N74" s="1" t="s">
        <v>85</v>
      </c>
      <c r="O74" s="1" t="s">
        <v>665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51"/>
      <c r="F75" s="351"/>
      <c r="G75" s="351"/>
      <c r="H75" s="35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650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9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9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666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1" t="s">
        <v>518</v>
      </c>
      <c r="DU103" s="351"/>
      <c r="DV103" s="351"/>
      <c r="DW103" s="351"/>
      <c r="DX103" s="351"/>
      <c r="DY103" s="351"/>
      <c r="EA103" s="4"/>
      <c r="EB103" s="3" t="s">
        <v>564</v>
      </c>
      <c r="EC103" s="1" t="s">
        <v>558</v>
      </c>
      <c r="ED103" s="3" t="s">
        <v>5</v>
      </c>
      <c r="EE103" s="1" t="s">
        <v>85</v>
      </c>
      <c r="EF103" s="1" t="s">
        <v>665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52"/>
      <c r="DU104" s="352"/>
      <c r="DV104" s="352"/>
      <c r="DW104" s="352"/>
      <c r="DX104" s="352"/>
      <c r="DY104" s="352"/>
      <c r="EA104" s="4" t="s">
        <v>41</v>
      </c>
      <c r="EB104" s="3" t="s">
        <v>563</v>
      </c>
      <c r="EC104" s="1" t="s">
        <v>88</v>
      </c>
      <c r="ED104" s="1" t="s">
        <v>90</v>
      </c>
      <c r="EE104" s="1" t="s">
        <v>86</v>
      </c>
      <c r="EF104" s="1" t="s">
        <v>650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559</v>
      </c>
      <c r="FD106" s="1" t="s">
        <v>5</v>
      </c>
      <c r="FE106" s="1" t="s">
        <v>85</v>
      </c>
      <c r="FF106" s="1" t="s">
        <v>665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666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562</v>
      </c>
      <c r="FD107" s="2" t="s">
        <v>12</v>
      </c>
      <c r="FE107" s="2" t="s">
        <v>13</v>
      </c>
      <c r="FF107" s="1" t="s">
        <v>650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60" t="s">
        <v>438</v>
      </c>
      <c r="AP110" s="350"/>
      <c r="AQ110" s="350"/>
      <c r="AR110" s="350"/>
      <c r="AS110" s="350"/>
      <c r="AT110" s="350"/>
      <c r="AU110" s="35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50" t="s">
        <v>442</v>
      </c>
      <c r="BH110" s="350"/>
      <c r="BI110" s="350"/>
      <c r="BJ110" s="350"/>
      <c r="BK110" s="350"/>
      <c r="BL110" s="350"/>
      <c r="BM110" s="35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666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69" t="s">
        <v>364</v>
      </c>
      <c r="Q111" s="369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0"/>
      <c r="Q112" s="370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47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48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50" t="s">
        <v>444</v>
      </c>
      <c r="EQ114" s="350"/>
      <c r="ER114" s="350"/>
      <c r="ES114" s="350"/>
      <c r="ET114" s="350"/>
      <c r="EU114" s="350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558</v>
      </c>
      <c r="CM116" s="1" t="s">
        <v>559</v>
      </c>
      <c r="CN116" s="1" t="s">
        <v>561</v>
      </c>
      <c r="CO116" s="1" t="s">
        <v>85</v>
      </c>
      <c r="CP116" s="1" t="s">
        <v>665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560</v>
      </c>
      <c r="CW116" s="1" t="s">
        <v>50</v>
      </c>
      <c r="CX116" s="6"/>
      <c r="CY116" s="4"/>
      <c r="DB116" s="4"/>
      <c r="DC116" s="4"/>
      <c r="DT116" s="351" t="s">
        <v>476</v>
      </c>
      <c r="DU116" s="351"/>
      <c r="DV116" s="351"/>
      <c r="DW116" s="351"/>
      <c r="DX116" s="351"/>
      <c r="DY116" s="351"/>
      <c r="EA116" s="4"/>
      <c r="EB116" s="3" t="s">
        <v>564</v>
      </c>
      <c r="EC116" s="1" t="s">
        <v>558</v>
      </c>
      <c r="ED116" s="3" t="s">
        <v>5</v>
      </c>
      <c r="EE116" s="1" t="s">
        <v>85</v>
      </c>
      <c r="EF116" s="1" t="s">
        <v>665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560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650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52"/>
      <c r="DU117" s="352"/>
      <c r="DV117" s="352"/>
      <c r="DW117" s="352"/>
      <c r="DX117" s="352"/>
      <c r="DY117" s="352"/>
      <c r="EA117" s="4" t="s">
        <v>41</v>
      </c>
      <c r="EB117" s="3" t="s">
        <v>563</v>
      </c>
      <c r="EC117" s="1" t="s">
        <v>88</v>
      </c>
      <c r="ED117" s="1" t="s">
        <v>90</v>
      </c>
      <c r="EE117" s="1" t="s">
        <v>86</v>
      </c>
      <c r="EF117" s="1" t="s">
        <v>650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666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666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1" t="s">
        <v>521</v>
      </c>
      <c r="F126" s="371"/>
      <c r="G126" s="371"/>
      <c r="H126" s="371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5" t="s">
        <v>416</v>
      </c>
      <c r="X126" s="365"/>
      <c r="Y126" s="365"/>
      <c r="Z126" s="365"/>
      <c r="AA126" s="365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5" t="s">
        <v>544</v>
      </c>
      <c r="AR126" s="365"/>
      <c r="AS126" s="365"/>
      <c r="AT126" s="365"/>
      <c r="AU126" s="365"/>
      <c r="AV126" s="6"/>
      <c r="AW126" s="6"/>
      <c r="AX126" s="121"/>
      <c r="AY126" s="6"/>
      <c r="AZ126" s="6"/>
      <c r="BA126" s="6"/>
      <c r="BB126" s="6"/>
      <c r="BC126" s="6"/>
      <c r="BD126" s="6" t="s">
        <v>545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5" t="s">
        <v>440</v>
      </c>
      <c r="BK126" s="365"/>
      <c r="BL126" s="365"/>
      <c r="BM126" s="365"/>
      <c r="BN126" s="365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5" t="s">
        <v>441</v>
      </c>
      <c r="CD126" s="365"/>
      <c r="CE126" s="365"/>
      <c r="CF126" s="365"/>
      <c r="CG126" s="365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83" t="s">
        <v>81</v>
      </c>
      <c r="DT126" s="383"/>
      <c r="DU126" s="383"/>
      <c r="DV126" s="383"/>
      <c r="DW126" s="383"/>
      <c r="DX126" s="383"/>
      <c r="DY126" s="383"/>
      <c r="EG126" s="3" t="s">
        <v>554</v>
      </c>
      <c r="EL126" s="173">
        <f>EB134</f>
        <v>1309.8157778632656</v>
      </c>
      <c r="EM126" s="174">
        <f>EM134</f>
        <v>7072531.8830895294</v>
      </c>
      <c r="EN126" s="356" t="s">
        <v>427</v>
      </c>
      <c r="EO126" s="356"/>
      <c r="EP126" s="356"/>
      <c r="EQ126" s="356"/>
      <c r="ER126" s="356"/>
      <c r="ES126" s="356"/>
      <c r="ET126" s="356"/>
      <c r="EY126" s="1"/>
      <c r="EZ126" s="1"/>
      <c r="FA126" s="1"/>
      <c r="FB126" s="1"/>
      <c r="FC126" s="1"/>
      <c r="FD126" s="1"/>
      <c r="FE126" s="3" t="s">
        <v>555</v>
      </c>
      <c r="FL126" s="50">
        <f>FB131</f>
        <v>616.23583583508366</v>
      </c>
      <c r="FM126" s="48">
        <f>FM131</f>
        <v>4157895.2984628798</v>
      </c>
      <c r="FN126" s="356" t="s">
        <v>421</v>
      </c>
      <c r="FO126" s="356"/>
      <c r="FP126" s="356"/>
      <c r="FQ126" s="356"/>
      <c r="FR126" s="356"/>
      <c r="FS126" s="356"/>
      <c r="FT126" s="356"/>
    </row>
    <row r="127" spans="5:176" ht="16.25" customHeight="1" thickBot="1" x14ac:dyDescent="0.25">
      <c r="E127" s="371"/>
      <c r="F127" s="371"/>
      <c r="G127" s="371"/>
      <c r="H127" s="371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6"/>
      <c r="X127" s="366"/>
      <c r="Y127" s="366"/>
      <c r="Z127" s="366"/>
      <c r="AA127" s="36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5"/>
      <c r="AR127" s="365"/>
      <c r="AS127" s="365"/>
      <c r="AT127" s="365"/>
      <c r="AU127" s="365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5"/>
      <c r="BK127" s="365"/>
      <c r="BL127" s="365"/>
      <c r="BM127" s="365"/>
      <c r="BN127" s="365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5"/>
      <c r="CD127" s="365"/>
      <c r="CE127" s="365"/>
      <c r="CF127" s="365"/>
      <c r="CG127" s="365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83"/>
      <c r="DT127" s="383"/>
      <c r="DU127" s="383"/>
      <c r="DV127" s="383"/>
      <c r="DW127" s="383"/>
      <c r="DX127" s="383"/>
      <c r="DY127" s="383"/>
      <c r="EN127" s="356"/>
      <c r="EO127" s="356"/>
      <c r="EP127" s="356"/>
      <c r="EQ127" s="356"/>
      <c r="ER127" s="356"/>
      <c r="ES127" s="356"/>
      <c r="ET127" s="356"/>
      <c r="EY127" s="1"/>
      <c r="EZ127" s="1"/>
      <c r="FA127" s="1"/>
      <c r="FB127" s="1"/>
      <c r="FC127" s="1"/>
      <c r="FD127" s="1"/>
      <c r="FE127" s="1"/>
      <c r="FF127" s="1"/>
      <c r="FG127" s="1"/>
      <c r="FN127" s="356"/>
      <c r="FO127" s="356"/>
      <c r="FP127" s="356"/>
      <c r="FQ127" s="356"/>
      <c r="FR127" s="356"/>
      <c r="FS127" s="356"/>
      <c r="FT127" s="356"/>
    </row>
    <row r="128" spans="5:176" ht="19.75" customHeight="1" thickBot="1" x14ac:dyDescent="0.3">
      <c r="J128" s="4"/>
      <c r="K128" s="1" t="s">
        <v>558</v>
      </c>
      <c r="L128" s="1" t="s">
        <v>559</v>
      </c>
      <c r="M128" s="1" t="s">
        <v>561</v>
      </c>
      <c r="N128" s="1" t="s">
        <v>85</v>
      </c>
      <c r="O128" s="1" t="s">
        <v>665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560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47" t="s">
        <v>344</v>
      </c>
      <c r="AA128" s="138" t="s">
        <v>317</v>
      </c>
      <c r="AB128" s="1"/>
      <c r="AC128" s="6"/>
      <c r="AD128" s="4"/>
      <c r="AE128" s="1" t="s">
        <v>558</v>
      </c>
      <c r="AF128" s="1" t="s">
        <v>559</v>
      </c>
      <c r="AG128" s="1" t="s">
        <v>561</v>
      </c>
      <c r="AH128" s="1" t="s">
        <v>85</v>
      </c>
      <c r="AI128" s="1" t="s">
        <v>665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560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47" t="s">
        <v>344</v>
      </c>
      <c r="AU128" s="138" t="s">
        <v>317</v>
      </c>
      <c r="AV128" s="1"/>
      <c r="AW128" s="4"/>
      <c r="AX128" s="1" t="s">
        <v>558</v>
      </c>
      <c r="AY128" s="1" t="s">
        <v>559</v>
      </c>
      <c r="AZ128" s="1" t="s">
        <v>561</v>
      </c>
      <c r="BA128" s="1" t="s">
        <v>85</v>
      </c>
      <c r="BB128" s="1" t="s">
        <v>665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560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47" t="s">
        <v>344</v>
      </c>
      <c r="BN128" s="138" t="s">
        <v>317</v>
      </c>
      <c r="BO128" s="1"/>
      <c r="BP128" s="4"/>
      <c r="BQ128" s="1" t="s">
        <v>558</v>
      </c>
      <c r="BR128" s="1" t="s">
        <v>559</v>
      </c>
      <c r="BS128" s="1" t="s">
        <v>561</v>
      </c>
      <c r="BT128" s="1" t="s">
        <v>85</v>
      </c>
      <c r="BU128" s="1" t="s">
        <v>665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560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47" t="s">
        <v>344</v>
      </c>
      <c r="CG128" s="138" t="s">
        <v>317</v>
      </c>
      <c r="CH128" s="113"/>
      <c r="CI128" s="113"/>
      <c r="CJ128" s="113"/>
      <c r="CK128" s="4"/>
      <c r="CL128" s="1" t="s">
        <v>558</v>
      </c>
      <c r="CM128" s="1" t="s">
        <v>559</v>
      </c>
      <c r="CN128" s="1" t="s">
        <v>561</v>
      </c>
      <c r="CO128" s="1" t="s">
        <v>85</v>
      </c>
      <c r="CP128" s="1" t="s">
        <v>665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560</v>
      </c>
      <c r="CW128" s="1" t="s">
        <v>50</v>
      </c>
      <c r="DS128" s="383"/>
      <c r="DT128" s="383"/>
      <c r="DU128" s="383"/>
      <c r="DV128" s="383"/>
      <c r="DW128" s="383"/>
      <c r="DX128" s="383"/>
      <c r="DY128" s="383"/>
      <c r="EA128" s="4"/>
      <c r="EB128" s="1" t="s">
        <v>558</v>
      </c>
      <c r="EC128" s="1" t="s">
        <v>559</v>
      </c>
      <c r="ED128" s="1" t="s">
        <v>561</v>
      </c>
      <c r="EE128" s="1" t="s">
        <v>85</v>
      </c>
      <c r="EF128" s="1" t="s">
        <v>665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560</v>
      </c>
      <c r="EM128" s="1" t="s">
        <v>50</v>
      </c>
      <c r="EN128" s="356"/>
      <c r="EO128" s="356"/>
      <c r="EP128" s="356"/>
      <c r="EQ128" s="356"/>
      <c r="ER128" s="356"/>
      <c r="ES128" s="356"/>
      <c r="ET128" s="356"/>
      <c r="EZ128" s="1"/>
      <c r="FA128" s="1"/>
      <c r="FB128" s="1" t="s">
        <v>558</v>
      </c>
      <c r="FC128" s="1" t="s">
        <v>559</v>
      </c>
      <c r="FD128" s="1" t="s">
        <v>561</v>
      </c>
      <c r="FE128" s="1" t="s">
        <v>85</v>
      </c>
      <c r="FF128" s="1" t="s">
        <v>665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560</v>
      </c>
      <c r="FM128" s="1" t="s">
        <v>50</v>
      </c>
      <c r="FN128" s="356"/>
      <c r="FO128" s="356"/>
      <c r="FP128" s="356"/>
      <c r="FQ128" s="356"/>
      <c r="FR128" s="356"/>
      <c r="FS128" s="356"/>
      <c r="FT128" s="356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650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48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650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48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650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48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650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48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650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54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562</v>
      </c>
      <c r="ED129" s="1" t="s">
        <v>90</v>
      </c>
      <c r="EE129" s="1" t="s">
        <v>86</v>
      </c>
      <c r="EF129" s="1" t="s">
        <v>650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78" t="s">
        <v>344</v>
      </c>
      <c r="ES129" s="102" t="s">
        <v>317</v>
      </c>
      <c r="FA129" s="2" t="s">
        <v>41</v>
      </c>
      <c r="FB129" s="1" t="s">
        <v>88</v>
      </c>
      <c r="FC129" s="1" t="s">
        <v>562</v>
      </c>
      <c r="FD129" s="1" t="s">
        <v>90</v>
      </c>
      <c r="FE129" s="1" t="s">
        <v>86</v>
      </c>
      <c r="FF129" s="1" t="s">
        <v>650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9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9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9" t="s">
        <v>545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9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55"/>
      <c r="DX130" s="136" t="s">
        <v>82</v>
      </c>
      <c r="DY130" s="4"/>
      <c r="DZ130" s="349" t="s">
        <v>554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79"/>
      <c r="ES130" s="136" t="s">
        <v>82</v>
      </c>
      <c r="EZ130" s="222" t="s">
        <v>555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9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637</v>
      </c>
      <c r="AA131" s="136">
        <f>($AP$126+AP142)/(SUM(V126,V140,V163,V151))</f>
        <v>0.98926908455007689</v>
      </c>
      <c r="AB131" s="4"/>
      <c r="AC131" s="349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637</v>
      </c>
      <c r="AU131" s="136">
        <f>BI126/(AU113+AP126)</f>
        <v>0.89989464623142024</v>
      </c>
      <c r="AV131" s="349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637</v>
      </c>
      <c r="BN131" s="136">
        <f>CB126/(BM113+BI126)</f>
        <v>0.99885105550639652</v>
      </c>
      <c r="BO131" s="349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637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9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666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637</v>
      </c>
      <c r="DX132" s="103">
        <f>EM126/(CW126+CW206+CA42)</f>
        <v>0.99300939590335358</v>
      </c>
      <c r="DY132" s="4"/>
      <c r="DZ132" s="349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637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666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666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666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666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666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9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587</v>
      </c>
      <c r="AS135" s="1" t="s">
        <v>587</v>
      </c>
      <c r="AT135" s="1" t="s">
        <v>587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587</v>
      </c>
      <c r="BL135" s="1" t="s">
        <v>587</v>
      </c>
      <c r="BM135" s="1" t="s">
        <v>587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666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587</v>
      </c>
      <c r="Z136" s="1" t="s">
        <v>587</v>
      </c>
      <c r="AA136" s="1" t="s">
        <v>587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586</v>
      </c>
      <c r="AS136" s="3" t="s">
        <v>586</v>
      </c>
      <c r="AT136" s="3" t="s">
        <v>586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586</v>
      </c>
      <c r="BL136" s="3" t="s">
        <v>586</v>
      </c>
      <c r="BM136" s="3" t="s">
        <v>586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585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51" t="s">
        <v>489</v>
      </c>
      <c r="C137" s="351"/>
      <c r="D137" s="351"/>
      <c r="E137" s="351"/>
      <c r="F137" s="351"/>
      <c r="G137" s="351"/>
      <c r="H137" s="351"/>
      <c r="T137" s="4"/>
      <c r="U137" s="4"/>
      <c r="V137" s="4"/>
      <c r="W137" s="4"/>
      <c r="X137" s="4" t="s">
        <v>60</v>
      </c>
      <c r="Y137" s="3" t="s">
        <v>586</v>
      </c>
      <c r="Z137" s="3" t="s">
        <v>586</v>
      </c>
      <c r="AA137" s="3" t="s">
        <v>586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587</v>
      </c>
      <c r="CF137" s="1" t="s">
        <v>587</v>
      </c>
      <c r="CG137" s="1" t="s">
        <v>587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52"/>
      <c r="C138" s="352"/>
      <c r="D138" s="352"/>
      <c r="E138" s="352"/>
      <c r="F138" s="352"/>
      <c r="G138" s="352"/>
      <c r="H138" s="35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586</v>
      </c>
      <c r="CF138" s="3" t="s">
        <v>586</v>
      </c>
      <c r="CG138" s="3" t="s">
        <v>586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587</v>
      </c>
      <c r="ER138" s="1" t="s">
        <v>587</v>
      </c>
      <c r="ES138" s="1" t="s">
        <v>587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586</v>
      </c>
      <c r="ER139" s="3" t="s">
        <v>586</v>
      </c>
      <c r="ES139" s="3" t="s">
        <v>586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558</v>
      </c>
      <c r="CM140" s="1" t="s">
        <v>559</v>
      </c>
      <c r="CN140" s="1" t="s">
        <v>561</v>
      </c>
      <c r="CO140" s="1" t="s">
        <v>85</v>
      </c>
      <c r="CP140" s="1" t="s">
        <v>665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560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650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556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564</v>
      </c>
      <c r="L142" s="1" t="s">
        <v>558</v>
      </c>
      <c r="M142" s="1" t="s">
        <v>561</v>
      </c>
      <c r="N142" s="1" t="s">
        <v>85</v>
      </c>
      <c r="O142" s="1" t="s">
        <v>665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560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546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1" t="s">
        <v>522</v>
      </c>
      <c r="BL142" s="351"/>
      <c r="BM142" s="351"/>
      <c r="BN142" s="351"/>
      <c r="BP142" s="4"/>
      <c r="BQ142" s="1" t="s">
        <v>558</v>
      </c>
      <c r="BR142" s="1" t="s">
        <v>559</v>
      </c>
      <c r="BS142" s="1" t="s">
        <v>561</v>
      </c>
      <c r="BT142" s="1" t="s">
        <v>85</v>
      </c>
      <c r="BU142" s="1" t="s">
        <v>665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560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59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51" t="s">
        <v>522</v>
      </c>
      <c r="DW142" s="351"/>
      <c r="DX142" s="351"/>
      <c r="DY142" s="351"/>
      <c r="EA142" s="4"/>
      <c r="EB142" s="1" t="s">
        <v>558</v>
      </c>
      <c r="EC142" s="1" t="s">
        <v>559</v>
      </c>
      <c r="ED142" s="1" t="s">
        <v>561</v>
      </c>
      <c r="EE142" s="1" t="s">
        <v>85</v>
      </c>
      <c r="EF142" s="1" t="s">
        <v>665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560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563</v>
      </c>
      <c r="L143" s="1" t="s">
        <v>88</v>
      </c>
      <c r="M143" s="1" t="s">
        <v>90</v>
      </c>
      <c r="N143" s="1" t="s">
        <v>86</v>
      </c>
      <c r="O143" s="1" t="s">
        <v>650</v>
      </c>
      <c r="P143" s="1" t="s">
        <v>650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1"/>
      <c r="BL143" s="351"/>
      <c r="BM143" s="351"/>
      <c r="BN143" s="351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650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59"/>
      <c r="CK143" s="3" t="s">
        <v>590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51"/>
      <c r="DW143" s="351"/>
      <c r="DX143" s="351"/>
      <c r="DY143" s="351"/>
      <c r="EA143" s="94" t="s">
        <v>41</v>
      </c>
      <c r="EB143" s="186" t="s">
        <v>88</v>
      </c>
      <c r="EC143" s="1" t="s">
        <v>562</v>
      </c>
      <c r="ED143" s="187" t="s">
        <v>90</v>
      </c>
      <c r="EE143" s="187" t="s">
        <v>86</v>
      </c>
      <c r="EF143" s="1" t="s">
        <v>650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558</v>
      </c>
      <c r="FC143" s="1" t="s">
        <v>559</v>
      </c>
      <c r="FD143" s="1" t="s">
        <v>561</v>
      </c>
      <c r="FE143" s="1" t="s">
        <v>85</v>
      </c>
      <c r="FF143" s="1" t="s">
        <v>665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576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558</v>
      </c>
      <c r="AF144" s="1" t="s">
        <v>559</v>
      </c>
      <c r="AG144" s="1" t="s">
        <v>561</v>
      </c>
      <c r="AH144" s="1" t="s">
        <v>85</v>
      </c>
      <c r="AI144" s="1" t="s">
        <v>665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9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59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59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562</v>
      </c>
      <c r="FD144" s="1" t="s">
        <v>90</v>
      </c>
      <c r="FE144" s="1" t="s">
        <v>86</v>
      </c>
      <c r="FF144" s="1" t="s">
        <v>650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650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9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59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59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59" t="s">
        <v>556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666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9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59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9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666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666</v>
      </c>
      <c r="EG147" s="4"/>
      <c r="EH147" s="4"/>
      <c r="EL147" s="3" t="s">
        <v>96</v>
      </c>
      <c r="EM147" s="1" t="s">
        <v>93</v>
      </c>
      <c r="EZ147" s="359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9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666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9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666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666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676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51" t="s">
        <v>490</v>
      </c>
      <c r="C153" s="351"/>
      <c r="D153" s="351"/>
      <c r="E153" s="351"/>
      <c r="F153" s="351"/>
      <c r="G153" s="351"/>
      <c r="H153" s="351"/>
      <c r="J153" s="4"/>
      <c r="K153" s="3" t="s">
        <v>564</v>
      </c>
      <c r="L153" s="1" t="s">
        <v>558</v>
      </c>
      <c r="M153" s="1" t="s">
        <v>561</v>
      </c>
      <c r="N153" s="1" t="s">
        <v>85</v>
      </c>
      <c r="O153" s="1" t="s">
        <v>665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52"/>
      <c r="C154" s="352"/>
      <c r="D154" s="352"/>
      <c r="E154" s="352"/>
      <c r="F154" s="352"/>
      <c r="G154" s="352"/>
      <c r="H154" s="352"/>
      <c r="J154" s="4" t="s">
        <v>41</v>
      </c>
      <c r="K154" s="3" t="s">
        <v>563</v>
      </c>
      <c r="L154" s="1" t="s">
        <v>88</v>
      </c>
      <c r="M154" s="1" t="s">
        <v>90</v>
      </c>
      <c r="N154" s="1" t="s">
        <v>86</v>
      </c>
      <c r="O154" s="1" t="s">
        <v>650</v>
      </c>
      <c r="P154" s="1" t="s">
        <v>650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1" t="s">
        <v>476</v>
      </c>
      <c r="BL154" s="351"/>
      <c r="BM154" s="351"/>
      <c r="BN154" s="351"/>
      <c r="BP154" s="4"/>
      <c r="BQ154" s="3" t="s">
        <v>564</v>
      </c>
      <c r="BR154" s="1" t="s">
        <v>558</v>
      </c>
      <c r="BS154" s="3" t="s">
        <v>5</v>
      </c>
      <c r="BT154" s="3" t="s">
        <v>363</v>
      </c>
      <c r="BU154" s="1" t="s">
        <v>665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558</v>
      </c>
      <c r="EC154" s="1" t="s">
        <v>559</v>
      </c>
      <c r="ED154" s="1" t="s">
        <v>561</v>
      </c>
      <c r="EE154" s="1" t="s">
        <v>85</v>
      </c>
      <c r="EF154" s="1" t="s">
        <v>665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577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1"/>
      <c r="BL155" s="351"/>
      <c r="BM155" s="351"/>
      <c r="BN155" s="351"/>
      <c r="BP155" s="4"/>
      <c r="BQ155" s="3" t="s">
        <v>563</v>
      </c>
      <c r="BR155" s="1" t="s">
        <v>88</v>
      </c>
      <c r="BS155" s="1" t="s">
        <v>90</v>
      </c>
      <c r="BT155" s="2" t="s">
        <v>86</v>
      </c>
      <c r="BU155" s="1" t="s">
        <v>650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562</v>
      </c>
      <c r="ED155" s="1" t="s">
        <v>84</v>
      </c>
      <c r="EE155" s="3" t="s">
        <v>42</v>
      </c>
      <c r="EF155" s="1" t="s">
        <v>650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80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666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80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666</v>
      </c>
      <c r="BV158" s="4"/>
      <c r="BW158" s="4"/>
      <c r="CA158" s="3" t="s">
        <v>96</v>
      </c>
      <c r="CB158" s="1" t="s">
        <v>93</v>
      </c>
      <c r="DZ158" s="380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80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666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51" t="s">
        <v>522</v>
      </c>
      <c r="F165" s="351"/>
      <c r="G165" s="351"/>
      <c r="H165" s="351"/>
      <c r="J165" s="4"/>
      <c r="K165" s="1" t="s">
        <v>558</v>
      </c>
      <c r="L165" s="1" t="s">
        <v>559</v>
      </c>
      <c r="M165" s="1" t="s">
        <v>561</v>
      </c>
      <c r="N165" s="1" t="s">
        <v>85</v>
      </c>
      <c r="O165" s="1" t="s">
        <v>665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51"/>
      <c r="F166" s="351"/>
      <c r="G166" s="351"/>
      <c r="H166" s="351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650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59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59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666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7" t="s">
        <v>437</v>
      </c>
      <c r="X182" s="357"/>
      <c r="Y182" s="357"/>
      <c r="Z182" s="357"/>
      <c r="AA182" s="357"/>
      <c r="AB182" s="357"/>
      <c r="AC182" s="357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7" t="s">
        <v>438</v>
      </c>
      <c r="AP187" s="357"/>
      <c r="AQ187" s="357"/>
      <c r="AR187" s="357"/>
      <c r="AS187" s="357"/>
      <c r="AT187" s="357"/>
      <c r="AU187" s="357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7" t="s">
        <v>439</v>
      </c>
      <c r="BH187" s="357"/>
      <c r="BI187" s="357"/>
      <c r="BJ187" s="357"/>
      <c r="BK187" s="357"/>
      <c r="BL187" s="357"/>
      <c r="BM187" s="357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6" t="s">
        <v>364</v>
      </c>
      <c r="Q189" s="376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7"/>
      <c r="Q190" s="377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47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48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637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72" t="s">
        <v>506</v>
      </c>
      <c r="X195" s="373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4" t="s">
        <v>426</v>
      </c>
      <c r="Q206" s="374"/>
      <c r="R206" s="374"/>
      <c r="S206" s="4"/>
      <c r="T206" s="4"/>
      <c r="U206" s="50">
        <f>K217</f>
        <v>286.88405520213911</v>
      </c>
      <c r="V206" s="48">
        <f>V217</f>
        <v>8753719.7068998404</v>
      </c>
      <c r="W206" s="353" t="s">
        <v>417</v>
      </c>
      <c r="X206" s="353"/>
      <c r="Y206" s="353"/>
      <c r="Z206" s="353"/>
      <c r="AA206" s="353"/>
      <c r="AB206" s="35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3" t="s">
        <v>543</v>
      </c>
      <c r="AR206" s="353"/>
      <c r="AS206" s="353"/>
      <c r="AT206" s="353"/>
      <c r="AU206" s="35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3" t="s">
        <v>458</v>
      </c>
      <c r="BK206" s="353"/>
      <c r="BL206" s="353"/>
      <c r="BM206" s="353"/>
      <c r="BN206" s="353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3" t="s">
        <v>436</v>
      </c>
      <c r="CE206" s="353"/>
      <c r="CF206" s="353"/>
      <c r="CG206" s="353"/>
      <c r="CH206" s="353"/>
      <c r="CI206" s="305"/>
      <c r="CR206" s="3" t="s">
        <v>632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3"/>
      <c r="X207" s="353"/>
      <c r="Y207" s="353"/>
      <c r="Z207" s="353"/>
      <c r="AA207" s="353"/>
      <c r="AB207" s="35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3"/>
      <c r="AR207" s="353"/>
      <c r="AS207" s="353"/>
      <c r="AT207" s="353"/>
      <c r="AU207" s="35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3"/>
      <c r="BK207" s="353"/>
      <c r="BL207" s="353"/>
      <c r="BM207" s="353"/>
      <c r="BN207" s="35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7"/>
      <c r="CE207" s="367"/>
      <c r="CF207" s="367"/>
      <c r="CG207" s="367"/>
      <c r="CH207" s="367"/>
      <c r="CI207" s="305"/>
      <c r="CU207" s="4"/>
      <c r="CV207" s="4"/>
    </row>
    <row r="208" spans="5:101" ht="19.25" customHeight="1" x14ac:dyDescent="0.25">
      <c r="E208" s="351" t="s">
        <v>448</v>
      </c>
      <c r="F208" s="351"/>
      <c r="G208" s="351"/>
      <c r="H208" s="351"/>
      <c r="J208" s="4"/>
      <c r="K208" s="1" t="s">
        <v>558</v>
      </c>
      <c r="L208" s="1" t="s">
        <v>559</v>
      </c>
      <c r="M208" s="1" t="s">
        <v>561</v>
      </c>
      <c r="N208" s="1" t="s">
        <v>85</v>
      </c>
      <c r="O208" s="1" t="s">
        <v>665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560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47" t="s">
        <v>344</v>
      </c>
      <c r="AB208" s="102" t="s">
        <v>317</v>
      </c>
      <c r="AC208" s="1"/>
      <c r="AD208" s="4"/>
      <c r="AE208" s="1" t="s">
        <v>558</v>
      </c>
      <c r="AF208" s="1" t="s">
        <v>559</v>
      </c>
      <c r="AG208" s="1" t="s">
        <v>561</v>
      </c>
      <c r="AH208" s="1" t="s">
        <v>85</v>
      </c>
      <c r="AI208" s="1" t="s">
        <v>665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560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47" t="s">
        <v>344</v>
      </c>
      <c r="AU208" s="138" t="s">
        <v>317</v>
      </c>
      <c r="AV208" s="1"/>
      <c r="AW208" s="4"/>
      <c r="AX208" s="1" t="s">
        <v>558</v>
      </c>
      <c r="AY208" s="1" t="s">
        <v>559</v>
      </c>
      <c r="AZ208" s="1" t="s">
        <v>561</v>
      </c>
      <c r="BA208" s="1" t="s">
        <v>85</v>
      </c>
      <c r="BB208" s="1" t="s">
        <v>665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560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47" t="s">
        <v>344</v>
      </c>
      <c r="BN208" s="138" t="s">
        <v>317</v>
      </c>
      <c r="BO208" s="1"/>
      <c r="BP208" s="4"/>
      <c r="BQ208" s="1" t="s">
        <v>558</v>
      </c>
      <c r="BR208" s="1" t="s">
        <v>559</v>
      </c>
      <c r="BS208" s="1" t="s">
        <v>561</v>
      </c>
      <c r="BT208" s="1" t="s">
        <v>85</v>
      </c>
      <c r="BU208" s="1" t="s">
        <v>665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560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47" t="s">
        <v>344</v>
      </c>
      <c r="CH208" s="138" t="s">
        <v>317</v>
      </c>
      <c r="CI208" s="1"/>
      <c r="CJ208" s="1"/>
      <c r="CK208" s="4"/>
      <c r="CL208" s="1" t="s">
        <v>558</v>
      </c>
      <c r="CM208" s="1" t="s">
        <v>559</v>
      </c>
      <c r="CN208" s="1" t="s">
        <v>561</v>
      </c>
      <c r="CO208" s="1" t="s">
        <v>85</v>
      </c>
      <c r="CP208" s="1" t="s">
        <v>665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560</v>
      </c>
      <c r="CW208" s="1" t="s">
        <v>50</v>
      </c>
    </row>
    <row r="209" spans="2:101" ht="18" x14ac:dyDescent="0.25">
      <c r="E209" s="351"/>
      <c r="F209" s="351"/>
      <c r="G209" s="351"/>
      <c r="H209" s="351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650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48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650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48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650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48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650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8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650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538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542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633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5" t="s">
        <v>540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637</v>
      </c>
      <c r="AB211" s="103">
        <f>(AP206+AP227)/($AC$195+V206+V222+V236)</f>
        <v>0.98878157674342848</v>
      </c>
      <c r="AC211" s="375" t="s">
        <v>539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637</v>
      </c>
      <c r="AU211" s="136">
        <f>BI206/(AP206+AU190)</f>
        <v>0.98202222166069097</v>
      </c>
      <c r="AV211" s="375" t="s">
        <v>537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637</v>
      </c>
      <c r="BN211" s="136">
        <f>CB206/(BM195+BI206)</f>
        <v>0.9967429853184</v>
      </c>
      <c r="BO211" s="375" t="s">
        <v>536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637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5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75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75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75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666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5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75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75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75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75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75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75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75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75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5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585</v>
      </c>
      <c r="AU215" s="4"/>
      <c r="AV215" s="375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585</v>
      </c>
      <c r="BN215" s="4"/>
      <c r="BO215" s="375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585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5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75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75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587</v>
      </c>
      <c r="AS216" s="1" t="s">
        <v>587</v>
      </c>
      <c r="AT216" s="1" t="s">
        <v>587</v>
      </c>
      <c r="AU216" s="4"/>
      <c r="AV216" s="375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587</v>
      </c>
      <c r="BL216" s="1" t="s">
        <v>587</v>
      </c>
      <c r="BM216" s="1" t="s">
        <v>587</v>
      </c>
      <c r="BN216" s="4"/>
      <c r="BO216" s="375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587</v>
      </c>
      <c r="CF216" s="1" t="s">
        <v>587</v>
      </c>
      <c r="CG216" s="1" t="s">
        <v>587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75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586</v>
      </c>
      <c r="AS217" s="3" t="s">
        <v>586</v>
      </c>
      <c r="AT217" s="3" t="s">
        <v>586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586</v>
      </c>
      <c r="BL217" s="3" t="s">
        <v>586</v>
      </c>
      <c r="BM217" s="3" t="s">
        <v>586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586</v>
      </c>
      <c r="CF217" s="3" t="s">
        <v>586</v>
      </c>
      <c r="CG217" s="3" t="s">
        <v>586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666</v>
      </c>
      <c r="P218" s="4"/>
      <c r="Q218" s="4"/>
      <c r="U218" s="3" t="s">
        <v>96</v>
      </c>
      <c r="V218" s="1" t="s">
        <v>93</v>
      </c>
      <c r="W218" s="375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666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666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666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75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558</v>
      </c>
      <c r="CM219" s="1" t="s">
        <v>559</v>
      </c>
      <c r="CN219" s="1" t="s">
        <v>561</v>
      </c>
      <c r="CO219" s="1" t="s">
        <v>85</v>
      </c>
      <c r="CP219" s="1" t="s">
        <v>665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560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5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650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5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4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51" t="s">
        <v>489</v>
      </c>
      <c r="C222" s="351"/>
      <c r="D222" s="351"/>
      <c r="E222" s="351"/>
      <c r="F222" s="351"/>
      <c r="G222" s="351"/>
      <c r="H222" s="351"/>
      <c r="J222" s="4"/>
      <c r="K222" s="4"/>
      <c r="L222" s="4"/>
      <c r="M222" s="4"/>
      <c r="N222" s="4"/>
      <c r="O222" s="4"/>
      <c r="P222" s="4"/>
      <c r="Q222" s="204" t="s">
        <v>576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4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52"/>
      <c r="C223" s="352"/>
      <c r="D223" s="352"/>
      <c r="E223" s="352"/>
      <c r="F223" s="352"/>
      <c r="G223" s="352"/>
      <c r="H223" s="35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4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564</v>
      </c>
      <c r="L224" s="1" t="s">
        <v>558</v>
      </c>
      <c r="M224" s="3" t="s">
        <v>5</v>
      </c>
      <c r="N224" s="1" t="s">
        <v>85</v>
      </c>
      <c r="O224" s="1" t="s">
        <v>665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560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4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563</v>
      </c>
      <c r="L225" s="1" t="s">
        <v>88</v>
      </c>
      <c r="M225" s="1" t="s">
        <v>90</v>
      </c>
      <c r="N225" s="1" t="s">
        <v>86</v>
      </c>
      <c r="O225" s="1" t="s">
        <v>650</v>
      </c>
      <c r="P225" s="1" t="s">
        <v>650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676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4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576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4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7" t="s">
        <v>439</v>
      </c>
      <c r="CZ226" s="357"/>
      <c r="DA226" s="357"/>
      <c r="DB226" s="357"/>
      <c r="DC226" s="357"/>
      <c r="DD226" s="357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558</v>
      </c>
      <c r="BR227" s="1" t="s">
        <v>559</v>
      </c>
      <c r="BS227" s="1" t="s">
        <v>561</v>
      </c>
      <c r="BT227" s="1" t="s">
        <v>85</v>
      </c>
      <c r="BU227" s="1" t="s">
        <v>665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560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666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650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666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570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558</v>
      </c>
      <c r="AF229" s="1" t="s">
        <v>559</v>
      </c>
      <c r="AG229" s="1" t="s">
        <v>561</v>
      </c>
      <c r="AH229" s="1" t="s">
        <v>85</v>
      </c>
      <c r="AI229" s="1" t="s">
        <v>665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560</v>
      </c>
      <c r="AP229" s="1" t="s">
        <v>50</v>
      </c>
      <c r="BO229" s="359" t="s">
        <v>676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585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650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59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587</v>
      </c>
      <c r="Z231" s="1" t="s">
        <v>587</v>
      </c>
      <c r="AA231" s="1" t="s">
        <v>587</v>
      </c>
      <c r="AC231" s="359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59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586</v>
      </c>
      <c r="Z232" s="3" t="s">
        <v>586</v>
      </c>
      <c r="AA232" s="3" t="s">
        <v>586</v>
      </c>
      <c r="AC232" s="359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59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59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53" t="s">
        <v>672</v>
      </c>
      <c r="CZ233" s="353"/>
      <c r="DA233" s="353"/>
      <c r="DB233" s="353"/>
      <c r="DC233" s="353"/>
      <c r="DL233" s="3" t="s">
        <v>673</v>
      </c>
      <c r="DP233" s="50">
        <f>DF241</f>
        <v>69.582675758133661</v>
      </c>
      <c r="DQ233" s="48">
        <f>DQ241</f>
        <v>5944558.1059355522</v>
      </c>
      <c r="DS233" s="353" t="s">
        <v>675</v>
      </c>
      <c r="DT233" s="353"/>
      <c r="DU233" s="353"/>
      <c r="DV233" s="353"/>
      <c r="DW233" s="353"/>
      <c r="EG233" s="3" t="s">
        <v>676</v>
      </c>
      <c r="EK233" s="50">
        <f>EA241</f>
        <v>69.582675758133661</v>
      </c>
      <c r="EL233" s="48">
        <f>EL241</f>
        <v>5944558.1059355522</v>
      </c>
      <c r="FA233" s="3" t="s">
        <v>676</v>
      </c>
      <c r="FF233" s="50">
        <f>EV241</f>
        <v>10.437401363720047</v>
      </c>
      <c r="FG233" s="48">
        <f>FG241</f>
        <v>891683.71589033271</v>
      </c>
      <c r="FI233" s="381" t="s">
        <v>421</v>
      </c>
      <c r="FJ233" s="382"/>
      <c r="FK233" s="382"/>
      <c r="FL233" s="382"/>
      <c r="FM233" s="382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59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666</v>
      </c>
      <c r="BV234" s="4"/>
      <c r="BW234" s="4"/>
      <c r="CA234" s="3" t="s">
        <v>96</v>
      </c>
      <c r="CB234" s="1" t="s">
        <v>93</v>
      </c>
      <c r="CY234" s="353"/>
      <c r="CZ234" s="353"/>
      <c r="DA234" s="353"/>
      <c r="DB234" s="353"/>
      <c r="DC234" s="353"/>
      <c r="DS234" s="353"/>
      <c r="DT234" s="353"/>
      <c r="DU234" s="353"/>
      <c r="DV234" s="353"/>
      <c r="DW234" s="353"/>
      <c r="FI234" s="382"/>
      <c r="FJ234" s="382"/>
      <c r="FK234" s="382"/>
      <c r="FL234" s="382"/>
      <c r="FM234" s="382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666</v>
      </c>
      <c r="AJ235" s="4"/>
      <c r="AK235" s="4"/>
      <c r="AO235" s="3" t="s">
        <v>96</v>
      </c>
      <c r="AP235" s="1" t="s">
        <v>93</v>
      </c>
      <c r="CK235" s="4"/>
      <c r="CL235" s="1" t="s">
        <v>558</v>
      </c>
      <c r="CM235" s="1" t="s">
        <v>559</v>
      </c>
      <c r="CN235" s="1" t="s">
        <v>561</v>
      </c>
      <c r="CO235" s="1" t="s">
        <v>85</v>
      </c>
      <c r="CP235" s="1" t="s">
        <v>665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560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54" t="s">
        <v>344</v>
      </c>
      <c r="DC235" s="138" t="s">
        <v>317</v>
      </c>
      <c r="DE235" s="4"/>
      <c r="DF235" s="1" t="s">
        <v>558</v>
      </c>
      <c r="DG235" s="1" t="s">
        <v>559</v>
      </c>
      <c r="DH235" s="1" t="s">
        <v>561</v>
      </c>
      <c r="DI235" s="1" t="s">
        <v>85</v>
      </c>
      <c r="DJ235" s="1" t="s">
        <v>665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560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54" t="s">
        <v>344</v>
      </c>
      <c r="DW235" s="138" t="s">
        <v>317</v>
      </c>
      <c r="DZ235" s="4"/>
      <c r="EA235" s="1" t="s">
        <v>558</v>
      </c>
      <c r="EB235" s="1" t="s">
        <v>559</v>
      </c>
      <c r="EC235" s="1" t="s">
        <v>561</v>
      </c>
      <c r="ED235" s="1" t="s">
        <v>85</v>
      </c>
      <c r="EE235" s="1" t="s">
        <v>665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560</v>
      </c>
      <c r="EL235" s="1" t="s">
        <v>50</v>
      </c>
      <c r="EU235" s="4"/>
      <c r="EV235" s="1" t="s">
        <v>558</v>
      </c>
      <c r="EW235" s="1" t="s">
        <v>559</v>
      </c>
      <c r="EX235" s="1" t="s">
        <v>561</v>
      </c>
      <c r="EY235" s="1" t="s">
        <v>85</v>
      </c>
      <c r="EZ235" s="1" t="s">
        <v>665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560</v>
      </c>
      <c r="FG235" s="1" t="s">
        <v>50</v>
      </c>
      <c r="FI235" s="382"/>
      <c r="FJ235" s="382"/>
      <c r="FK235" s="382"/>
      <c r="FL235" s="382"/>
      <c r="FM235" s="382"/>
    </row>
    <row r="236" spans="2:169" ht="19" thickBot="1" x14ac:dyDescent="0.3">
      <c r="Q236" s="3" t="s">
        <v>541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650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55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650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55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650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650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59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9" t="s">
        <v>673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9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80" t="s">
        <v>676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51" t="s">
        <v>522</v>
      </c>
      <c r="F238" s="351"/>
      <c r="G238" s="351"/>
      <c r="H238" s="351"/>
      <c r="J238" s="4"/>
      <c r="K238" s="1" t="s">
        <v>558</v>
      </c>
      <c r="L238" s="1" t="s">
        <v>559</v>
      </c>
      <c r="M238" s="1" t="s">
        <v>561</v>
      </c>
      <c r="N238" s="1" t="s">
        <v>85</v>
      </c>
      <c r="O238" s="1" t="s">
        <v>665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560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59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637</v>
      </c>
      <c r="DC238" s="136">
        <f>DQ233/(CW233+DD229)</f>
        <v>0.99315856277211589</v>
      </c>
      <c r="DD238" s="349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637</v>
      </c>
      <c r="DW238" s="136">
        <f>EL233/DQ233</f>
        <v>1</v>
      </c>
      <c r="DY238" s="349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80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51"/>
      <c r="F239" s="351"/>
      <c r="G239" s="351"/>
      <c r="H239" s="351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650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59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9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9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80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59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59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9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9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80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59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59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59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666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666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585</v>
      </c>
      <c r="EV242" s="1" t="s">
        <v>89</v>
      </c>
      <c r="EW242" s="1"/>
      <c r="EX242" s="3" t="s">
        <v>91</v>
      </c>
      <c r="EY242" s="3" t="s">
        <v>87</v>
      </c>
      <c r="EZ242" s="1" t="s">
        <v>666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666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585</v>
      </c>
      <c r="EO243" s="4"/>
      <c r="EP243" s="1" t="s">
        <v>587</v>
      </c>
      <c r="EQ243" s="1" t="s">
        <v>587</v>
      </c>
      <c r="ER243" s="1" t="s">
        <v>587</v>
      </c>
    </row>
    <row r="244" spans="9:163" ht="18" x14ac:dyDescent="0.25">
      <c r="BK244" s="351" t="s">
        <v>522</v>
      </c>
      <c r="BL244" s="351"/>
      <c r="BM244" s="351"/>
      <c r="BN244" s="351"/>
      <c r="BP244" s="4"/>
      <c r="BQ244" s="1" t="s">
        <v>558</v>
      </c>
      <c r="BR244" s="1" t="s">
        <v>559</v>
      </c>
      <c r="BS244" s="1" t="s">
        <v>561</v>
      </c>
      <c r="BT244" s="1" t="s">
        <v>85</v>
      </c>
      <c r="BU244" s="1" t="s">
        <v>665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560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666</v>
      </c>
      <c r="CQ244" s="4"/>
      <c r="CR244" s="4"/>
      <c r="CV244" s="3" t="s">
        <v>96</v>
      </c>
      <c r="CW244" s="1" t="s">
        <v>93</v>
      </c>
      <c r="CY244" s="4"/>
      <c r="CZ244" s="1" t="s">
        <v>587</v>
      </c>
      <c r="DA244" s="1" t="s">
        <v>587</v>
      </c>
      <c r="DB244" s="1" t="s">
        <v>587</v>
      </c>
      <c r="EO244" s="4" t="s">
        <v>60</v>
      </c>
      <c r="EP244" s="3" t="s">
        <v>586</v>
      </c>
      <c r="EQ244" s="3" t="s">
        <v>586</v>
      </c>
      <c r="ER244" s="3" t="s">
        <v>586</v>
      </c>
    </row>
    <row r="245" spans="9:163" ht="18" x14ac:dyDescent="0.25">
      <c r="BK245" s="351"/>
      <c r="BL245" s="351"/>
      <c r="BM245" s="351"/>
      <c r="BN245" s="351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650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586</v>
      </c>
      <c r="DA245" s="3" t="s">
        <v>586</v>
      </c>
      <c r="DB245" s="3" t="s">
        <v>586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4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4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666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558</v>
      </c>
      <c r="CM252" s="1" t="s">
        <v>559</v>
      </c>
      <c r="CN252" s="1" t="s">
        <v>561</v>
      </c>
      <c r="CO252" s="1" t="s">
        <v>85</v>
      </c>
      <c r="CP252" s="1" t="s">
        <v>665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560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650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59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59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51" t="s">
        <v>476</v>
      </c>
      <c r="BJ256" s="351"/>
      <c r="BK256" s="351"/>
      <c r="BL256" s="351"/>
      <c r="BM256" s="351"/>
      <c r="BN256" s="351"/>
      <c r="BO256" s="351"/>
      <c r="BP256" s="1"/>
      <c r="BQ256" s="3" t="s">
        <v>564</v>
      </c>
      <c r="BR256" s="1" t="s">
        <v>558</v>
      </c>
      <c r="BS256" s="3" t="s">
        <v>5</v>
      </c>
      <c r="BT256" s="1" t="s">
        <v>85</v>
      </c>
      <c r="BU256" s="1" t="s">
        <v>665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560</v>
      </c>
      <c r="CB256" s="1" t="s">
        <v>50</v>
      </c>
      <c r="CJ256" s="359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52"/>
      <c r="BJ257" s="352"/>
      <c r="BK257" s="352"/>
      <c r="BL257" s="352"/>
      <c r="BM257" s="352"/>
      <c r="BN257" s="352"/>
      <c r="BO257" s="352"/>
      <c r="BP257" s="1"/>
      <c r="BQ257" s="3" t="s">
        <v>563</v>
      </c>
      <c r="BR257" s="1" t="s">
        <v>88</v>
      </c>
      <c r="BS257" s="1" t="s">
        <v>90</v>
      </c>
      <c r="BT257" s="2" t="s">
        <v>86</v>
      </c>
      <c r="BU257" s="1" t="s">
        <v>650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666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666</v>
      </c>
      <c r="BV260" s="4"/>
      <c r="BW260" s="4"/>
      <c r="CA260" s="3" t="s">
        <v>96</v>
      </c>
      <c r="CB260" s="1" t="s">
        <v>93</v>
      </c>
    </row>
  </sheetData>
  <mergeCells count="103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BL44:BL45"/>
    <mergeCell ref="AB46:AB47"/>
    <mergeCell ref="AB48:AB51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4" t="s">
        <v>432</v>
      </c>
      <c r="E7" s="217" t="s">
        <v>572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5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6" t="s">
        <v>20</v>
      </c>
      <c r="E9" s="217" t="s">
        <v>572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7"/>
      <c r="E10" s="217" t="s">
        <v>573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7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8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9" t="s">
        <v>353</v>
      </c>
      <c r="E13" s="217" t="s">
        <v>572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90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91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92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92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93"/>
      <c r="E18" s="216" t="s">
        <v>557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575</v>
      </c>
      <c r="F23" s="3" t="s">
        <v>574</v>
      </c>
      <c r="G23" s="3" t="s">
        <v>640</v>
      </c>
    </row>
    <row r="24" spans="4:9" x14ac:dyDescent="0.2">
      <c r="E24" s="204" t="s">
        <v>572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573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557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584</v>
      </c>
      <c r="AS1" s="260"/>
      <c r="AT1" s="207" t="s">
        <v>415</v>
      </c>
      <c r="AU1" s="207" t="s">
        <v>416</v>
      </c>
      <c r="AV1" s="207" t="s">
        <v>417</v>
      </c>
      <c r="AW1" s="207" t="s">
        <v>565</v>
      </c>
      <c r="AX1" s="207" t="s">
        <v>544</v>
      </c>
      <c r="AY1" s="207" t="s">
        <v>543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672</v>
      </c>
      <c r="BF1" s="207" t="s">
        <v>675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565</v>
      </c>
      <c r="BR1" s="207" t="s">
        <v>544</v>
      </c>
      <c r="BS1" s="207" t="s">
        <v>543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672</v>
      </c>
      <c r="BZ1" s="207" t="s">
        <v>675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576</v>
      </c>
      <c r="C7" s="284">
        <v>1</v>
      </c>
      <c r="AL7" s="204"/>
      <c r="AS7" s="204" t="s">
        <v>576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576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577</v>
      </c>
      <c r="C8" s="284">
        <v>1</v>
      </c>
      <c r="AL8" s="204"/>
      <c r="AS8" s="204" t="s">
        <v>577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577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569</v>
      </c>
      <c r="C10" s="284">
        <v>1</v>
      </c>
      <c r="AL10" s="204"/>
      <c r="AS10" s="204" t="s">
        <v>569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569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551</v>
      </c>
      <c r="C11" s="284">
        <v>1</v>
      </c>
      <c r="AS11" s="205" t="s">
        <v>551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551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546</v>
      </c>
      <c r="C14" s="284">
        <v>1</v>
      </c>
      <c r="AS14" s="204" t="s">
        <v>546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546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538</v>
      </c>
      <c r="C15" s="284">
        <v>1</v>
      </c>
      <c r="AS15" s="206" t="s">
        <v>538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538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550</v>
      </c>
      <c r="C17" s="284">
        <v>1</v>
      </c>
      <c r="AS17" s="205" t="s">
        <v>550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545</v>
      </c>
      <c r="C18" s="284">
        <v>1</v>
      </c>
      <c r="AS18" s="205" t="s">
        <v>545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545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542</v>
      </c>
      <c r="C19" s="284">
        <v>1</v>
      </c>
      <c r="AS19" s="205" t="s">
        <v>542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542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548</v>
      </c>
      <c r="C20" s="284">
        <v>1</v>
      </c>
      <c r="AS20" s="205" t="s">
        <v>548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548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547</v>
      </c>
      <c r="C21" s="284">
        <v>1</v>
      </c>
      <c r="AS21" s="206" t="s">
        <v>547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547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566</v>
      </c>
      <c r="C23" s="284">
        <v>1</v>
      </c>
      <c r="AS23" s="206" t="s">
        <v>566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566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632</v>
      </c>
      <c r="C27" s="284">
        <v>1</v>
      </c>
      <c r="AS27" s="206" t="s">
        <v>632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632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673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673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554</v>
      </c>
      <c r="C33" s="284">
        <v>1</v>
      </c>
      <c r="AS33" s="206" t="s">
        <v>554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554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555</v>
      </c>
      <c r="C34" s="284">
        <v>1</v>
      </c>
      <c r="AS34" s="206" t="s">
        <v>555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555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556</v>
      </c>
      <c r="C35" s="284">
        <v>1</v>
      </c>
      <c r="AS35" s="206" t="s">
        <v>556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556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567</v>
      </c>
      <c r="C36" s="284">
        <v>1</v>
      </c>
      <c r="AS36" s="206" t="s">
        <v>567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567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583</v>
      </c>
      <c r="AS37" s="206"/>
      <c r="AT37" s="394" t="s">
        <v>580</v>
      </c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F37" s="394"/>
      <c r="BG37" s="394"/>
      <c r="BH37" s="394"/>
      <c r="BM37" s="206"/>
      <c r="BN37" s="394" t="s">
        <v>581</v>
      </c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  <c r="BZ37" s="394"/>
      <c r="CA37" s="394"/>
      <c r="CB37" s="394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565</v>
      </c>
      <c r="AX40" s="207" t="s">
        <v>544</v>
      </c>
      <c r="AY40" s="207" t="s">
        <v>543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672</v>
      </c>
      <c r="BF40" s="207" t="s">
        <v>675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U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U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U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U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576</v>
      </c>
      <c r="AT46" s="284">
        <f t="shared" si="1"/>
        <v>94146.207140653787</v>
      </c>
      <c r="AU46" s="284">
        <f t="shared" ref="AU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577</v>
      </c>
      <c r="AT47" s="284">
        <f t="shared" si="1"/>
        <v>0</v>
      </c>
      <c r="AU47" s="284">
        <f t="shared" ref="AU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U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569</v>
      </c>
      <c r="AT49" s="284">
        <f t="shared" si="1"/>
        <v>0</v>
      </c>
      <c r="AU49" s="284">
        <f t="shared" ref="AU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551</v>
      </c>
      <c r="AT50" s="284">
        <f t="shared" si="1"/>
        <v>0</v>
      </c>
      <c r="AU50" s="284">
        <f t="shared" ref="AU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U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U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546</v>
      </c>
      <c r="AT53" s="284">
        <f t="shared" si="1"/>
        <v>0</v>
      </c>
      <c r="AU53" s="284">
        <f t="shared" ref="AU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538</v>
      </c>
      <c r="AT54" s="284">
        <f t="shared" si="1"/>
        <v>0</v>
      </c>
      <c r="AU54" s="284">
        <f t="shared" ref="AU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U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550</v>
      </c>
      <c r="AT56" s="284">
        <f t="shared" si="1"/>
        <v>0</v>
      </c>
      <c r="AU56" s="284">
        <f t="shared" ref="AU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545</v>
      </c>
      <c r="AT57" s="284">
        <f t="shared" si="1"/>
        <v>0</v>
      </c>
      <c r="AU57" s="284">
        <f t="shared" ref="AU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542</v>
      </c>
      <c r="AT58" s="284">
        <f t="shared" si="1"/>
        <v>0</v>
      </c>
      <c r="AU58" s="284">
        <f t="shared" ref="AU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548</v>
      </c>
      <c r="AT59" s="284">
        <f t="shared" si="1"/>
        <v>0</v>
      </c>
      <c r="AU59" s="284">
        <f t="shared" ref="AU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547</v>
      </c>
      <c r="AT60" s="284">
        <f t="shared" si="1"/>
        <v>0</v>
      </c>
      <c r="AU60" s="284">
        <f t="shared" ref="AU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U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566</v>
      </c>
      <c r="AT62" s="284">
        <f t="shared" si="1"/>
        <v>0</v>
      </c>
      <c r="AU62" s="284">
        <f t="shared" ref="AU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U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U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U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632</v>
      </c>
      <c r="AT66" s="284">
        <f t="shared" si="1"/>
        <v>0</v>
      </c>
      <c r="AU66" s="284">
        <f t="shared" ref="AU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U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U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U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673</v>
      </c>
      <c r="AT70" s="284">
        <f t="shared" si="1"/>
        <v>0</v>
      </c>
      <c r="AU70" s="284">
        <f t="shared" ref="AU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554</v>
      </c>
      <c r="AT72" s="284">
        <f t="shared" si="1"/>
        <v>0</v>
      </c>
      <c r="AU72" s="284">
        <f t="shared" ref="AU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555</v>
      </c>
      <c r="AT73" s="284">
        <f t="shared" si="1"/>
        <v>0</v>
      </c>
      <c r="AU73" s="284">
        <f t="shared" ref="AU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556</v>
      </c>
      <c r="AT74" s="284">
        <f t="shared" si="1"/>
        <v>0</v>
      </c>
      <c r="AU74" s="284">
        <f t="shared" ref="AU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567</v>
      </c>
      <c r="AT75" s="284">
        <f t="shared" si="1"/>
        <v>0</v>
      </c>
      <c r="AU75" s="284">
        <f t="shared" ref="AU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4" t="s">
        <v>582</v>
      </c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  <c r="BH76" s="394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565</v>
      </c>
      <c r="AX84" s="207" t="s">
        <v>544</v>
      </c>
      <c r="AY84" s="207" t="s">
        <v>543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672</v>
      </c>
      <c r="BF84" s="207" t="s">
        <v>675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576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576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577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577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569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569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551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551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546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546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538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538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550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550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545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545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542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542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548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548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547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547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566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566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632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632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673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673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674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554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554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555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555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556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556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567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567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4" t="s">
        <v>418</v>
      </c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25" t="s">
        <v>469</v>
      </c>
      <c r="BN120" s="394" t="s">
        <v>420</v>
      </c>
      <c r="BO120" s="394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5"/>
      <c r="G122" s="395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4" t="s">
        <v>468</v>
      </c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576</v>
      </c>
      <c r="L123" s="207" t="s">
        <v>577</v>
      </c>
      <c r="M123" s="207" t="s">
        <v>519</v>
      </c>
      <c r="N123" s="207" t="s">
        <v>569</v>
      </c>
      <c r="O123" s="209" t="s">
        <v>551</v>
      </c>
      <c r="P123" s="207" t="s">
        <v>517</v>
      </c>
      <c r="Q123" s="209" t="s">
        <v>520</v>
      </c>
      <c r="R123" s="207" t="s">
        <v>546</v>
      </c>
      <c r="S123" s="210" t="s">
        <v>538</v>
      </c>
      <c r="T123" s="207" t="s">
        <v>524</v>
      </c>
      <c r="U123" s="209" t="s">
        <v>550</v>
      </c>
      <c r="V123" s="209" t="s">
        <v>545</v>
      </c>
      <c r="W123" s="209" t="s">
        <v>542</v>
      </c>
      <c r="X123" s="209" t="s">
        <v>548</v>
      </c>
      <c r="Y123" s="210" t="s">
        <v>547</v>
      </c>
      <c r="Z123" s="210" t="s">
        <v>532</v>
      </c>
      <c r="AA123" s="210" t="s">
        <v>566</v>
      </c>
      <c r="AB123" s="210" t="s">
        <v>533</v>
      </c>
      <c r="AC123" s="210" t="s">
        <v>535</v>
      </c>
      <c r="AD123" s="210" t="s">
        <v>534</v>
      </c>
      <c r="AE123" s="210" t="s">
        <v>632</v>
      </c>
      <c r="AF123" s="232" t="s">
        <v>530</v>
      </c>
      <c r="AG123" s="210" t="s">
        <v>529</v>
      </c>
      <c r="AH123" s="207" t="s">
        <v>531</v>
      </c>
      <c r="AI123" s="210" t="s">
        <v>673</v>
      </c>
      <c r="AJ123" s="210" t="s">
        <v>676</v>
      </c>
      <c r="AK123" s="210" t="s">
        <v>554</v>
      </c>
      <c r="AL123" s="210" t="s">
        <v>555</v>
      </c>
      <c r="AM123" s="210" t="s">
        <v>556</v>
      </c>
      <c r="AN123" s="210" t="s">
        <v>567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544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672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675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4" t="s">
        <v>419</v>
      </c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394"/>
      <c r="AN139" s="394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4" t="s">
        <v>466</v>
      </c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  <c r="AM141" s="394"/>
      <c r="AN141" s="394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576</v>
      </c>
      <c r="L152" s="207" t="s">
        <v>577</v>
      </c>
      <c r="M152" s="207" t="s">
        <v>519</v>
      </c>
      <c r="N152" s="207" t="s">
        <v>569</v>
      </c>
      <c r="O152" s="209" t="s">
        <v>551</v>
      </c>
      <c r="P152" s="207" t="s">
        <v>517</v>
      </c>
      <c r="Q152" s="209" t="s">
        <v>520</v>
      </c>
      <c r="R152" s="207" t="s">
        <v>546</v>
      </c>
      <c r="S152" s="210" t="s">
        <v>538</v>
      </c>
      <c r="T152" s="207" t="s">
        <v>524</v>
      </c>
      <c r="U152" s="209" t="s">
        <v>550</v>
      </c>
      <c r="V152" s="209" t="s">
        <v>545</v>
      </c>
      <c r="W152" s="209" t="s">
        <v>542</v>
      </c>
      <c r="X152" s="209" t="s">
        <v>548</v>
      </c>
      <c r="Y152" s="210" t="s">
        <v>547</v>
      </c>
      <c r="Z152" s="210" t="s">
        <v>532</v>
      </c>
      <c r="AA152" s="210" t="s">
        <v>566</v>
      </c>
      <c r="AB152" s="210" t="s">
        <v>533</v>
      </c>
      <c r="AC152" s="210" t="s">
        <v>535</v>
      </c>
      <c r="AD152" s="210" t="s">
        <v>534</v>
      </c>
      <c r="AE152" s="210" t="s">
        <v>632</v>
      </c>
      <c r="AF152" s="232" t="s">
        <v>530</v>
      </c>
      <c r="AG152" s="210" t="s">
        <v>529</v>
      </c>
      <c r="AH152" s="207" t="s">
        <v>531</v>
      </c>
      <c r="AI152" s="210" t="s">
        <v>673</v>
      </c>
      <c r="AJ152" s="210" t="s">
        <v>676</v>
      </c>
      <c r="AK152" s="210" t="s">
        <v>554</v>
      </c>
      <c r="AL152" s="210" t="s">
        <v>555</v>
      </c>
      <c r="AM152" s="210" t="s">
        <v>556</v>
      </c>
      <c r="AN152" s="210" t="s">
        <v>567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579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578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568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4" t="s">
        <v>57</v>
      </c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394"/>
      <c r="AN162" s="394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4" t="s">
        <v>467</v>
      </c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25"/>
      <c r="AP164" s="25"/>
    </row>
    <row r="168" spans="5:42" x14ac:dyDescent="0.2">
      <c r="F168" s="394" t="s">
        <v>571</v>
      </c>
      <c r="G168" s="394"/>
      <c r="H168" s="394"/>
      <c r="I168" s="394"/>
      <c r="J168" s="394"/>
      <c r="K168" s="394"/>
      <c r="L168" s="394"/>
      <c r="M168" s="394"/>
      <c r="N168" s="394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 t="shared" ref="J171:J200" si="54"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 t="shared" si="54"/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 t="shared" si="54"/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 t="shared" si="54"/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 t="shared" si="54"/>
        <v>1081571592.2511754</v>
      </c>
      <c r="L175" s="252">
        <v>0</v>
      </c>
      <c r="N175" s="299">
        <f t="shared" ref="N175:N190" si="55">F175+H175-J175-L175</f>
        <v>0</v>
      </c>
    </row>
    <row r="176" spans="5:42" x14ac:dyDescent="0.2">
      <c r="E176" s="204" t="s">
        <v>576</v>
      </c>
      <c r="F176" s="252">
        <v>116797.57129876292</v>
      </c>
      <c r="H176" s="252">
        <v>0</v>
      </c>
      <c r="J176" s="252">
        <f t="shared" si="54"/>
        <v>116797.57129876292</v>
      </c>
      <c r="L176" s="252">
        <v>0</v>
      </c>
      <c r="N176" s="299">
        <f t="shared" si="55"/>
        <v>0</v>
      </c>
    </row>
    <row r="177" spans="5:21" x14ac:dyDescent="0.2">
      <c r="E177" s="204" t="s">
        <v>577</v>
      </c>
      <c r="F177" s="252">
        <v>24.076233417548465</v>
      </c>
      <c r="H177" s="252">
        <v>0</v>
      </c>
      <c r="J177" s="252">
        <f t="shared" si="54"/>
        <v>24.076233417548465</v>
      </c>
      <c r="L177" s="252">
        <v>0</v>
      </c>
      <c r="N177" s="299">
        <f t="shared" si="55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 t="shared" si="54"/>
        <v>206840.02835429934</v>
      </c>
      <c r="L178" s="252">
        <v>0</v>
      </c>
      <c r="N178" s="299">
        <f t="shared" si="55"/>
        <v>0</v>
      </c>
    </row>
    <row r="179" spans="5:21" x14ac:dyDescent="0.2">
      <c r="E179" s="204" t="s">
        <v>569</v>
      </c>
      <c r="F179" s="252">
        <v>1259529.3337336415</v>
      </c>
      <c r="H179" s="252">
        <v>0</v>
      </c>
      <c r="J179" s="252">
        <f t="shared" si="54"/>
        <v>1259529.3337336415</v>
      </c>
      <c r="L179" s="252">
        <v>0</v>
      </c>
      <c r="N179" s="299">
        <f t="shared" si="55"/>
        <v>0</v>
      </c>
    </row>
    <row r="180" spans="5:21" ht="16" x14ac:dyDescent="0.2">
      <c r="E180" s="205" t="s">
        <v>551</v>
      </c>
      <c r="F180" s="252">
        <v>0</v>
      </c>
      <c r="H180" s="252">
        <v>109233.7126431732</v>
      </c>
      <c r="J180" s="252">
        <f t="shared" si="54"/>
        <v>109233.7126431732</v>
      </c>
      <c r="L180" s="252">
        <v>0</v>
      </c>
      <c r="N180" s="299">
        <f t="shared" si="55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 t="shared" si="54"/>
        <v>0</v>
      </c>
      <c r="L181" s="252">
        <v>2418.6577581793781</v>
      </c>
      <c r="N181" s="299">
        <f t="shared" si="55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 t="shared" si="54"/>
        <v>25394.240916408646</v>
      </c>
      <c r="L182" s="252">
        <v>0</v>
      </c>
      <c r="N182" s="299">
        <f t="shared" si="55"/>
        <v>0</v>
      </c>
    </row>
    <row r="183" spans="5:21" x14ac:dyDescent="0.2">
      <c r="E183" s="204" t="s">
        <v>546</v>
      </c>
      <c r="F183" s="252">
        <v>0</v>
      </c>
      <c r="H183" s="252">
        <v>7.2399197950896488</v>
      </c>
      <c r="J183" s="252">
        <f t="shared" si="54"/>
        <v>0</v>
      </c>
      <c r="L183" s="252">
        <v>7.2399197950896488</v>
      </c>
      <c r="N183" s="299">
        <f t="shared" si="55"/>
        <v>0</v>
      </c>
    </row>
    <row r="184" spans="5:21" x14ac:dyDescent="0.2">
      <c r="E184" s="206" t="s">
        <v>538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 t="shared" si="54"/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5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 t="shared" si="54"/>
        <v>0</v>
      </c>
      <c r="L185" s="252">
        <v>575.29559740969785</v>
      </c>
      <c r="N185" s="299">
        <f t="shared" si="55"/>
        <v>0</v>
      </c>
    </row>
    <row r="186" spans="5:21" ht="16" x14ac:dyDescent="0.2">
      <c r="E186" s="205" t="s">
        <v>550</v>
      </c>
      <c r="F186" s="252">
        <v>0</v>
      </c>
      <c r="H186" s="252">
        <v>109233.7126431732</v>
      </c>
      <c r="J186" s="252">
        <f t="shared" si="54"/>
        <v>109233.7126431732</v>
      </c>
      <c r="L186" s="252">
        <v>0</v>
      </c>
      <c r="N186" s="299">
        <f t="shared" si="55"/>
        <v>0</v>
      </c>
    </row>
    <row r="187" spans="5:21" ht="16" x14ac:dyDescent="0.2">
      <c r="E187" s="205" t="s">
        <v>545</v>
      </c>
      <c r="F187" s="252">
        <v>0</v>
      </c>
      <c r="H187" s="252">
        <v>25394.240916408646</v>
      </c>
      <c r="J187" s="252">
        <f t="shared" si="54"/>
        <v>25394.240916408646</v>
      </c>
      <c r="L187" s="252">
        <v>0</v>
      </c>
      <c r="N187" s="299">
        <f t="shared" si="55"/>
        <v>0</v>
      </c>
    </row>
    <row r="188" spans="5:21" ht="16" x14ac:dyDescent="0.2">
      <c r="E188" s="205" t="s">
        <v>542</v>
      </c>
      <c r="F188" s="252">
        <v>0</v>
      </c>
      <c r="H188" s="252">
        <v>8753719.7068998404</v>
      </c>
      <c r="J188" s="252">
        <f t="shared" si="54"/>
        <v>8753719.7068998404</v>
      </c>
      <c r="L188" s="252">
        <v>0</v>
      </c>
      <c r="N188" s="299">
        <f t="shared" si="55"/>
        <v>0</v>
      </c>
    </row>
    <row r="189" spans="5:21" ht="16" x14ac:dyDescent="0.2">
      <c r="E189" s="205" t="s">
        <v>548</v>
      </c>
      <c r="F189" s="252">
        <v>0</v>
      </c>
      <c r="H189" s="252">
        <v>88965.799815334409</v>
      </c>
      <c r="J189" s="252">
        <f t="shared" si="54"/>
        <v>88965.799815334409</v>
      </c>
      <c r="L189" s="252">
        <v>0</v>
      </c>
      <c r="N189" s="299">
        <f t="shared" si="55"/>
        <v>0</v>
      </c>
    </row>
    <row r="190" spans="5:21" x14ac:dyDescent="0.2">
      <c r="E190" s="206" t="s">
        <v>547</v>
      </c>
      <c r="F190" s="252">
        <v>0</v>
      </c>
      <c r="H190" s="252">
        <v>21743.416787545681</v>
      </c>
      <c r="J190" s="252">
        <f t="shared" si="54"/>
        <v>0</v>
      </c>
      <c r="L190" s="252">
        <v>21743.416787545681</v>
      </c>
      <c r="N190" s="299">
        <f t="shared" si="55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 t="shared" si="54"/>
        <v>25394.240916408646</v>
      </c>
      <c r="L191" s="252">
        <v>0</v>
      </c>
      <c r="N191" s="299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6" t="s">
        <v>566</v>
      </c>
      <c r="F192" s="252">
        <v>0</v>
      </c>
      <c r="H192" s="252">
        <v>8753719.7068998404</v>
      </c>
      <c r="J192" s="252">
        <f t="shared" si="54"/>
        <v>8753719.7068998404</v>
      </c>
      <c r="L192" s="252">
        <v>0</v>
      </c>
      <c r="N192" s="299">
        <f t="shared" si="56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 t="shared" si="54"/>
        <v>242016.07607977447</v>
      </c>
      <c r="L193" s="252">
        <v>0</v>
      </c>
      <c r="N193" s="299">
        <f t="shared" si="56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 t="shared" si="54"/>
        <v>0</v>
      </c>
      <c r="L194" s="252">
        <v>7739.2511800711582</v>
      </c>
      <c r="N194" s="299">
        <f t="shared" si="56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 t="shared" si="54"/>
        <v>0</v>
      </c>
      <c r="L195" s="252">
        <v>1133973033.3846123</v>
      </c>
      <c r="N195" s="299">
        <f t="shared" si="56"/>
        <v>0</v>
      </c>
      <c r="Q195" s="25"/>
      <c r="S195" s="25"/>
      <c r="T195" s="25"/>
      <c r="U195" s="25"/>
    </row>
    <row r="196" spans="5:22" x14ac:dyDescent="0.2">
      <c r="E196" s="206" t="s">
        <v>632</v>
      </c>
      <c r="F196" s="252">
        <v>0</v>
      </c>
      <c r="H196" s="252">
        <v>6791339.3350291392</v>
      </c>
      <c r="J196" s="252">
        <f t="shared" si="54"/>
        <v>6791339.3350291392</v>
      </c>
      <c r="L196" s="252">
        <v>0</v>
      </c>
      <c r="N196" s="299">
        <f t="shared" si="56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 t="shared" si="54"/>
        <v>5935408.0537775028</v>
      </c>
      <c r="L197" s="252">
        <v>0</v>
      </c>
      <c r="N197" s="299">
        <f t="shared" si="56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 t="shared" si="54"/>
        <v>0</v>
      </c>
      <c r="L198" s="252">
        <v>5366.0434241372932</v>
      </c>
      <c r="N198" s="299">
        <f t="shared" ref="N198:N205" si="57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 t="shared" si="54"/>
        <v>0</v>
      </c>
      <c r="L199" s="252">
        <v>50611.612737094903</v>
      </c>
      <c r="N199" s="299">
        <f t="shared" si="57"/>
        <v>0</v>
      </c>
    </row>
    <row r="200" spans="5:22" x14ac:dyDescent="0.2">
      <c r="E200" s="206" t="s">
        <v>673</v>
      </c>
      <c r="F200" s="252">
        <v>0</v>
      </c>
      <c r="H200" s="252">
        <v>5944558.1059355522</v>
      </c>
      <c r="J200" s="252">
        <f t="shared" si="54"/>
        <v>5944558.1059355522</v>
      </c>
      <c r="L200" s="252">
        <v>0</v>
      </c>
      <c r="N200" s="299">
        <f t="shared" si="57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8">BI115</f>
        <v>5052874.3900452191</v>
      </c>
      <c r="L201" s="252">
        <v>891683.71589033271</v>
      </c>
      <c r="N201" s="299">
        <f t="shared" si="57"/>
        <v>0</v>
      </c>
    </row>
    <row r="202" spans="5:22" x14ac:dyDescent="0.2">
      <c r="E202" s="206" t="s">
        <v>554</v>
      </c>
      <c r="F202" s="252">
        <v>0</v>
      </c>
      <c r="H202" s="252">
        <v>7072531.8830895294</v>
      </c>
      <c r="J202" s="252">
        <f t="shared" si="58"/>
        <v>7072531.8830895294</v>
      </c>
      <c r="L202" s="252">
        <v>0</v>
      </c>
      <c r="N202" s="299">
        <f t="shared" si="57"/>
        <v>0</v>
      </c>
      <c r="S202" s="245"/>
      <c r="T202" s="245"/>
      <c r="U202" s="245"/>
      <c r="V202" s="245"/>
    </row>
    <row r="203" spans="5:22" x14ac:dyDescent="0.2">
      <c r="E203" s="206" t="s">
        <v>555</v>
      </c>
      <c r="F203" s="252">
        <v>0</v>
      </c>
      <c r="H203" s="252">
        <v>4157895.2984628798</v>
      </c>
      <c r="J203" s="252">
        <f t="shared" si="58"/>
        <v>0</v>
      </c>
      <c r="L203" s="252">
        <v>4157895.2984628798</v>
      </c>
      <c r="N203" s="299">
        <f t="shared" si="57"/>
        <v>0</v>
      </c>
    </row>
    <row r="204" spans="5:22" x14ac:dyDescent="0.2">
      <c r="E204" s="206" t="s">
        <v>556</v>
      </c>
      <c r="F204" s="252">
        <v>0</v>
      </c>
      <c r="H204" s="252">
        <v>432711.9695416363</v>
      </c>
      <c r="J204" s="252">
        <f t="shared" si="58"/>
        <v>0</v>
      </c>
      <c r="L204" s="252">
        <v>432711.9695416363</v>
      </c>
      <c r="N204" s="299">
        <f t="shared" si="57"/>
        <v>0</v>
      </c>
    </row>
    <row r="205" spans="5:22" x14ac:dyDescent="0.2">
      <c r="E205" s="206" t="s">
        <v>567</v>
      </c>
      <c r="F205" s="252">
        <v>0</v>
      </c>
      <c r="H205" s="252">
        <v>67875.356217847453</v>
      </c>
      <c r="J205" s="252">
        <f t="shared" si="58"/>
        <v>0</v>
      </c>
      <c r="L205" s="252">
        <v>67875.356217847453</v>
      </c>
      <c r="N205" s="299">
        <f t="shared" si="57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4" t="s">
        <v>638</v>
      </c>
      <c r="G209" s="394"/>
      <c r="H209" s="394"/>
      <c r="I209" s="394"/>
      <c r="J209" s="394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9">AO125</f>
        <v>25401.480836203737</v>
      </c>
      <c r="J213" s="252">
        <f t="shared" ref="J213:J226" si="60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9"/>
        <v>8754295.0024972502</v>
      </c>
      <c r="J214" s="252">
        <f t="shared" si="60"/>
        <v>99323.641298372298</v>
      </c>
    </row>
    <row r="215" spans="5:18" x14ac:dyDescent="0.2">
      <c r="E215" s="204" t="s">
        <v>565</v>
      </c>
      <c r="F215" s="252">
        <v>719025.96440252138</v>
      </c>
      <c r="G215" s="254"/>
      <c r="H215" s="252">
        <f t="shared" si="59"/>
        <v>109233.7126431732</v>
      </c>
      <c r="I215" s="254"/>
      <c r="J215" s="252">
        <f t="shared" si="60"/>
        <v>609792.2517593482</v>
      </c>
    </row>
    <row r="216" spans="5:18" x14ac:dyDescent="0.2">
      <c r="E216" s="204" t="s">
        <v>544</v>
      </c>
      <c r="F216" s="252">
        <v>28219.126564153565</v>
      </c>
      <c r="H216" s="252">
        <f t="shared" si="59"/>
        <v>25394.240916408646</v>
      </c>
      <c r="J216" s="252">
        <f t="shared" si="60"/>
        <v>2824.885647744919</v>
      </c>
      <c r="K216" s="245"/>
      <c r="L216" s="245"/>
      <c r="M216" s="245"/>
      <c r="N216" s="245"/>
    </row>
    <row r="217" spans="5:18" x14ac:dyDescent="0.2">
      <c r="E217" s="204" t="s">
        <v>543</v>
      </c>
      <c r="F217" s="252">
        <v>8913973.1401357558</v>
      </c>
      <c r="H217" s="252">
        <f t="shared" si="59"/>
        <v>8753719.7068998404</v>
      </c>
      <c r="J217" s="252">
        <f t="shared" si="60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9"/>
        <v>110709.21660288009</v>
      </c>
      <c r="J218" s="252">
        <f t="shared" si="60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9"/>
        <v>25394.240916408646</v>
      </c>
      <c r="I219" s="171" t="s">
        <v>474</v>
      </c>
      <c r="J219" s="252">
        <f t="shared" si="60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9"/>
        <v>8753719.7068998404</v>
      </c>
      <c r="J220" s="252">
        <f t="shared" si="60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9"/>
        <v>1134222788.7118721</v>
      </c>
      <c r="J221" s="252">
        <f t="shared" si="60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9"/>
        <v>12782725.044967873</v>
      </c>
      <c r="J222" s="252">
        <f t="shared" si="60"/>
        <v>-2253420.7981867772</v>
      </c>
    </row>
    <row r="223" spans="5:18" x14ac:dyDescent="0.2">
      <c r="E223" s="204" t="s">
        <v>672</v>
      </c>
      <c r="F223" s="252">
        <v>5985507.580323359</v>
      </c>
      <c r="H223" s="252">
        <f t="shared" si="59"/>
        <v>5944558.1059355522</v>
      </c>
      <c r="J223" s="252">
        <f t="shared" si="60"/>
        <v>40949.47438780684</v>
      </c>
    </row>
    <row r="224" spans="5:18" x14ac:dyDescent="0.2">
      <c r="E224" s="204" t="s">
        <v>675</v>
      </c>
      <c r="F224" s="252">
        <v>5944558.1059355522</v>
      </c>
      <c r="H224" s="252">
        <f t="shared" si="59"/>
        <v>5944558.1059355522</v>
      </c>
      <c r="J224" s="252">
        <f t="shared" si="60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9"/>
        <v>7072531.8830895294</v>
      </c>
      <c r="J225" s="252">
        <f t="shared" si="60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9"/>
        <v>4658482.6242223633</v>
      </c>
      <c r="J226" s="252">
        <f t="shared" si="60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65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588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675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554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555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556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567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583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4" t="s">
        <v>580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6"/>
      <c r="BK37" s="394" t="s">
        <v>581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576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577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 t="shared" ref="BC63:BC69" si="45">BC103</f>
        <v>0</v>
      </c>
      <c r="BD63" s="284">
        <f t="shared" ref="BD63:BE63" si="46">BD103</f>
        <v>111.00813284002646</v>
      </c>
      <c r="BE63" s="284">
        <f t="shared" si="46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7">AY104</f>
        <v>0</v>
      </c>
      <c r="AZ64" s="284">
        <f t="shared" si="47"/>
        <v>0</v>
      </c>
      <c r="BA64" s="284">
        <f t="shared" si="47"/>
        <v>0</v>
      </c>
      <c r="BB64" s="284">
        <f t="shared" si="47"/>
        <v>0</v>
      </c>
      <c r="BC64" s="284">
        <f t="shared" si="45"/>
        <v>0</v>
      </c>
      <c r="BD64" s="284">
        <f t="shared" ref="BD64:BE64" si="48">BD104</f>
        <v>0</v>
      </c>
      <c r="BE64" s="284">
        <f t="shared" si="48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9">AY105</f>
        <v>0</v>
      </c>
      <c r="AZ65" s="284">
        <f t="shared" si="49"/>
        <v>0</v>
      </c>
      <c r="BA65" s="284">
        <f t="shared" si="49"/>
        <v>0</v>
      </c>
      <c r="BB65" s="284">
        <f t="shared" si="49"/>
        <v>0</v>
      </c>
      <c r="BC65" s="284">
        <f t="shared" si="45"/>
        <v>0</v>
      </c>
      <c r="BD65" s="284">
        <f t="shared" ref="BD65:BE65" si="50">BD105</f>
        <v>0</v>
      </c>
      <c r="BE65" s="284">
        <f t="shared" si="50"/>
        <v>0</v>
      </c>
    </row>
    <row r="66" spans="32:64" x14ac:dyDescent="0.2">
      <c r="AP66" s="206" t="s">
        <v>632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1">AX106</f>
        <v>0</v>
      </c>
      <c r="AY66" s="284">
        <f t="shared" si="51"/>
        <v>0</v>
      </c>
      <c r="AZ66" s="284">
        <f t="shared" si="51"/>
        <v>0</v>
      </c>
      <c r="BA66" s="284">
        <f t="shared" si="51"/>
        <v>0</v>
      </c>
      <c r="BB66" s="284">
        <f t="shared" si="51"/>
        <v>0</v>
      </c>
      <c r="BC66" s="284">
        <f t="shared" si="45"/>
        <v>0</v>
      </c>
      <c r="BD66" s="284">
        <f t="shared" ref="BD66:BE66" si="52">BD106</f>
        <v>198.80764502323905</v>
      </c>
      <c r="BE66" s="284">
        <f t="shared" si="52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3">AX107</f>
        <v>0</v>
      </c>
      <c r="AY67" s="284">
        <f t="shared" si="53"/>
        <v>0</v>
      </c>
      <c r="AZ67" s="284">
        <f t="shared" si="53"/>
        <v>0</v>
      </c>
      <c r="BA67" s="284">
        <f t="shared" si="53"/>
        <v>0</v>
      </c>
      <c r="BB67" s="284">
        <f t="shared" si="53"/>
        <v>69.582675758133661</v>
      </c>
      <c r="BC67" s="284">
        <f t="shared" si="45"/>
        <v>0</v>
      </c>
      <c r="BD67" s="284">
        <f t="shared" ref="BD67:BE67" si="54">BD107</f>
        <v>0</v>
      </c>
      <c r="BE67" s="284">
        <f t="shared" si="54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5">AX108</f>
        <v>0</v>
      </c>
      <c r="AY68" s="284">
        <f t="shared" si="55"/>
        <v>0</v>
      </c>
      <c r="AZ68" s="284">
        <f t="shared" si="55"/>
        <v>0</v>
      </c>
      <c r="BA68" s="284">
        <f t="shared" si="55"/>
        <v>0</v>
      </c>
      <c r="BB68" s="284">
        <f t="shared" si="55"/>
        <v>0</v>
      </c>
      <c r="BC68" s="284">
        <f t="shared" si="45"/>
        <v>0</v>
      </c>
      <c r="BD68" s="284">
        <f t="shared" ref="BD68:BE68" si="56">BD108</f>
        <v>0</v>
      </c>
      <c r="BE68" s="284">
        <f t="shared" si="56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7">AX109</f>
        <v>0</v>
      </c>
      <c r="AY69" s="284">
        <f t="shared" si="57"/>
        <v>0</v>
      </c>
      <c r="AZ69" s="284">
        <f t="shared" si="57"/>
        <v>0</v>
      </c>
      <c r="BA69" s="284">
        <f t="shared" si="57"/>
        <v>0</v>
      </c>
      <c r="BB69" s="284">
        <f t="shared" si="57"/>
        <v>0</v>
      </c>
      <c r="BC69" s="284">
        <f t="shared" si="45"/>
        <v>0</v>
      </c>
      <c r="BD69" s="284">
        <f t="shared" ref="BD69:BE69" si="58">BD109</f>
        <v>0</v>
      </c>
      <c r="BE69" s="284">
        <f t="shared" si="58"/>
        <v>0</v>
      </c>
    </row>
    <row r="70" spans="32:64" x14ac:dyDescent="0.2">
      <c r="AP70" s="206" t="s">
        <v>673</v>
      </c>
      <c r="AQ70" s="284">
        <f>AQ110</f>
        <v>0</v>
      </c>
      <c r="AR70" s="284">
        <f t="shared" ref="AR70:BB70" si="59">AR110</f>
        <v>0</v>
      </c>
      <c r="AS70" s="284">
        <f t="shared" si="59"/>
        <v>0</v>
      </c>
      <c r="AT70" s="284">
        <f t="shared" si="59"/>
        <v>0</v>
      </c>
      <c r="AU70" s="284">
        <f t="shared" si="59"/>
        <v>0</v>
      </c>
      <c r="AV70" s="284">
        <f t="shared" si="59"/>
        <v>0</v>
      </c>
      <c r="AW70" s="284">
        <f t="shared" si="59"/>
        <v>0</v>
      </c>
      <c r="AX70" s="284">
        <f t="shared" si="59"/>
        <v>0</v>
      </c>
      <c r="AY70" s="284">
        <f t="shared" si="59"/>
        <v>0</v>
      </c>
      <c r="AZ70" s="284">
        <f t="shared" si="59"/>
        <v>0</v>
      </c>
      <c r="BA70" s="284">
        <f t="shared" si="59"/>
        <v>0</v>
      </c>
      <c r="BB70" s="284">
        <f t="shared" si="59"/>
        <v>0</v>
      </c>
      <c r="BC70" s="284"/>
      <c r="BD70" s="284">
        <f t="shared" ref="BD70:BE70" si="60">BD110</f>
        <v>0</v>
      </c>
      <c r="BE70" s="284">
        <f t="shared" si="60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1">AX111</f>
        <v>0</v>
      </c>
      <c r="AY71" s="284">
        <f t="shared" si="61"/>
        <v>0</v>
      </c>
      <c r="AZ71" s="284">
        <f t="shared" si="61"/>
        <v>0</v>
      </c>
      <c r="BA71" s="284">
        <f t="shared" si="61"/>
        <v>10.437401363720047</v>
      </c>
      <c r="BB71" s="284">
        <f t="shared" si="61"/>
        <v>0</v>
      </c>
      <c r="BC71" s="284">
        <f t="shared" ref="BC71" si="62">BC110</f>
        <v>69.582675758133661</v>
      </c>
      <c r="BD71" s="284">
        <f t="shared" ref="BD71:BE71" si="63">BD111</f>
        <v>0</v>
      </c>
      <c r="BE71" s="284">
        <f t="shared" si="63"/>
        <v>48.707873030693563</v>
      </c>
    </row>
    <row r="72" spans="32:64" x14ac:dyDescent="0.2">
      <c r="AP72" s="206" t="s">
        <v>554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4">AX112</f>
        <v>0</v>
      </c>
      <c r="AY72" s="284">
        <f t="shared" si="64"/>
        <v>0</v>
      </c>
      <c r="AZ72" s="284">
        <f t="shared" si="64"/>
        <v>0</v>
      </c>
      <c r="BA72" s="284">
        <f t="shared" si="64"/>
        <v>0</v>
      </c>
      <c r="BB72" s="284">
        <f t="shared" si="64"/>
        <v>0</v>
      </c>
      <c r="BC72" s="284">
        <f t="shared" ref="BC72" si="65">BC111</f>
        <v>0</v>
      </c>
      <c r="BD72" s="284">
        <f t="shared" ref="BD72:BE72" si="66">BD112</f>
        <v>0</v>
      </c>
      <c r="BE72" s="284">
        <f t="shared" si="66"/>
        <v>1309.8157778632656</v>
      </c>
    </row>
    <row r="73" spans="32:64" x14ac:dyDescent="0.2">
      <c r="AP73" s="206" t="s">
        <v>555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7">AX113</f>
        <v>0</v>
      </c>
      <c r="AY73" s="284">
        <f t="shared" si="67"/>
        <v>0</v>
      </c>
      <c r="AZ73" s="284">
        <f t="shared" si="67"/>
        <v>0</v>
      </c>
      <c r="BA73" s="284">
        <f t="shared" si="67"/>
        <v>0</v>
      </c>
      <c r="BB73" s="284">
        <f t="shared" si="67"/>
        <v>0</v>
      </c>
      <c r="BC73" s="284">
        <f t="shared" ref="BC73" si="68">BC112</f>
        <v>0</v>
      </c>
      <c r="BD73" s="284">
        <f t="shared" ref="BD73:BE73" si="69">BD113</f>
        <v>0</v>
      </c>
      <c r="BE73" s="284">
        <f t="shared" si="69"/>
        <v>0</v>
      </c>
    </row>
    <row r="74" spans="32:64" x14ac:dyDescent="0.2">
      <c r="AP74" s="206" t="s">
        <v>556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70">AX114</f>
        <v>0</v>
      </c>
      <c r="AY74" s="284">
        <f t="shared" si="70"/>
        <v>0</v>
      </c>
      <c r="AZ74" s="284">
        <f t="shared" si="70"/>
        <v>0</v>
      </c>
      <c r="BA74" s="284">
        <f t="shared" si="70"/>
        <v>0</v>
      </c>
      <c r="BB74" s="284">
        <f t="shared" si="70"/>
        <v>0</v>
      </c>
      <c r="BC74" s="284">
        <f t="shared" ref="BC74" si="71">BC113</f>
        <v>0</v>
      </c>
      <c r="BD74" s="284">
        <f t="shared" ref="BD74:BE74" si="72">BD114</f>
        <v>0</v>
      </c>
      <c r="BE74" s="284">
        <f t="shared" si="72"/>
        <v>0</v>
      </c>
    </row>
    <row r="75" spans="32:64" x14ac:dyDescent="0.2">
      <c r="AP75" s="206" t="s">
        <v>567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3">AX115</f>
        <v>0</v>
      </c>
      <c r="AY75" s="284">
        <f t="shared" si="73"/>
        <v>0</v>
      </c>
      <c r="AZ75" s="284">
        <f t="shared" si="73"/>
        <v>0</v>
      </c>
      <c r="BA75" s="284">
        <f t="shared" si="73"/>
        <v>0</v>
      </c>
      <c r="BB75" s="284">
        <f t="shared" si="73"/>
        <v>0</v>
      </c>
      <c r="BC75" s="284">
        <f t="shared" ref="BC75" si="74">BC114</f>
        <v>0</v>
      </c>
      <c r="BD75" s="284">
        <f t="shared" ref="BD75:BE75" si="75">BD115</f>
        <v>0</v>
      </c>
      <c r="BE75" s="284">
        <f t="shared" si="75"/>
        <v>0</v>
      </c>
    </row>
    <row r="76" spans="32:64" x14ac:dyDescent="0.2">
      <c r="AP76" s="206"/>
      <c r="AQ76" s="394" t="s">
        <v>582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 t="shared" ref="BF81:BF115" si="76"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 t="shared" si="76"/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si="76"/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 t="shared" si="76"/>
        <v>4638.4074713301452</v>
      </c>
      <c r="BJ84" s="204" t="s">
        <v>447</v>
      </c>
      <c r="BK84" s="244"/>
      <c r="BL84" s="244"/>
      <c r="BM84" s="252">
        <f t="shared" ref="BM84:BM88" si="77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 t="shared" si="76"/>
        <v>20860.054673363149</v>
      </c>
      <c r="BJ85" s="204" t="s">
        <v>477</v>
      </c>
      <c r="BK85" s="244"/>
      <c r="BL85" s="244"/>
      <c r="BM85" s="252">
        <f t="shared" si="77"/>
        <v>0</v>
      </c>
    </row>
    <row r="86" spans="32:70" x14ac:dyDescent="0.2">
      <c r="AF86" s="204"/>
      <c r="AG86" s="204"/>
      <c r="AP86" s="204" t="s">
        <v>576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76"/>
        <v>2.5674157567104707</v>
      </c>
      <c r="BJ86" s="204" t="s">
        <v>576</v>
      </c>
      <c r="BK86" s="244"/>
      <c r="BL86" s="244"/>
      <c r="BM86" s="252">
        <f t="shared" si="77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76"/>
        <v>5.1714158616864253E-4</v>
      </c>
      <c r="BJ87" s="204" t="s">
        <v>577</v>
      </c>
      <c r="BK87" s="244"/>
      <c r="BL87" s="244"/>
      <c r="BM87" s="252">
        <f t="shared" si="77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 t="shared" si="76"/>
        <v>4.8979947555174279</v>
      </c>
      <c r="BJ88" s="204" t="s">
        <v>519</v>
      </c>
      <c r="BK88" s="244"/>
      <c r="BL88" s="244"/>
      <c r="BM88" s="252">
        <f t="shared" si="77"/>
        <v>0</v>
      </c>
    </row>
    <row r="89" spans="32:70" x14ac:dyDescent="0.2">
      <c r="AF89" s="246"/>
      <c r="AG89" s="246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76"/>
        <v>0</v>
      </c>
      <c r="BJ89" s="204" t="s">
        <v>569</v>
      </c>
      <c r="BK89" s="244"/>
      <c r="BL89" s="244"/>
      <c r="BM89" s="252">
        <f t="shared" ref="BM89:BM95" si="78">SUM(BK89:BL89)</f>
        <v>0</v>
      </c>
    </row>
    <row r="90" spans="32:70" ht="16" x14ac:dyDescent="0.2">
      <c r="AF90" s="205"/>
      <c r="AG90" s="205"/>
      <c r="AP90" s="205" t="s">
        <v>551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76"/>
        <v>1011.7674660019052</v>
      </c>
      <c r="BJ90" s="205" t="s">
        <v>551</v>
      </c>
      <c r="BK90" s="244"/>
      <c r="BL90" s="244"/>
      <c r="BM90" s="252">
        <f t="shared" si="78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76"/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8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76"/>
        <v>208.55560337725498</v>
      </c>
      <c r="BJ92" s="205" t="s">
        <v>520</v>
      </c>
      <c r="BK92" s="244"/>
      <c r="BL92" s="248"/>
      <c r="BM92" s="252">
        <f t="shared" si="78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76"/>
        <v>0</v>
      </c>
      <c r="BJ93" s="204" t="s">
        <v>546</v>
      </c>
      <c r="BK93" s="244"/>
      <c r="BL93" s="244">
        <f>'Ore-&gt;PI'!AO142</f>
        <v>9.658257192857822E-2</v>
      </c>
      <c r="BM93" s="252">
        <f t="shared" si="78"/>
        <v>9.658257192857822E-2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76"/>
        <v>286.88405520213911</v>
      </c>
      <c r="BJ94" s="206" t="s">
        <v>538</v>
      </c>
      <c r="BK94" s="244"/>
      <c r="BL94" s="244"/>
      <c r="BM94" s="252">
        <f t="shared" si="78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76"/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8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76"/>
        <v>1011.7674660019052</v>
      </c>
      <c r="BJ96" s="205" t="s">
        <v>550</v>
      </c>
      <c r="BK96" s="244"/>
      <c r="BL96" s="244"/>
      <c r="BM96" s="252">
        <f t="shared" ref="BM96:BM115" si="79">SUM(BK96:BL96)</f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 t="shared" si="76"/>
        <v>208.55560337725498</v>
      </c>
      <c r="BJ97" s="205" t="s">
        <v>545</v>
      </c>
      <c r="BK97" s="244"/>
      <c r="BL97" s="244"/>
      <c r="BM97" s="252">
        <f t="shared" si="79"/>
        <v>0</v>
      </c>
    </row>
    <row r="98" spans="32:65" ht="16" x14ac:dyDescent="0.2">
      <c r="AF98" s="253"/>
      <c r="AG98" s="253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 t="shared" si="76"/>
        <v>286.88405520213911</v>
      </c>
      <c r="BJ98" s="205" t="s">
        <v>542</v>
      </c>
      <c r="BK98" s="244"/>
      <c r="BL98" s="244"/>
      <c r="BM98" s="252">
        <f t="shared" si="79"/>
        <v>0</v>
      </c>
    </row>
    <row r="99" spans="32:65" ht="16" x14ac:dyDescent="0.2">
      <c r="AF99" s="206"/>
      <c r="AG99" s="206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 t="shared" si="76"/>
        <v>1000.0000000000001</v>
      </c>
      <c r="BG99" s="25"/>
      <c r="BH99" s="25"/>
      <c r="BJ99" s="205" t="s">
        <v>548</v>
      </c>
      <c r="BK99" s="244"/>
      <c r="BL99" s="244"/>
      <c r="BM99" s="252">
        <f t="shared" si="79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76"/>
        <v>0</v>
      </c>
      <c r="BJ100" s="206" t="s">
        <v>547</v>
      </c>
      <c r="BK100" s="244"/>
      <c r="BL100" s="244">
        <f>Beneficiation_Iron_waste</f>
        <v>11.767466001905108</v>
      </c>
      <c r="BM100" s="252">
        <f t="shared" si="79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 t="shared" si="76"/>
        <v>208.55560337725498</v>
      </c>
      <c r="BJ101" s="206" t="s">
        <v>532</v>
      </c>
      <c r="BK101" s="244"/>
      <c r="BL101" s="244"/>
      <c r="BM101" s="252">
        <f t="shared" si="79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 t="shared" si="76"/>
        <v>286.88405520213911</v>
      </c>
      <c r="BJ102" s="206" t="s">
        <v>566</v>
      </c>
      <c r="BK102" s="244"/>
      <c r="BL102" s="244"/>
      <c r="BM102" s="252">
        <f t="shared" si="79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 t="shared" si="76"/>
        <v>111.00813284002646</v>
      </c>
      <c r="BJ103" s="206" t="s">
        <v>533</v>
      </c>
      <c r="BK103" s="244"/>
      <c r="BL103" s="244"/>
      <c r="BM103" s="252">
        <f t="shared" si="79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76"/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9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76"/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9"/>
        <v>22064.067709118775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 t="shared" si="76"/>
        <v>198.80764502323905</v>
      </c>
      <c r="BJ106" s="206" t="s">
        <v>632</v>
      </c>
      <c r="BK106" s="244"/>
      <c r="BL106" s="244"/>
      <c r="BM106" s="252">
        <f t="shared" si="79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 t="shared" si="76"/>
        <v>69.582675758133661</v>
      </c>
      <c r="BJ107" s="253" t="s">
        <v>530</v>
      </c>
      <c r="BK107" s="244"/>
      <c r="BL107" s="244"/>
      <c r="BM107" s="252">
        <f t="shared" si="79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76"/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9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76"/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9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 t="shared" si="76"/>
        <v>69.582675758133661</v>
      </c>
      <c r="BJ110" s="206" t="s">
        <v>673</v>
      </c>
      <c r="BK110" s="244"/>
      <c r="BL110" s="244"/>
      <c r="BM110" s="252">
        <f t="shared" si="79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 t="shared" si="76"/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9"/>
        <v>10.437401363720047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 t="shared" si="76"/>
        <v>1309.8157778632656</v>
      </c>
      <c r="BJ112" s="206" t="s">
        <v>554</v>
      </c>
      <c r="BK112" s="244"/>
      <c r="BL112" s="244"/>
      <c r="BM112" s="252">
        <f t="shared" si="79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76"/>
        <v>0</v>
      </c>
      <c r="BJ113" s="206" t="s">
        <v>555</v>
      </c>
      <c r="BK113" s="244">
        <f>'Ore-&gt;PI'!FL126</f>
        <v>616.23583583508366</v>
      </c>
      <c r="BL113" s="244"/>
      <c r="BM113" s="252">
        <f t="shared" si="79"/>
        <v>616.23583583508366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76"/>
        <v>0</v>
      </c>
      <c r="BJ114" s="206" t="s">
        <v>556</v>
      </c>
      <c r="BK114" s="244"/>
      <c r="BL114" s="244">
        <f>'Ore-&gt;PI'!FL141</f>
        <v>3432.8541806261665</v>
      </c>
      <c r="BM114" s="252">
        <f t="shared" si="79"/>
        <v>3432.8541806261665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76"/>
        <v>0</v>
      </c>
      <c r="BJ115" s="206" t="s">
        <v>567</v>
      </c>
      <c r="BK115" s="244"/>
      <c r="BL115" s="244">
        <f>BF_SolidWaste</f>
        <v>229.94813284002646</v>
      </c>
      <c r="BM115" s="252">
        <f t="shared" si="79"/>
        <v>229.94813284002646</v>
      </c>
    </row>
    <row r="116" spans="2:65" x14ac:dyDescent="0.2">
      <c r="AF116" s="206"/>
      <c r="AG116" s="206"/>
      <c r="AP116" s="206"/>
      <c r="AQ116" s="394" t="s">
        <v>418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469</v>
      </c>
      <c r="BK116" s="394" t="s">
        <v>420</v>
      </c>
      <c r="BL116" s="394"/>
      <c r="BM116" s="25" t="s">
        <v>484</v>
      </c>
    </row>
    <row r="117" spans="2:65" x14ac:dyDescent="0.2">
      <c r="AF117" s="206"/>
      <c r="AG117" s="206"/>
      <c r="AP117" s="206"/>
      <c r="AQ117" s="252">
        <f t="shared" ref="AQ117:BE117" si="80">SUM(AQ81:AQ115)</f>
        <v>1043.9873925509492</v>
      </c>
      <c r="AR117" s="252">
        <f t="shared" si="80"/>
        <v>208.65218594918355</v>
      </c>
      <c r="AS117" s="252">
        <f t="shared" si="80"/>
        <v>294.54780251398768</v>
      </c>
      <c r="AT117" s="252">
        <f t="shared" si="80"/>
        <v>1011.7674660019052</v>
      </c>
      <c r="AU117" s="252">
        <f t="shared" si="80"/>
        <v>208.55560337725498</v>
      </c>
      <c r="AV117" s="252">
        <f t="shared" si="80"/>
        <v>286.88405520213911</v>
      </c>
      <c r="AW117" s="252">
        <f t="shared" si="80"/>
        <v>1011.7674660019052</v>
      </c>
      <c r="AX117" s="252">
        <f t="shared" si="80"/>
        <v>208.55560337725498</v>
      </c>
      <c r="AY117" s="252">
        <f t="shared" si="80"/>
        <v>286.88405520213911</v>
      </c>
      <c r="AZ117" s="252">
        <f t="shared" si="80"/>
        <v>22180.060594503899</v>
      </c>
      <c r="BA117" s="252">
        <f t="shared" si="80"/>
        <v>871.24978294618404</v>
      </c>
      <c r="BB117" s="252">
        <f t="shared" si="80"/>
        <v>69.582675758133661</v>
      </c>
      <c r="BC117" s="252">
        <f t="shared" si="80"/>
        <v>69.582675758133661</v>
      </c>
      <c r="BD117" s="252">
        <f t="shared" si="80"/>
        <v>1309.8157778632656</v>
      </c>
      <c r="BE117" s="252">
        <f t="shared" si="80"/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4" t="s">
        <v>468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25"/>
      <c r="BK118" s="25"/>
      <c r="BL118" s="25"/>
      <c r="BM118" s="25"/>
    </row>
    <row r="119" spans="2:65" ht="13" customHeight="1" x14ac:dyDescent="0.2">
      <c r="C119" s="395"/>
      <c r="D119" s="395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576</v>
      </c>
      <c r="J120" s="207" t="s">
        <v>577</v>
      </c>
      <c r="K120" s="207" t="s">
        <v>569</v>
      </c>
      <c r="L120" s="209" t="s">
        <v>551</v>
      </c>
      <c r="M120" s="207" t="s">
        <v>517</v>
      </c>
      <c r="N120" s="209" t="s">
        <v>520</v>
      </c>
      <c r="O120" s="207" t="s">
        <v>546</v>
      </c>
      <c r="P120" s="210" t="s">
        <v>538</v>
      </c>
      <c r="Q120" s="207" t="s">
        <v>524</v>
      </c>
      <c r="R120" s="209" t="s">
        <v>550</v>
      </c>
      <c r="S120" s="209" t="s">
        <v>545</v>
      </c>
      <c r="T120" s="209" t="s">
        <v>542</v>
      </c>
      <c r="U120" s="209" t="s">
        <v>548</v>
      </c>
      <c r="V120" s="210" t="s">
        <v>547</v>
      </c>
      <c r="W120" s="210" t="s">
        <v>532</v>
      </c>
      <c r="X120" s="210" t="s">
        <v>566</v>
      </c>
      <c r="Y120" s="210" t="s">
        <v>533</v>
      </c>
      <c r="Z120" s="210" t="s">
        <v>535</v>
      </c>
      <c r="AA120" s="210" t="s">
        <v>534</v>
      </c>
      <c r="AB120" s="210" t="s">
        <v>632</v>
      </c>
      <c r="AC120" s="232" t="s">
        <v>530</v>
      </c>
      <c r="AD120" s="210" t="s">
        <v>529</v>
      </c>
      <c r="AE120" s="207" t="s">
        <v>531</v>
      </c>
      <c r="AF120" s="210" t="s">
        <v>673</v>
      </c>
      <c r="AG120" s="210" t="s">
        <v>676</v>
      </c>
      <c r="AH120" s="210" t="s">
        <v>554</v>
      </c>
      <c r="AI120" s="210" t="s">
        <v>555</v>
      </c>
      <c r="AJ120" s="210" t="s">
        <v>556</v>
      </c>
      <c r="AK120" s="210" t="s">
        <v>567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81">SUM(C123:AK123)</f>
        <v>294.54780251398768</v>
      </c>
    </row>
    <row r="124" spans="2:65" x14ac:dyDescent="0.2">
      <c r="B124" s="204" t="s">
        <v>565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81"/>
        <v>1011.7674660019052</v>
      </c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81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81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81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81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672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81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81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81"/>
        <v>4279.0381493012765</v>
      </c>
    </row>
    <row r="136" spans="2:64" x14ac:dyDescent="0.2">
      <c r="B136" s="204"/>
      <c r="C136" s="394" t="s">
        <v>419</v>
      </c>
      <c r="D136" s="394"/>
      <c r="E136" s="394"/>
      <c r="F136" s="394"/>
      <c r="G136" s="394"/>
      <c r="H136" s="394"/>
      <c r="I136" s="394"/>
      <c r="J136" s="394"/>
      <c r="K136" s="394"/>
      <c r="L136" s="394"/>
      <c r="M136" s="394"/>
      <c r="N136" s="394"/>
      <c r="O136" s="394"/>
      <c r="P136" s="394"/>
      <c r="Q136" s="394"/>
      <c r="R136" s="394"/>
      <c r="S136" s="394"/>
      <c r="T136" s="394"/>
      <c r="U136" s="394"/>
      <c r="V136" s="394"/>
      <c r="W136" s="394"/>
      <c r="X136" s="394"/>
      <c r="Y136" s="394"/>
      <c r="Z136" s="394"/>
      <c r="AA136" s="394"/>
      <c r="AB136" s="394"/>
      <c r="AC136" s="394"/>
      <c r="AD136" s="394"/>
      <c r="AE136" s="394"/>
      <c r="AF136" s="394"/>
      <c r="AG136" s="394"/>
      <c r="AH136" s="394"/>
      <c r="AI136" s="394"/>
      <c r="AJ136" s="394"/>
      <c r="AK136" s="394"/>
      <c r="AL136" s="25" t="s">
        <v>465</v>
      </c>
      <c r="AM136" s="25"/>
    </row>
    <row r="137" spans="2:64" x14ac:dyDescent="0.2">
      <c r="B137" s="204"/>
      <c r="C137" s="252">
        <f t="shared" ref="C137:AK137" si="82">SUM(C121:C135)</f>
        <v>0</v>
      </c>
      <c r="D137" s="252">
        <f t="shared" si="82"/>
        <v>0</v>
      </c>
      <c r="E137" s="252">
        <f t="shared" si="82"/>
        <v>0</v>
      </c>
      <c r="F137" s="252">
        <f t="shared" si="82"/>
        <v>0</v>
      </c>
      <c r="G137" s="252">
        <f t="shared" si="82"/>
        <v>0</v>
      </c>
      <c r="H137" s="252">
        <f t="shared" si="82"/>
        <v>0</v>
      </c>
      <c r="I137" s="252">
        <f t="shared" si="82"/>
        <v>0</v>
      </c>
      <c r="J137" s="252">
        <f t="shared" si="82"/>
        <v>0</v>
      </c>
      <c r="K137" s="252">
        <f t="shared" si="82"/>
        <v>0</v>
      </c>
      <c r="L137" s="252">
        <f t="shared" si="82"/>
        <v>1011.7674660019052</v>
      </c>
      <c r="M137" s="252">
        <f t="shared" si="82"/>
        <v>32.219926549044033</v>
      </c>
      <c r="N137" s="252">
        <f t="shared" si="82"/>
        <v>208.55560337725498</v>
      </c>
      <c r="O137" s="252">
        <f t="shared" si="82"/>
        <v>9.658257192857822E-2</v>
      </c>
      <c r="P137" s="252">
        <f t="shared" si="82"/>
        <v>286.88405520213911</v>
      </c>
      <c r="Q137" s="252">
        <f t="shared" si="82"/>
        <v>7.6637473118485584</v>
      </c>
      <c r="R137" s="252">
        <f t="shared" si="82"/>
        <v>1011.7674660019052</v>
      </c>
      <c r="S137" s="252">
        <f t="shared" si="82"/>
        <v>208.55560337725498</v>
      </c>
      <c r="T137" s="252">
        <f t="shared" si="82"/>
        <v>286.88405520213911</v>
      </c>
      <c r="U137" s="252">
        <f t="shared" si="82"/>
        <v>1000.0000000000001</v>
      </c>
      <c r="V137" s="252">
        <f t="shared" si="82"/>
        <v>11.767466001905108</v>
      </c>
      <c r="W137" s="252">
        <f t="shared" si="82"/>
        <v>208.55560337725498</v>
      </c>
      <c r="X137" s="252">
        <f t="shared" si="82"/>
        <v>286.88405520213911</v>
      </c>
      <c r="Y137" s="252">
        <f t="shared" si="82"/>
        <v>111.00813284002646</v>
      </c>
      <c r="Z137" s="252">
        <f t="shared" si="82"/>
        <v>4.9847525450981189</v>
      </c>
      <c r="AA137" s="252">
        <f t="shared" si="82"/>
        <v>22064.067709118775</v>
      </c>
      <c r="AB137" s="252">
        <f t="shared" si="82"/>
        <v>198.80764502323905</v>
      </c>
      <c r="AC137" s="252">
        <f t="shared" si="82"/>
        <v>69.582675758133661</v>
      </c>
      <c r="AD137" s="252">
        <f t="shared" si="82"/>
        <v>18.493734420766422</v>
      </c>
      <c r="AE137" s="252">
        <f t="shared" si="82"/>
        <v>584.3657277440451</v>
      </c>
      <c r="AF137" s="252">
        <f t="shared" si="82"/>
        <v>69.582675758133661</v>
      </c>
      <c r="AG137" s="252">
        <f t="shared" si="82"/>
        <v>69.582675758133661</v>
      </c>
      <c r="AH137" s="252">
        <f t="shared" si="82"/>
        <v>1309.8157778632656</v>
      </c>
      <c r="AI137" s="252">
        <f t="shared" si="82"/>
        <v>616.23583583508366</v>
      </c>
      <c r="AJ137" s="252">
        <f t="shared" si="82"/>
        <v>3432.8541806261665</v>
      </c>
      <c r="AK137" s="252">
        <f t="shared" si="82"/>
        <v>229.94813284002646</v>
      </c>
    </row>
    <row r="138" spans="2:64" x14ac:dyDescent="0.2">
      <c r="B138" s="204"/>
      <c r="C138" s="394" t="s">
        <v>466</v>
      </c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576</v>
      </c>
      <c r="J149" s="207" t="s">
        <v>577</v>
      </c>
      <c r="K149" s="207" t="s">
        <v>569</v>
      </c>
      <c r="L149" s="209" t="s">
        <v>551</v>
      </c>
      <c r="M149" s="207" t="s">
        <v>517</v>
      </c>
      <c r="N149" s="209" t="s">
        <v>520</v>
      </c>
      <c r="O149" s="207" t="s">
        <v>546</v>
      </c>
      <c r="P149" s="210" t="s">
        <v>538</v>
      </c>
      <c r="Q149" s="207" t="s">
        <v>524</v>
      </c>
      <c r="R149" s="209" t="s">
        <v>550</v>
      </c>
      <c r="S149" s="209" t="s">
        <v>545</v>
      </c>
      <c r="T149" s="209" t="s">
        <v>542</v>
      </c>
      <c r="U149" s="209" t="s">
        <v>548</v>
      </c>
      <c r="V149" s="210" t="s">
        <v>547</v>
      </c>
      <c r="W149" s="210" t="s">
        <v>532</v>
      </c>
      <c r="X149" s="210" t="s">
        <v>566</v>
      </c>
      <c r="Y149" s="210" t="s">
        <v>533</v>
      </c>
      <c r="Z149" s="210" t="s">
        <v>535</v>
      </c>
      <c r="AA149" s="210" t="s">
        <v>534</v>
      </c>
      <c r="AB149" s="210" t="s">
        <v>632</v>
      </c>
      <c r="AC149" s="232" t="s">
        <v>530</v>
      </c>
      <c r="AD149" s="210" t="s">
        <v>529</v>
      </c>
      <c r="AE149" s="207" t="s">
        <v>531</v>
      </c>
      <c r="AF149" s="210" t="s">
        <v>673</v>
      </c>
      <c r="AG149" s="210" t="s">
        <v>676</v>
      </c>
      <c r="AH149" s="210" t="s">
        <v>554</v>
      </c>
      <c r="AI149" s="210" t="s">
        <v>555</v>
      </c>
      <c r="AJ149" s="210" t="s">
        <v>556</v>
      </c>
      <c r="AK149" s="210" t="s">
        <v>567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578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568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4" t="s">
        <v>57</v>
      </c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4"/>
      <c r="W159" s="394"/>
      <c r="X159" s="394"/>
      <c r="Y159" s="394"/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394"/>
      <c r="AJ159" s="394"/>
      <c r="AK159" s="394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D160:AK160" si="83">SUM(D150:D158)</f>
        <v>208.55560337725498</v>
      </c>
      <c r="E160" s="252">
        <f t="shared" si="83"/>
        <v>286.88405520213911</v>
      </c>
      <c r="F160" s="252">
        <f t="shared" si="83"/>
        <v>4638.4074713301461</v>
      </c>
      <c r="G160" s="252">
        <f t="shared" si="83"/>
        <v>20860.054673363149</v>
      </c>
      <c r="H160" s="252">
        <f t="shared" si="83"/>
        <v>2.5674157567104712</v>
      </c>
      <c r="I160" s="252">
        <f t="shared" si="83"/>
        <v>5.1714158616864253E-4</v>
      </c>
      <c r="J160" s="252">
        <f t="shared" si="83"/>
        <v>4.8979947555174279</v>
      </c>
      <c r="K160" s="252">
        <f t="shared" si="83"/>
        <v>0</v>
      </c>
      <c r="L160" s="252">
        <f t="shared" si="83"/>
        <v>0</v>
      </c>
      <c r="M160" s="252">
        <f t="shared" si="83"/>
        <v>0</v>
      </c>
      <c r="N160" s="252">
        <f t="shared" si="83"/>
        <v>0</v>
      </c>
      <c r="O160" s="252">
        <f t="shared" si="83"/>
        <v>0</v>
      </c>
      <c r="P160" s="252">
        <f t="shared" si="83"/>
        <v>0</v>
      </c>
      <c r="Q160" s="252">
        <f t="shared" si="83"/>
        <v>0</v>
      </c>
      <c r="R160" s="252">
        <f t="shared" si="83"/>
        <v>0</v>
      </c>
      <c r="S160" s="252">
        <f t="shared" si="83"/>
        <v>0</v>
      </c>
      <c r="T160" s="252">
        <f t="shared" si="83"/>
        <v>0</v>
      </c>
      <c r="U160" s="252">
        <f t="shared" si="83"/>
        <v>0</v>
      </c>
      <c r="V160" s="252">
        <f t="shared" si="83"/>
        <v>0</v>
      </c>
      <c r="W160" s="252">
        <f t="shared" si="83"/>
        <v>0</v>
      </c>
      <c r="X160" s="252">
        <f t="shared" si="83"/>
        <v>0</v>
      </c>
      <c r="Y160" s="252">
        <f t="shared" si="83"/>
        <v>0</v>
      </c>
      <c r="Z160" s="252">
        <f t="shared" si="83"/>
        <v>0</v>
      </c>
      <c r="AA160" s="252">
        <f t="shared" si="83"/>
        <v>0</v>
      </c>
      <c r="AB160" s="252">
        <f t="shared" si="83"/>
        <v>0</v>
      </c>
      <c r="AC160" s="252">
        <f t="shared" si="83"/>
        <v>0</v>
      </c>
      <c r="AD160" s="252">
        <f t="shared" si="83"/>
        <v>0</v>
      </c>
      <c r="AE160" s="252">
        <f t="shared" si="83"/>
        <v>0</v>
      </c>
      <c r="AF160" s="252">
        <f t="shared" si="83"/>
        <v>0</v>
      </c>
      <c r="AG160" s="252">
        <f t="shared" si="83"/>
        <v>0</v>
      </c>
      <c r="AH160" s="252">
        <f t="shared" si="83"/>
        <v>0</v>
      </c>
      <c r="AI160" s="252">
        <f t="shared" si="83"/>
        <v>0</v>
      </c>
      <c r="AJ160" s="252">
        <f t="shared" si="83"/>
        <v>0</v>
      </c>
      <c r="AK160" s="252">
        <f t="shared" si="83"/>
        <v>0</v>
      </c>
    </row>
    <row r="161" spans="2:39" x14ac:dyDescent="0.2">
      <c r="C161" s="394" t="s">
        <v>467</v>
      </c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25"/>
      <c r="AM161" s="25"/>
    </row>
    <row r="165" spans="2:39" x14ac:dyDescent="0.2">
      <c r="C165" s="394" t="s">
        <v>464</v>
      </c>
      <c r="D165" s="394"/>
      <c r="E165" s="394"/>
      <c r="F165" s="394"/>
      <c r="G165" s="394"/>
      <c r="H165" s="394"/>
      <c r="I165" s="394"/>
      <c r="J165" s="394"/>
      <c r="K165" s="394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4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4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4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4"/>
        <v>20860.054673363149</v>
      </c>
      <c r="I172" s="252">
        <v>0</v>
      </c>
      <c r="K172" s="299">
        <f t="shared" ref="K172:K187" si="85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4"/>
        <v>2.5674157567104707</v>
      </c>
      <c r="I173" s="252">
        <v>0</v>
      </c>
      <c r="K173" s="299">
        <f t="shared" si="85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4"/>
        <v>5.1714158616864253E-4</v>
      </c>
      <c r="I174" s="252">
        <v>0</v>
      </c>
      <c r="K174" s="299">
        <f t="shared" si="85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4"/>
        <v>4.8979947555174279</v>
      </c>
      <c r="I175" s="252">
        <v>0</v>
      </c>
      <c r="K175" s="299">
        <f t="shared" si="85"/>
        <v>0</v>
      </c>
    </row>
    <row r="176" spans="2:39" x14ac:dyDescent="0.2">
      <c r="B176" s="204" t="s">
        <v>569</v>
      </c>
      <c r="C176" s="252">
        <v>0</v>
      </c>
      <c r="E176" s="252">
        <v>0</v>
      </c>
      <c r="G176" s="252">
        <f t="shared" si="84"/>
        <v>0</v>
      </c>
      <c r="I176" s="252">
        <v>0</v>
      </c>
      <c r="K176" s="299">
        <f t="shared" si="85"/>
        <v>0</v>
      </c>
    </row>
    <row r="177" spans="2:18" ht="16" x14ac:dyDescent="0.2">
      <c r="B177" s="205" t="s">
        <v>551</v>
      </c>
      <c r="C177" s="252">
        <v>0</v>
      </c>
      <c r="E177" s="252">
        <v>1011.7674660019052</v>
      </c>
      <c r="G177" s="252">
        <f t="shared" si="84"/>
        <v>1011.7674660019052</v>
      </c>
      <c r="I177" s="252">
        <v>0</v>
      </c>
      <c r="K177" s="299">
        <f t="shared" si="85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4"/>
        <v>0</v>
      </c>
      <c r="I178" s="252">
        <v>32.219926549044033</v>
      </c>
      <c r="K178" s="299">
        <f t="shared" si="85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4"/>
        <v>208.55560337725498</v>
      </c>
      <c r="I179" s="252">
        <v>0</v>
      </c>
      <c r="K179" s="299">
        <f t="shared" si="85"/>
        <v>0</v>
      </c>
    </row>
    <row r="180" spans="2:18" x14ac:dyDescent="0.2">
      <c r="B180" s="204" t="s">
        <v>546</v>
      </c>
      <c r="C180" s="252">
        <v>0</v>
      </c>
      <c r="E180" s="252">
        <v>9.658257192857822E-2</v>
      </c>
      <c r="G180" s="252">
        <f t="shared" si="84"/>
        <v>0</v>
      </c>
      <c r="I180" s="252">
        <v>9.658257192857822E-2</v>
      </c>
      <c r="K180" s="299">
        <f t="shared" si="85"/>
        <v>0</v>
      </c>
    </row>
    <row r="181" spans="2:18" x14ac:dyDescent="0.2">
      <c r="B181" s="206" t="s">
        <v>538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4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5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4"/>
        <v>0</v>
      </c>
      <c r="I182" s="252">
        <v>7.6637473118485584</v>
      </c>
      <c r="K182" s="299">
        <f t="shared" si="85"/>
        <v>0</v>
      </c>
    </row>
    <row r="183" spans="2:18" ht="16" x14ac:dyDescent="0.2">
      <c r="B183" s="205" t="s">
        <v>550</v>
      </c>
      <c r="C183" s="252">
        <v>0</v>
      </c>
      <c r="E183" s="252">
        <v>1011.7674660019052</v>
      </c>
      <c r="G183" s="252">
        <f t="shared" si="84"/>
        <v>1011.7674660019052</v>
      </c>
      <c r="I183" s="252">
        <v>0</v>
      </c>
      <c r="K183" s="299">
        <f t="shared" si="85"/>
        <v>0</v>
      </c>
    </row>
    <row r="184" spans="2:18" ht="16" x14ac:dyDescent="0.2">
      <c r="B184" s="205" t="s">
        <v>545</v>
      </c>
      <c r="C184" s="252">
        <v>0</v>
      </c>
      <c r="E184" s="252">
        <v>208.55560337725498</v>
      </c>
      <c r="G184" s="252">
        <f t="shared" si="84"/>
        <v>208.55560337725498</v>
      </c>
      <c r="I184" s="252">
        <v>0</v>
      </c>
      <c r="K184" s="299">
        <f t="shared" si="85"/>
        <v>0</v>
      </c>
    </row>
    <row r="185" spans="2:18" ht="16" x14ac:dyDescent="0.2">
      <c r="B185" s="205" t="s">
        <v>542</v>
      </c>
      <c r="C185" s="252">
        <v>0</v>
      </c>
      <c r="E185" s="252">
        <v>286.88405520213911</v>
      </c>
      <c r="G185" s="252">
        <f t="shared" si="84"/>
        <v>286.88405520213911</v>
      </c>
      <c r="I185" s="252">
        <v>0</v>
      </c>
      <c r="K185" s="299">
        <f t="shared" si="85"/>
        <v>0</v>
      </c>
    </row>
    <row r="186" spans="2:18" ht="16" x14ac:dyDescent="0.2">
      <c r="B186" s="205" t="s">
        <v>548</v>
      </c>
      <c r="C186" s="252">
        <v>0</v>
      </c>
      <c r="E186" s="252">
        <v>1000.0000000000001</v>
      </c>
      <c r="G186" s="252">
        <f t="shared" si="84"/>
        <v>1000.0000000000001</v>
      </c>
      <c r="I186" s="252">
        <v>0</v>
      </c>
      <c r="K186" s="299">
        <f t="shared" si="85"/>
        <v>0</v>
      </c>
    </row>
    <row r="187" spans="2:18" x14ac:dyDescent="0.2">
      <c r="B187" s="206" t="s">
        <v>547</v>
      </c>
      <c r="C187" s="252">
        <v>0</v>
      </c>
      <c r="E187" s="252">
        <v>11.767466001905108</v>
      </c>
      <c r="G187" s="252">
        <f t="shared" si="84"/>
        <v>0</v>
      </c>
      <c r="I187" s="252">
        <v>11.767466001905108</v>
      </c>
      <c r="K187" s="299">
        <f t="shared" si="85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4"/>
        <v>208.55560337725498</v>
      </c>
      <c r="I188" s="252">
        <v>0</v>
      </c>
      <c r="K188" s="299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6" t="s">
        <v>566</v>
      </c>
      <c r="C189" s="252">
        <v>0</v>
      </c>
      <c r="E189" s="252">
        <v>286.88405520213911</v>
      </c>
      <c r="G189" s="252">
        <f t="shared" si="84"/>
        <v>286.88405520213911</v>
      </c>
      <c r="I189" s="252">
        <v>0</v>
      </c>
      <c r="K189" s="299">
        <f t="shared" si="86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4"/>
        <v>111.00813284002646</v>
      </c>
      <c r="I190" s="252">
        <v>0</v>
      </c>
      <c r="K190" s="299">
        <f t="shared" si="86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4"/>
        <v>0</v>
      </c>
      <c r="I191" s="252">
        <v>4.9847525450981189</v>
      </c>
      <c r="K191" s="299">
        <f t="shared" si="86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4"/>
        <v>0</v>
      </c>
      <c r="I192" s="252">
        <v>22064.067709118775</v>
      </c>
      <c r="K192" s="299">
        <f t="shared" si="86"/>
        <v>0</v>
      </c>
      <c r="N192" s="25"/>
      <c r="P192" s="25"/>
      <c r="Q192" s="25"/>
      <c r="R192" s="25"/>
    </row>
    <row r="193" spans="2:19" x14ac:dyDescent="0.2">
      <c r="B193" s="206" t="s">
        <v>632</v>
      </c>
      <c r="C193" s="252">
        <v>0</v>
      </c>
      <c r="E193" s="252">
        <v>198.80764502323905</v>
      </c>
      <c r="G193" s="252">
        <f t="shared" si="84"/>
        <v>198.80764502323905</v>
      </c>
      <c r="I193" s="252">
        <v>0</v>
      </c>
      <c r="K193" s="299">
        <f t="shared" si="86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4"/>
        <v>69.582675758133661</v>
      </c>
      <c r="I194" s="252">
        <v>0</v>
      </c>
      <c r="K194" s="299">
        <f t="shared" si="86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4"/>
        <v>0</v>
      </c>
      <c r="I195" s="252">
        <v>18.493734420766422</v>
      </c>
      <c r="K195" s="299">
        <f t="shared" ref="K195:K202" si="87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4"/>
        <v>0</v>
      </c>
      <c r="I196" s="252">
        <v>584.3657277440451</v>
      </c>
      <c r="K196" s="299">
        <f t="shared" si="87"/>
        <v>0</v>
      </c>
    </row>
    <row r="197" spans="2:19" x14ac:dyDescent="0.2">
      <c r="B197" s="206" t="s">
        <v>673</v>
      </c>
      <c r="C197" s="252">
        <v>0</v>
      </c>
      <c r="E197" s="252">
        <v>69.582675758133661</v>
      </c>
      <c r="G197" s="252">
        <f t="shared" si="84"/>
        <v>69.582675758133661</v>
      </c>
      <c r="I197" s="252">
        <v>0</v>
      </c>
      <c r="K197" s="299">
        <f t="shared" si="87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4"/>
        <v>59.145274394413612</v>
      </c>
      <c r="I198" s="252">
        <v>10.437401363720047</v>
      </c>
      <c r="K198" s="299"/>
    </row>
    <row r="199" spans="2:19" x14ac:dyDescent="0.2">
      <c r="B199" s="206" t="s">
        <v>554</v>
      </c>
      <c r="C199" s="252">
        <v>0</v>
      </c>
      <c r="E199" s="252">
        <v>1309.8157778632656</v>
      </c>
      <c r="G199" s="252">
        <f t="shared" si="84"/>
        <v>1309.8157778632656</v>
      </c>
      <c r="I199" s="252">
        <v>0</v>
      </c>
      <c r="K199" s="299">
        <f t="shared" si="87"/>
        <v>0</v>
      </c>
      <c r="P199" s="245"/>
      <c r="Q199" s="245"/>
      <c r="R199" s="245"/>
      <c r="S199" s="245"/>
    </row>
    <row r="200" spans="2:19" x14ac:dyDescent="0.2">
      <c r="B200" s="206" t="s">
        <v>555</v>
      </c>
      <c r="C200" s="252">
        <v>0</v>
      </c>
      <c r="E200" s="252">
        <v>616.23583583508366</v>
      </c>
      <c r="G200" s="252">
        <f t="shared" si="84"/>
        <v>0</v>
      </c>
      <c r="I200" s="252">
        <v>616.23583583508366</v>
      </c>
      <c r="K200" s="299">
        <f t="shared" si="87"/>
        <v>0</v>
      </c>
    </row>
    <row r="201" spans="2:19" x14ac:dyDescent="0.2">
      <c r="B201" s="206" t="s">
        <v>556</v>
      </c>
      <c r="C201" s="252">
        <v>0</v>
      </c>
      <c r="E201" s="252">
        <v>3432.8541806261665</v>
      </c>
      <c r="G201" s="252">
        <f t="shared" si="84"/>
        <v>0</v>
      </c>
      <c r="I201" s="252">
        <v>3432.8541806261665</v>
      </c>
      <c r="K201" s="299">
        <f t="shared" si="87"/>
        <v>0</v>
      </c>
    </row>
    <row r="202" spans="2:19" x14ac:dyDescent="0.2">
      <c r="B202" s="206" t="s">
        <v>567</v>
      </c>
      <c r="C202" s="252">
        <v>0</v>
      </c>
      <c r="E202" s="252">
        <v>229.94813284002646</v>
      </c>
      <c r="G202" s="252">
        <f t="shared" si="84"/>
        <v>0</v>
      </c>
      <c r="I202" s="252">
        <v>229.94813284002646</v>
      </c>
      <c r="K202" s="299">
        <f t="shared" si="87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4" t="s">
        <v>475</v>
      </c>
      <c r="D206" s="394"/>
      <c r="E206" s="394"/>
      <c r="F206" s="394"/>
      <c r="G206" s="394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8">AL122</f>
        <v>208.65218594918355</v>
      </c>
      <c r="G210" s="299">
        <f t="shared" ref="G210:G223" si="89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8"/>
        <v>294.54780251398768</v>
      </c>
      <c r="G211" s="299">
        <f t="shared" si="89"/>
        <v>0</v>
      </c>
    </row>
    <row r="212" spans="2:15" x14ac:dyDescent="0.2">
      <c r="B212" s="204" t="s">
        <v>565</v>
      </c>
      <c r="C212" s="252">
        <v>1011.7674660019052</v>
      </c>
      <c r="D212" s="254"/>
      <c r="E212" s="252">
        <f t="shared" si="88"/>
        <v>1011.7674660019052</v>
      </c>
      <c r="F212" s="254"/>
      <c r="G212" s="299">
        <f t="shared" si="89"/>
        <v>0</v>
      </c>
    </row>
    <row r="213" spans="2:15" x14ac:dyDescent="0.2">
      <c r="B213" s="204" t="s">
        <v>544</v>
      </c>
      <c r="C213" s="252">
        <v>208.55560337725498</v>
      </c>
      <c r="E213" s="252">
        <f t="shared" si="88"/>
        <v>208.55560337725498</v>
      </c>
      <c r="G213" s="299">
        <f t="shared" si="89"/>
        <v>0</v>
      </c>
      <c r="H213" s="245"/>
      <c r="I213" s="245"/>
      <c r="J213" s="245"/>
      <c r="K213" s="245"/>
    </row>
    <row r="214" spans="2:15" x14ac:dyDescent="0.2">
      <c r="B214" s="204" t="s">
        <v>543</v>
      </c>
      <c r="C214" s="252">
        <v>286.88405520213911</v>
      </c>
      <c r="E214" s="252">
        <f t="shared" si="88"/>
        <v>286.88405520213911</v>
      </c>
      <c r="G214" s="299">
        <f t="shared" si="89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8"/>
        <v>1011.7674660019052</v>
      </c>
      <c r="G215" s="299">
        <f t="shared" si="89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8"/>
        <v>208.55560337725498</v>
      </c>
      <c r="F216" s="171" t="s">
        <v>474</v>
      </c>
      <c r="G216" s="299">
        <f t="shared" si="89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8"/>
        <v>286.88405520213911</v>
      </c>
      <c r="G217" s="299">
        <f t="shared" si="89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8"/>
        <v>22180.060594503899</v>
      </c>
      <c r="G218" s="299">
        <f t="shared" si="89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8"/>
        <v>871.24978294618427</v>
      </c>
      <c r="G219" s="299">
        <f t="shared" si="89"/>
        <v>0</v>
      </c>
    </row>
    <row r="220" spans="2:15" x14ac:dyDescent="0.2">
      <c r="B220" s="204" t="s">
        <v>672</v>
      </c>
      <c r="C220" s="252">
        <v>69.582675758133661</v>
      </c>
      <c r="E220" s="252">
        <f t="shared" si="88"/>
        <v>69.582675758133661</v>
      </c>
      <c r="G220" s="299">
        <f t="shared" si="89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8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8"/>
        <v>1309.8157778632656</v>
      </c>
      <c r="G222" s="299">
        <f t="shared" si="89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8"/>
        <v>4279.0381493012765</v>
      </c>
      <c r="G223" s="299">
        <f t="shared" si="89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48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667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672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672</v>
      </c>
      <c r="BW1" s="207" t="s">
        <v>675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554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555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556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B36" s="206" t="s">
        <v>567</v>
      </c>
      <c r="C36" s="284">
        <v>1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</row>
    <row r="37" spans="2:77" x14ac:dyDescent="0.2">
      <c r="C37" s="171" t="s">
        <v>583</v>
      </c>
      <c r="AP37" s="206"/>
      <c r="AQ37" s="394" t="s">
        <v>580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6"/>
      <c r="BK37" s="394" t="s">
        <v>581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75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>
        <f t="shared" si="1"/>
        <v>0</v>
      </c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>
        <f t="shared" si="1"/>
        <v>0</v>
      </c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576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577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>
        <f t="shared" ref="AR57:BE72" si="2">BC97</f>
        <v>0</v>
      </c>
      <c r="BD57" s="284">
        <f t="shared" si="2"/>
        <v>0</v>
      </c>
      <c r="BE57" s="284">
        <f t="shared" si="2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>
        <f t="shared" si="2"/>
        <v>0</v>
      </c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>
        <f t="shared" si="2"/>
        <v>0</v>
      </c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>
        <f t="shared" si="2"/>
        <v>0</v>
      </c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1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632</v>
      </c>
      <c r="AQ66" s="284">
        <f t="shared" si="1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>
        <f t="shared" si="2"/>
        <v>0</v>
      </c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1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>
        <f t="shared" si="2"/>
        <v>0</v>
      </c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1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1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>
        <f t="shared" si="2"/>
        <v>0</v>
      </c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673</v>
      </c>
      <c r="AQ70" s="284">
        <f t="shared" si="1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6.1564271489094446E-3</v>
      </c>
      <c r="BD70" s="284">
        <f t="shared" si="2"/>
        <v>0</v>
      </c>
      <c r="BE70" s="284">
        <f t="shared" si="2"/>
        <v>0</v>
      </c>
    </row>
    <row r="71" spans="42:64" x14ac:dyDescent="0.2">
      <c r="AP71" s="206" t="s">
        <v>676</v>
      </c>
      <c r="AQ71" s="284">
        <f t="shared" si="1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6.1564271489094446E-3</v>
      </c>
      <c r="BB71" s="284">
        <f t="shared" si="2"/>
        <v>0</v>
      </c>
      <c r="BC71" s="284">
        <f t="shared" si="2"/>
        <v>0</v>
      </c>
      <c r="BD71" s="284">
        <f t="shared" si="2"/>
        <v>0</v>
      </c>
      <c r="BE71" s="284">
        <f t="shared" si="2"/>
        <v>6.1564271489094437E-3</v>
      </c>
    </row>
    <row r="72" spans="42:64" x14ac:dyDescent="0.2">
      <c r="AP72" s="206" t="s">
        <v>554</v>
      </c>
      <c r="AQ72" s="284">
        <f t="shared" si="1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  <c r="BD72" s="284">
        <f t="shared" si="2"/>
        <v>0</v>
      </c>
      <c r="BE72" s="284">
        <f t="shared" si="2"/>
        <v>-5807.700525901595</v>
      </c>
    </row>
    <row r="73" spans="42:64" x14ac:dyDescent="0.2">
      <c r="AP73" s="206" t="s">
        <v>555</v>
      </c>
      <c r="AQ73" s="284">
        <f t="shared" si="1"/>
        <v>0</v>
      </c>
      <c r="AR73" s="284">
        <f t="shared" ref="AR73:BE75" si="3">AR113</f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  <c r="BD73" s="284">
        <f t="shared" si="3"/>
        <v>0</v>
      </c>
      <c r="BE73" s="284">
        <f t="shared" si="3"/>
        <v>0</v>
      </c>
    </row>
    <row r="74" spans="42:64" x14ac:dyDescent="0.2">
      <c r="AP74" s="206" t="s">
        <v>556</v>
      </c>
      <c r="AQ74" s="284">
        <f t="shared" si="1"/>
        <v>0</v>
      </c>
      <c r="AR74" s="284">
        <f t="shared" si="3"/>
        <v>0</v>
      </c>
      <c r="AS74" s="284">
        <f t="shared" si="3"/>
        <v>0</v>
      </c>
      <c r="AT74" s="284">
        <f t="shared" si="3"/>
        <v>0</v>
      </c>
      <c r="AU74" s="284">
        <f t="shared" si="3"/>
        <v>0</v>
      </c>
      <c r="AV74" s="284">
        <f t="shared" si="3"/>
        <v>0</v>
      </c>
      <c r="AW74" s="284">
        <f t="shared" si="3"/>
        <v>0</v>
      </c>
      <c r="AX74" s="284">
        <f t="shared" si="3"/>
        <v>0</v>
      </c>
      <c r="AY74" s="284">
        <f t="shared" si="3"/>
        <v>0</v>
      </c>
      <c r="AZ74" s="284">
        <f t="shared" si="3"/>
        <v>0</v>
      </c>
      <c r="BA74" s="284">
        <f t="shared" si="3"/>
        <v>0</v>
      </c>
      <c r="BB74" s="284">
        <f t="shared" si="3"/>
        <v>0</v>
      </c>
      <c r="BC74" s="284">
        <f t="shared" si="3"/>
        <v>0</v>
      </c>
      <c r="BD74" s="284">
        <f t="shared" si="3"/>
        <v>0</v>
      </c>
      <c r="BE74" s="284">
        <f t="shared" si="3"/>
        <v>0</v>
      </c>
    </row>
    <row r="75" spans="42:64" x14ac:dyDescent="0.2">
      <c r="AP75" s="206" t="s">
        <v>567</v>
      </c>
      <c r="AQ75" s="284">
        <f t="shared" si="1"/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>
        <f t="shared" si="3"/>
        <v>0</v>
      </c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4" t="s">
        <v>582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576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576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577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569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551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551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546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538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550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545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542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548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547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566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632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673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'Ore-&gt;PI'!DJ241</f>
        <v>6.1564271489094446E-3</v>
      </c>
      <c r="BD110" s="230"/>
      <c r="BE110" s="243"/>
      <c r="BF110" s="252">
        <f t="shared" si="4"/>
        <v>6.1564271489094446E-3</v>
      </c>
      <c r="BJ110" s="206" t="s">
        <v>673</v>
      </c>
      <c r="BK110" s="244"/>
      <c r="BL110" s="244"/>
      <c r="BM110" s="252">
        <f t="shared" si="5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'Ore-&gt;PI'!BU233</f>
        <v>6.1564271489094446E-3</v>
      </c>
      <c r="BB111" s="230"/>
      <c r="BC111" s="230"/>
      <c r="BD111" s="230"/>
      <c r="BE111" s="243">
        <f>'Ore-&gt;PI'!EF160</f>
        <v>6.1564271489094437E-3</v>
      </c>
      <c r="BF111" s="252">
        <f t="shared" si="4"/>
        <v>1.2312854297818889E-2</v>
      </c>
      <c r="BJ111" s="206" t="s">
        <v>676</v>
      </c>
      <c r="BK111" s="244">
        <f>'Ore-&gt;PI'!EZ241</f>
        <v>6.1564271489094446E-3</v>
      </c>
      <c r="BL111" s="244"/>
      <c r="BM111" s="252">
        <f t="shared" si="5"/>
        <v>6.1564271489094446E-3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554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555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556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567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4" t="s">
        <v>418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469</v>
      </c>
      <c r="BK116" s="394" t="s">
        <v>420</v>
      </c>
      <c r="BL116" s="394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>
        <f t="shared" si="6"/>
        <v>6.1564271489094446E-3</v>
      </c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5"/>
      <c r="D118" s="395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4" t="s">
        <v>468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576</v>
      </c>
      <c r="J119" s="207" t="s">
        <v>577</v>
      </c>
      <c r="K119" s="207" t="s">
        <v>569</v>
      </c>
      <c r="L119" s="209" t="s">
        <v>551</v>
      </c>
      <c r="M119" s="207" t="s">
        <v>517</v>
      </c>
      <c r="N119" s="209" t="s">
        <v>520</v>
      </c>
      <c r="O119" s="207" t="s">
        <v>546</v>
      </c>
      <c r="P119" s="210" t="s">
        <v>538</v>
      </c>
      <c r="Q119" s="207" t="s">
        <v>524</v>
      </c>
      <c r="R119" s="209" t="s">
        <v>550</v>
      </c>
      <c r="S119" s="209" t="s">
        <v>545</v>
      </c>
      <c r="T119" s="209" t="s">
        <v>542</v>
      </c>
      <c r="U119" s="209" t="s">
        <v>548</v>
      </c>
      <c r="V119" s="210" t="s">
        <v>547</v>
      </c>
      <c r="W119" s="210" t="s">
        <v>532</v>
      </c>
      <c r="X119" s="210" t="s">
        <v>566</v>
      </c>
      <c r="Y119" s="210" t="s">
        <v>533</v>
      </c>
      <c r="Z119" s="210" t="s">
        <v>535</v>
      </c>
      <c r="AA119" s="210" t="s">
        <v>534</v>
      </c>
      <c r="AB119" s="210" t="s">
        <v>632</v>
      </c>
      <c r="AC119" s="232" t="s">
        <v>530</v>
      </c>
      <c r="AD119" s="210" t="s">
        <v>529</v>
      </c>
      <c r="AE119" s="207" t="s">
        <v>531</v>
      </c>
      <c r="AF119" s="210" t="s">
        <v>673</v>
      </c>
      <c r="AG119" s="210" t="s">
        <v>676</v>
      </c>
      <c r="AH119" s="210" t="s">
        <v>554</v>
      </c>
      <c r="AI119" s="210" t="s">
        <v>555</v>
      </c>
      <c r="AJ119" s="210" t="s">
        <v>556</v>
      </c>
      <c r="AK119" s="210" t="s">
        <v>567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544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672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675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4" t="s">
        <v>419</v>
      </c>
      <c r="D135" s="394"/>
      <c r="E135" s="394"/>
      <c r="F135" s="394"/>
      <c r="G135" s="394"/>
      <c r="H135" s="394"/>
      <c r="I135" s="394"/>
      <c r="J135" s="394"/>
      <c r="K135" s="394"/>
      <c r="L135" s="394"/>
      <c r="M135" s="394"/>
      <c r="N135" s="394"/>
      <c r="O135" s="394"/>
      <c r="P135" s="394"/>
      <c r="Q135" s="394"/>
      <c r="R135" s="394"/>
      <c r="S135" s="394"/>
      <c r="T135" s="394"/>
      <c r="U135" s="394"/>
      <c r="V135" s="394"/>
      <c r="W135" s="394"/>
      <c r="X135" s="394"/>
      <c r="Y135" s="394"/>
      <c r="Z135" s="394"/>
      <c r="AA135" s="394"/>
      <c r="AB135" s="394"/>
      <c r="AC135" s="394"/>
      <c r="AD135" s="394"/>
      <c r="AE135" s="394"/>
      <c r="AF135" s="394"/>
      <c r="AG135" s="394"/>
      <c r="AH135" s="394"/>
      <c r="AI135" s="394"/>
      <c r="AJ135" s="394"/>
      <c r="AK135" s="394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4" t="s">
        <v>466</v>
      </c>
      <c r="D137" s="394"/>
      <c r="E137" s="394"/>
      <c r="F137" s="394"/>
      <c r="G137" s="394"/>
      <c r="H137" s="394"/>
      <c r="I137" s="394"/>
      <c r="J137" s="394"/>
      <c r="K137" s="394"/>
      <c r="L137" s="394"/>
      <c r="M137" s="394"/>
      <c r="N137" s="394"/>
      <c r="O137" s="394"/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  <c r="AA137" s="394"/>
      <c r="AB137" s="394"/>
      <c r="AC137" s="394"/>
      <c r="AD137" s="394"/>
      <c r="AE137" s="394"/>
      <c r="AF137" s="394"/>
      <c r="AG137" s="394"/>
      <c r="AH137" s="394"/>
      <c r="AI137" s="394"/>
      <c r="AJ137" s="394"/>
      <c r="AK137" s="394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576</v>
      </c>
      <c r="J148" s="207" t="s">
        <v>577</v>
      </c>
      <c r="K148" s="207" t="s">
        <v>569</v>
      </c>
      <c r="L148" s="209" t="s">
        <v>551</v>
      </c>
      <c r="M148" s="207" t="s">
        <v>517</v>
      </c>
      <c r="N148" s="209" t="s">
        <v>520</v>
      </c>
      <c r="O148" s="207" t="s">
        <v>546</v>
      </c>
      <c r="P148" s="210" t="s">
        <v>538</v>
      </c>
      <c r="Q148" s="207" t="s">
        <v>524</v>
      </c>
      <c r="R148" s="209" t="s">
        <v>550</v>
      </c>
      <c r="S148" s="209" t="s">
        <v>545</v>
      </c>
      <c r="T148" s="209" t="s">
        <v>542</v>
      </c>
      <c r="U148" s="209" t="s">
        <v>548</v>
      </c>
      <c r="V148" s="210" t="s">
        <v>547</v>
      </c>
      <c r="W148" s="210" t="s">
        <v>532</v>
      </c>
      <c r="X148" s="210" t="s">
        <v>566</v>
      </c>
      <c r="Y148" s="210" t="s">
        <v>533</v>
      </c>
      <c r="Z148" s="210" t="s">
        <v>535</v>
      </c>
      <c r="AA148" s="210" t="s">
        <v>534</v>
      </c>
      <c r="AB148" s="210" t="s">
        <v>632</v>
      </c>
      <c r="AC148" s="232" t="s">
        <v>530</v>
      </c>
      <c r="AD148" s="210" t="s">
        <v>529</v>
      </c>
      <c r="AE148" s="207" t="s">
        <v>531</v>
      </c>
      <c r="AF148" s="210" t="s">
        <v>673</v>
      </c>
      <c r="AG148" s="210" t="s">
        <v>676</v>
      </c>
      <c r="AH148" s="210" t="s">
        <v>554</v>
      </c>
      <c r="AI148" s="210" t="s">
        <v>555</v>
      </c>
      <c r="AJ148" s="210" t="s">
        <v>556</v>
      </c>
      <c r="AK148" s="210" t="s">
        <v>567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h_CH4</f>
        <v>1.604276E-2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579</v>
      </c>
      <c r="C154" s="244"/>
      <c r="D154" s="244"/>
      <c r="E154" s="244"/>
      <c r="F154" s="244"/>
      <c r="G154" s="244"/>
      <c r="H154" s="244">
        <f>LHV_Diesel</f>
        <v>42600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578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568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4" t="s">
        <v>57</v>
      </c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4"/>
      <c r="X158" s="394"/>
      <c r="Y158" s="394"/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394"/>
      <c r="AJ158" s="394"/>
      <c r="AK158" s="394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1.604276E-2</v>
      </c>
      <c r="H159" s="252">
        <f t="shared" si="9"/>
        <v>42600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4" t="s">
        <v>467</v>
      </c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25"/>
      <c r="AM160" s="25"/>
    </row>
    <row r="164" spans="2:22" x14ac:dyDescent="0.2">
      <c r="C164" s="394" t="s">
        <v>670</v>
      </c>
      <c r="D164" s="394"/>
      <c r="E164" s="394"/>
      <c r="F164" s="394"/>
      <c r="G164" s="394"/>
      <c r="H164" s="394"/>
      <c r="I164" s="394"/>
      <c r="J164" s="394"/>
      <c r="K164" s="394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 cm="1">
        <f t="array" ref="C167:C201">TRANSPOSE(C159:AK159)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v>-12112.03618380849</v>
      </c>
      <c r="E168" s="252">
        <v>0</v>
      </c>
      <c r="G168" s="252">
        <f t="shared" ref="G168:G201" si="10">BF82</f>
        <v>-12112.03618380849</v>
      </c>
      <c r="I168" s="252">
        <v>0</v>
      </c>
      <c r="K168" s="299">
        <f t="shared" ref="K168:K201" si="11">C168+E168-G168-I168</f>
        <v>0</v>
      </c>
    </row>
    <row r="169" spans="2:22" x14ac:dyDescent="0.2">
      <c r="B169" s="204" t="s">
        <v>426</v>
      </c>
      <c r="C169" s="252">
        <v>27180.660725538582</v>
      </c>
      <c r="E169" s="252">
        <v>0</v>
      </c>
      <c r="G169" s="252">
        <f t="shared" si="10"/>
        <v>27180.660725538582</v>
      </c>
      <c r="I169" s="252">
        <v>0</v>
      </c>
      <c r="K169" s="299">
        <f t="shared" si="11"/>
        <v>0</v>
      </c>
    </row>
    <row r="170" spans="2:22" x14ac:dyDescent="0.2">
      <c r="B170" s="204" t="s">
        <v>447</v>
      </c>
      <c r="C170" s="252"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22" x14ac:dyDescent="0.2">
      <c r="B171" s="204" t="s">
        <v>477</v>
      </c>
      <c r="C171" s="252">
        <v>1.604276E-2</v>
      </c>
      <c r="E171" s="252">
        <v>0</v>
      </c>
      <c r="G171" s="252">
        <f t="shared" si="10"/>
        <v>4.8128279999999996E-2</v>
      </c>
      <c r="I171" s="252">
        <v>0</v>
      </c>
      <c r="K171" s="299" t="s">
        <v>677</v>
      </c>
    </row>
    <row r="172" spans="2:22" x14ac:dyDescent="0.2">
      <c r="B172" s="204" t="s">
        <v>515</v>
      </c>
      <c r="C172" s="252">
        <v>42600</v>
      </c>
      <c r="E172" s="252">
        <v>0</v>
      </c>
      <c r="G172" s="252">
        <f t="shared" si="10"/>
        <v>127800</v>
      </c>
      <c r="I172" s="252">
        <v>0</v>
      </c>
      <c r="K172" s="299" t="s">
        <v>677</v>
      </c>
    </row>
    <row r="173" spans="2:22" x14ac:dyDescent="0.2">
      <c r="B173" s="204" t="s">
        <v>516</v>
      </c>
      <c r="C173" s="252">
        <v>-2189.4247196818515</v>
      </c>
      <c r="E173" s="252">
        <v>0</v>
      </c>
      <c r="G173" s="252">
        <f t="shared" si="10"/>
        <v>-2189.4247196818515</v>
      </c>
      <c r="I173" s="252">
        <v>0</v>
      </c>
      <c r="K173" s="299">
        <f t="shared" si="11"/>
        <v>0</v>
      </c>
    </row>
    <row r="174" spans="2:22" x14ac:dyDescent="0.2">
      <c r="B174" s="204" t="s">
        <v>519</v>
      </c>
      <c r="C174" s="252">
        <v>39500</v>
      </c>
      <c r="E174" s="252">
        <v>0</v>
      </c>
      <c r="G174" s="252">
        <f t="shared" si="10"/>
        <v>39500</v>
      </c>
      <c r="I174" s="252">
        <v>0</v>
      </c>
      <c r="K174" s="299">
        <f t="shared" si="11"/>
        <v>0</v>
      </c>
    </row>
    <row r="175" spans="2:22" x14ac:dyDescent="0.2">
      <c r="B175" s="204" t="s">
        <v>569</v>
      </c>
      <c r="C175" s="252">
        <v>0</v>
      </c>
      <c r="E175" s="252">
        <v>0</v>
      </c>
      <c r="G175" s="252">
        <f t="shared" si="10"/>
        <v>0</v>
      </c>
      <c r="I175" s="252">
        <v>0</v>
      </c>
      <c r="K175" s="299">
        <f t="shared" si="11"/>
        <v>0</v>
      </c>
    </row>
    <row r="176" spans="2:22" ht="16" x14ac:dyDescent="0.2">
      <c r="B176" s="205" t="s">
        <v>551</v>
      </c>
      <c r="C176" s="252">
        <v>0</v>
      </c>
      <c r="E176" s="252">
        <v>-6442.5099571670216</v>
      </c>
      <c r="G176" s="252">
        <f t="shared" si="10"/>
        <v>-6442.5099571670216</v>
      </c>
      <c r="I176" s="252">
        <v>0</v>
      </c>
      <c r="K176" s="299">
        <f t="shared" si="11"/>
        <v>0</v>
      </c>
    </row>
    <row r="177" spans="2:18" x14ac:dyDescent="0.2">
      <c r="B177" s="204" t="s">
        <v>517</v>
      </c>
      <c r="C177" s="252">
        <v>0</v>
      </c>
      <c r="E177" s="252">
        <v>-2880.21138188847</v>
      </c>
      <c r="G177" s="252">
        <f t="shared" si="10"/>
        <v>0</v>
      </c>
      <c r="I177" s="252">
        <v>-2880.21138188847</v>
      </c>
      <c r="K177" s="299">
        <f t="shared" si="11"/>
        <v>0</v>
      </c>
    </row>
    <row r="178" spans="2:18" ht="16" x14ac:dyDescent="0.2">
      <c r="B178" s="205" t="s">
        <v>520</v>
      </c>
      <c r="C178" s="252">
        <v>0</v>
      </c>
      <c r="E178" s="252">
        <v>-12112.03618380849</v>
      </c>
      <c r="G178" s="252">
        <f t="shared" si="10"/>
        <v>-12112.03618380849</v>
      </c>
      <c r="I178" s="252">
        <v>0</v>
      </c>
      <c r="K178" s="299">
        <f t="shared" si="11"/>
        <v>0</v>
      </c>
    </row>
    <row r="179" spans="2:18" x14ac:dyDescent="0.2">
      <c r="B179" s="204" t="s">
        <v>546</v>
      </c>
      <c r="C179" s="252">
        <v>0</v>
      </c>
      <c r="E179" s="252">
        <v>-2882.6003576350172</v>
      </c>
      <c r="G179" s="252">
        <f t="shared" si="10"/>
        <v>0</v>
      </c>
      <c r="I179" s="252">
        <v>-2882.6003576350172</v>
      </c>
      <c r="K179" s="299">
        <f t="shared" si="11"/>
        <v>0</v>
      </c>
    </row>
    <row r="180" spans="2:18" x14ac:dyDescent="0.2">
      <c r="B180" s="206" t="s">
        <v>538</v>
      </c>
      <c r="C180" s="252">
        <v>0</v>
      </c>
      <c r="D180" s="259" t="s">
        <v>471</v>
      </c>
      <c r="E180" s="252">
        <v>27180.660725538582</v>
      </c>
      <c r="F180" s="171" t="s">
        <v>473</v>
      </c>
      <c r="G180" s="252">
        <f t="shared" si="10"/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1"/>
        <v>0</v>
      </c>
    </row>
    <row r="181" spans="2:18" x14ac:dyDescent="0.2">
      <c r="B181" s="204" t="s">
        <v>524</v>
      </c>
      <c r="C181" s="252">
        <v>0</v>
      </c>
      <c r="E181" s="252">
        <v>-2880.2113818884714</v>
      </c>
      <c r="G181" s="252">
        <f t="shared" si="10"/>
        <v>0</v>
      </c>
      <c r="I181" s="252">
        <v>-2880.2113818884714</v>
      </c>
      <c r="K181" s="299">
        <f t="shared" si="11"/>
        <v>0</v>
      </c>
    </row>
    <row r="182" spans="2:18" ht="16" x14ac:dyDescent="0.2">
      <c r="B182" s="205" t="s">
        <v>550</v>
      </c>
      <c r="C182" s="252">
        <v>0</v>
      </c>
      <c r="E182" s="252">
        <v>-6442.5099571670216</v>
      </c>
      <c r="G182" s="252">
        <f t="shared" si="10"/>
        <v>-6442.5099571670216</v>
      </c>
      <c r="I182" s="252">
        <v>0</v>
      </c>
      <c r="K182" s="299">
        <f t="shared" si="11"/>
        <v>0</v>
      </c>
    </row>
    <row r="183" spans="2:18" ht="16" x14ac:dyDescent="0.2">
      <c r="B183" s="205" t="s">
        <v>545</v>
      </c>
      <c r="C183" s="252">
        <v>0</v>
      </c>
      <c r="E183" s="252">
        <v>-12112.03618380849</v>
      </c>
      <c r="G183" s="252">
        <f t="shared" si="10"/>
        <v>-12112.03618380849</v>
      </c>
      <c r="I183" s="252">
        <v>0</v>
      </c>
      <c r="K183" s="299">
        <f t="shared" si="11"/>
        <v>0</v>
      </c>
    </row>
    <row r="184" spans="2:18" ht="16" x14ac:dyDescent="0.2">
      <c r="B184" s="205" t="s">
        <v>542</v>
      </c>
      <c r="C184" s="252">
        <v>0</v>
      </c>
      <c r="E184" s="252">
        <v>27180.660725538582</v>
      </c>
      <c r="G184" s="252">
        <f t="shared" si="10"/>
        <v>27180.660725538582</v>
      </c>
      <c r="I184" s="252">
        <v>0</v>
      </c>
      <c r="K184" s="299">
        <f t="shared" si="11"/>
        <v>0</v>
      </c>
    </row>
    <row r="185" spans="2:18" ht="16" x14ac:dyDescent="0.2">
      <c r="B185" s="205" t="s">
        <v>548</v>
      </c>
      <c r="C185" s="252">
        <v>0</v>
      </c>
      <c r="E185" s="252">
        <v>-6350.2001773318216</v>
      </c>
      <c r="G185" s="252">
        <f t="shared" si="10"/>
        <v>-6350.2001773318216</v>
      </c>
      <c r="I185" s="252">
        <v>0</v>
      </c>
      <c r="K185" s="299">
        <f t="shared" si="11"/>
        <v>0</v>
      </c>
    </row>
    <row r="186" spans="2:18" x14ac:dyDescent="0.2">
      <c r="B186" s="206" t="s">
        <v>547</v>
      </c>
      <c r="C186" s="252">
        <v>0</v>
      </c>
      <c r="E186" s="252">
        <v>-14287.000845881314</v>
      </c>
      <c r="G186" s="252">
        <f t="shared" si="10"/>
        <v>0</v>
      </c>
      <c r="I186" s="252">
        <v>-14287.000845881314</v>
      </c>
      <c r="K186" s="299">
        <f t="shared" si="11"/>
        <v>0</v>
      </c>
    </row>
    <row r="187" spans="2:18" x14ac:dyDescent="0.2">
      <c r="B187" s="206" t="s">
        <v>532</v>
      </c>
      <c r="C187" s="252">
        <v>0</v>
      </c>
      <c r="E187" s="252">
        <v>-12112.03618380849</v>
      </c>
      <c r="G187" s="252">
        <f t="shared" si="10"/>
        <v>-12112.03618380849</v>
      </c>
      <c r="I187" s="252">
        <v>0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566</v>
      </c>
      <c r="C188" s="252">
        <v>0</v>
      </c>
      <c r="E188" s="252">
        <v>27180.660725538582</v>
      </c>
      <c r="G188" s="252">
        <f t="shared" si="10"/>
        <v>27180.660725538582</v>
      </c>
      <c r="I188" s="252">
        <v>0</v>
      </c>
      <c r="K188" s="299">
        <f t="shared" si="11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v>0</v>
      </c>
      <c r="E189" s="252">
        <v>-11321.85158370395</v>
      </c>
      <c r="G189" s="252">
        <f t="shared" si="10"/>
        <v>-11321.85158370395</v>
      </c>
      <c r="I189" s="252">
        <v>0</v>
      </c>
      <c r="K189" s="299">
        <f t="shared" si="11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v>0</v>
      </c>
      <c r="E190" s="252">
        <v>-14926.410019749705</v>
      </c>
      <c r="G190" s="252">
        <f t="shared" si="10"/>
        <v>0</v>
      </c>
      <c r="I190" s="252">
        <v>-14926.410019749705</v>
      </c>
      <c r="K190" s="299">
        <f t="shared" si="11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v>0</v>
      </c>
      <c r="E191" s="252">
        <v>-224.75252172010772</v>
      </c>
      <c r="G191" s="252">
        <f t="shared" si="10"/>
        <v>0</v>
      </c>
      <c r="I191" s="252">
        <v>-224.75252172010772</v>
      </c>
      <c r="K191" s="299">
        <f t="shared" si="11"/>
        <v>0</v>
      </c>
      <c r="N191" s="25"/>
      <c r="P191" s="25"/>
      <c r="Q191" s="25"/>
      <c r="R191" s="25"/>
    </row>
    <row r="192" spans="2:18" x14ac:dyDescent="0.2">
      <c r="B192" s="206" t="s">
        <v>632</v>
      </c>
      <c r="C192" s="252">
        <v>0</v>
      </c>
      <c r="E192" s="252">
        <v>0</v>
      </c>
      <c r="G192" s="252">
        <f t="shared" si="10"/>
        <v>0</v>
      </c>
      <c r="I192" s="252">
        <v>0</v>
      </c>
      <c r="K192" s="299">
        <f t="shared" si="11"/>
        <v>0</v>
      </c>
    </row>
    <row r="193" spans="2:19" ht="16" x14ac:dyDescent="0.2">
      <c r="B193" s="253" t="s">
        <v>530</v>
      </c>
      <c r="C193" s="252">
        <v>0</v>
      </c>
      <c r="E193" s="252">
        <v>-265.33787327335835</v>
      </c>
      <c r="G193" s="252">
        <f t="shared" si="10"/>
        <v>-265.33787327335835</v>
      </c>
      <c r="I193" s="252">
        <v>0</v>
      </c>
      <c r="K193" s="299">
        <f t="shared" si="11"/>
        <v>0</v>
      </c>
    </row>
    <row r="194" spans="2:19" x14ac:dyDescent="0.2">
      <c r="B194" s="206" t="s">
        <v>529</v>
      </c>
      <c r="C194" s="252">
        <v>0</v>
      </c>
      <c r="E194" s="252">
        <v>-14896.000495082701</v>
      </c>
      <c r="G194" s="252">
        <f t="shared" si="10"/>
        <v>0</v>
      </c>
      <c r="I194" s="252">
        <v>-14896.000495082701</v>
      </c>
      <c r="K194" s="299">
        <f t="shared" si="11"/>
        <v>0</v>
      </c>
      <c r="L194" s="25"/>
    </row>
    <row r="195" spans="2:19" x14ac:dyDescent="0.2">
      <c r="B195" s="204" t="s">
        <v>531</v>
      </c>
      <c r="C195" s="252">
        <v>0</v>
      </c>
      <c r="E195" s="252">
        <v>-3164.4942013988057</v>
      </c>
      <c r="G195" s="252">
        <f t="shared" si="10"/>
        <v>0</v>
      </c>
      <c r="I195" s="252">
        <v>-3164.4942013988057</v>
      </c>
      <c r="K195" s="299">
        <f t="shared" si="11"/>
        <v>0</v>
      </c>
    </row>
    <row r="196" spans="2:19" x14ac:dyDescent="0.2">
      <c r="B196" s="206" t="s">
        <v>673</v>
      </c>
      <c r="C196" s="252">
        <v>0</v>
      </c>
      <c r="E196" s="252">
        <v>6.1564271489094446E-3</v>
      </c>
      <c r="G196" s="252">
        <f t="shared" si="10"/>
        <v>6.1564271489094446E-3</v>
      </c>
      <c r="I196" s="252">
        <v>0</v>
      </c>
      <c r="K196" s="299">
        <f t="shared" si="11"/>
        <v>0</v>
      </c>
    </row>
    <row r="197" spans="2:19" x14ac:dyDescent="0.2">
      <c r="B197" s="206" t="s">
        <v>676</v>
      </c>
      <c r="C197" s="252">
        <v>0</v>
      </c>
      <c r="E197" s="252">
        <v>6.1564271489094446E-3</v>
      </c>
      <c r="G197" s="252">
        <f t="shared" si="10"/>
        <v>1.2312854297818889E-2</v>
      </c>
      <c r="I197" s="252">
        <v>6.1564271489094446E-3</v>
      </c>
      <c r="K197" s="299" t="s">
        <v>677</v>
      </c>
    </row>
    <row r="198" spans="2:19" x14ac:dyDescent="0.2">
      <c r="B198" s="206" t="s">
        <v>554</v>
      </c>
      <c r="C198" s="252">
        <v>0</v>
      </c>
      <c r="E198" s="252">
        <v>-5807.700525901595</v>
      </c>
      <c r="G198" s="252">
        <f t="shared" si="10"/>
        <v>-5807.700525901595</v>
      </c>
      <c r="I198" s="252">
        <v>0</v>
      </c>
      <c r="K198" s="299">
        <f t="shared" si="11"/>
        <v>0</v>
      </c>
      <c r="P198" s="245"/>
      <c r="Q198" s="245"/>
      <c r="R198" s="245"/>
      <c r="S198" s="245"/>
    </row>
    <row r="199" spans="2:19" x14ac:dyDescent="0.2">
      <c r="B199" s="206" t="s">
        <v>555</v>
      </c>
      <c r="C199" s="252">
        <v>0</v>
      </c>
      <c r="E199" s="252">
        <v>0</v>
      </c>
      <c r="G199" s="252">
        <f t="shared" si="10"/>
        <v>0</v>
      </c>
      <c r="I199" s="252">
        <v>0</v>
      </c>
      <c r="K199" s="299">
        <f t="shared" si="11"/>
        <v>0</v>
      </c>
    </row>
    <row r="200" spans="2:19" x14ac:dyDescent="0.2">
      <c r="B200" s="206" t="s">
        <v>556</v>
      </c>
      <c r="C200" s="252">
        <v>0</v>
      </c>
      <c r="E200" s="252">
        <v>-3928.1295638135666</v>
      </c>
      <c r="G200" s="252">
        <f t="shared" si="10"/>
        <v>0</v>
      </c>
      <c r="I200" s="252">
        <v>-3928.1295638135666</v>
      </c>
      <c r="K200" s="299">
        <f t="shared" si="11"/>
        <v>0</v>
      </c>
    </row>
    <row r="201" spans="2:19" x14ac:dyDescent="0.2">
      <c r="B201" s="206" t="s">
        <v>567</v>
      </c>
      <c r="C201" s="252">
        <v>0</v>
      </c>
      <c r="E201" s="252">
        <v>-771.42466062394067</v>
      </c>
      <c r="G201" s="252">
        <f t="shared" si="10"/>
        <v>0</v>
      </c>
      <c r="I201" s="252">
        <v>-771.42466062394067</v>
      </c>
      <c r="K201" s="299">
        <f t="shared" si="11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0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B209" s="306" t="s">
        <v>415</v>
      </c>
      <c r="C209" s="307">
        <v>0</v>
      </c>
      <c r="N209" s="245"/>
      <c r="O209" s="245"/>
    </row>
    <row r="210" spans="2:15" x14ac:dyDescent="0.2">
      <c r="B210" s="306" t="s">
        <v>416</v>
      </c>
      <c r="C210" s="307">
        <v>0</v>
      </c>
    </row>
    <row r="211" spans="2:15" x14ac:dyDescent="0.2">
      <c r="B211" s="306" t="s">
        <v>417</v>
      </c>
      <c r="C211" s="307">
        <f>'Ore-&gt;PI'!AA195</f>
        <v>77449.427901236573</v>
      </c>
    </row>
    <row r="212" spans="2:15" x14ac:dyDescent="0.2">
      <c r="B212" s="306" t="s">
        <v>565</v>
      </c>
      <c r="C212" s="307">
        <f>'Ore-&gt;PI'!AS28</f>
        <v>609792.2517593482</v>
      </c>
      <c r="F212" s="245"/>
      <c r="G212" s="245"/>
      <c r="I212" s="245"/>
      <c r="J212" s="245"/>
      <c r="K212" s="245"/>
    </row>
    <row r="213" spans="2:15" x14ac:dyDescent="0.2">
      <c r="B213" s="306" t="s">
        <v>544</v>
      </c>
      <c r="C213" s="307">
        <f>'Ore-&gt;PI'!AS113</f>
        <v>2824.8856477449194</v>
      </c>
    </row>
    <row r="214" spans="2:15" x14ac:dyDescent="0.2">
      <c r="B214" s="306" t="s">
        <v>543</v>
      </c>
      <c r="C214" s="307">
        <f>'Ore-&gt;PI'!AS190</f>
        <v>160253.43323591491</v>
      </c>
    </row>
    <row r="215" spans="2:15" x14ac:dyDescent="0.2">
      <c r="B215" s="306" t="s">
        <v>443</v>
      </c>
      <c r="C215" s="307">
        <f>'Ore-&gt;PI'!BL35</f>
        <v>12479.249680000003</v>
      </c>
    </row>
    <row r="216" spans="2:15" x14ac:dyDescent="0.2">
      <c r="B216" s="306" t="s">
        <v>440</v>
      </c>
      <c r="C216" s="307">
        <f>'Ore-&gt;PI'!BK116</f>
        <v>34.678095164114971</v>
      </c>
    </row>
    <row r="217" spans="2:15" x14ac:dyDescent="0.2">
      <c r="B217" s="306" t="s">
        <v>458</v>
      </c>
      <c r="C217" s="307">
        <f>'Ore-&gt;PI'!BK195</f>
        <v>28604.157765782104</v>
      </c>
    </row>
    <row r="218" spans="2:15" x14ac:dyDescent="0.2">
      <c r="B218" s="306" t="s">
        <v>441</v>
      </c>
      <c r="C218" s="307">
        <v>0</v>
      </c>
    </row>
    <row r="219" spans="2:15" x14ac:dyDescent="0.2">
      <c r="B219" s="306" t="s">
        <v>436</v>
      </c>
      <c r="C219" s="307">
        <v>0</v>
      </c>
    </row>
    <row r="220" spans="2:15" x14ac:dyDescent="0.2">
      <c r="B220" s="204" t="s">
        <v>672</v>
      </c>
      <c r="C220" s="307">
        <f>'Ore-&gt;PI'!DB229</f>
        <v>50099.526545856235</v>
      </c>
    </row>
    <row r="221" spans="2:15" x14ac:dyDescent="0.2">
      <c r="B221" s="204" t="s">
        <v>675</v>
      </c>
      <c r="C221" s="307">
        <v>0</v>
      </c>
    </row>
    <row r="222" spans="2:15" x14ac:dyDescent="0.2">
      <c r="B222" s="204" t="s">
        <v>81</v>
      </c>
      <c r="C222" s="307">
        <v>0</v>
      </c>
    </row>
    <row r="223" spans="2:15" x14ac:dyDescent="0.2">
      <c r="B223" s="204" t="s">
        <v>427</v>
      </c>
      <c r="C223" s="309">
        <f>'Ore-&gt;PI'!ES117</f>
        <v>317844.87395625591</v>
      </c>
    </row>
    <row r="224" spans="2:15" x14ac:dyDescent="0.2">
      <c r="B224" s="206"/>
      <c r="C224" s="308" t="s">
        <v>265</v>
      </c>
    </row>
    <row r="229" spans="8:11" x14ac:dyDescent="0.2">
      <c r="H229" s="171"/>
      <c r="I229" s="171"/>
      <c r="J229" s="171"/>
      <c r="K229" s="171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4" t="s">
        <v>420</v>
      </c>
      <c r="AD50" s="394"/>
      <c r="AE50" s="394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4" t="s">
        <v>418</v>
      </c>
      <c r="L53" s="394"/>
      <c r="M53" s="394"/>
      <c r="N53" s="394"/>
      <c r="O53" s="394"/>
      <c r="P53" s="394"/>
      <c r="Q53" s="394"/>
      <c r="R53" s="394"/>
      <c r="S53" s="394"/>
      <c r="T53" s="394"/>
      <c r="U53" s="394"/>
      <c r="V53" s="394"/>
      <c r="W53" s="394"/>
      <c r="AD53" s="25"/>
      <c r="AE53" s="25"/>
      <c r="AF53" s="25"/>
      <c r="AG53" s="25"/>
      <c r="AH53" s="25"/>
      <c r="AI53" s="25"/>
    </row>
    <row r="58" spans="2:35" x14ac:dyDescent="0.2">
      <c r="C58" s="395"/>
      <c r="D58" s="395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4" t="s">
        <v>419</v>
      </c>
      <c r="D73" s="394"/>
      <c r="E73" s="394"/>
      <c r="F73" s="394"/>
      <c r="G73" s="394"/>
      <c r="H73" s="394"/>
      <c r="I73" s="394"/>
      <c r="J73" s="394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4" t="s">
        <v>57</v>
      </c>
      <c r="D92" s="394"/>
      <c r="E92" s="394"/>
      <c r="F92" s="394"/>
      <c r="G92" s="394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3" t="s">
        <v>317</v>
      </c>
      <c r="E2" s="313"/>
      <c r="F2" s="313"/>
      <c r="G2" s="313"/>
      <c r="V2" s="166"/>
    </row>
    <row r="3" spans="2:22" x14ac:dyDescent="0.2">
      <c r="B3" s="3"/>
      <c r="C3" s="3"/>
      <c r="D3" s="397" t="s">
        <v>82</v>
      </c>
      <c r="E3" s="397"/>
      <c r="F3" s="397"/>
      <c r="G3" s="397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402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9" t="s">
        <v>355</v>
      </c>
      <c r="S4" s="399"/>
      <c r="T4" s="399"/>
      <c r="U4" s="399"/>
      <c r="V4" s="166"/>
    </row>
    <row r="5" spans="2:22" ht="14.5" customHeight="1" x14ac:dyDescent="0.2">
      <c r="B5" s="402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9"/>
      <c r="S5" s="399"/>
      <c r="T5" s="399"/>
      <c r="U5" s="399"/>
      <c r="V5" s="166"/>
    </row>
    <row r="6" spans="2:22" x14ac:dyDescent="0.2">
      <c r="B6" s="402"/>
      <c r="C6" s="149" t="s">
        <v>637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9"/>
      <c r="S6" s="399"/>
      <c r="T6" s="399"/>
      <c r="U6" s="399"/>
      <c r="V6" s="166"/>
    </row>
    <row r="7" spans="2:22" ht="16" thickBot="1" x14ac:dyDescent="0.25">
      <c r="B7" s="402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400"/>
      <c r="S7" s="400"/>
      <c r="T7" s="400"/>
      <c r="U7" s="400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9" t="s">
        <v>354</v>
      </c>
      <c r="Q8" s="415"/>
      <c r="R8" s="417" t="s">
        <v>341</v>
      </c>
      <c r="S8" s="418"/>
      <c r="T8" s="403" t="s">
        <v>406</v>
      </c>
      <c r="U8" s="404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9"/>
      <c r="Q9" s="415"/>
      <c r="R9" s="419"/>
      <c r="S9" s="420"/>
      <c r="T9" s="405"/>
      <c r="U9" s="406"/>
      <c r="V9" s="166"/>
    </row>
    <row r="10" spans="2:22" x14ac:dyDescent="0.2">
      <c r="L10" s="3"/>
      <c r="M10" s="3"/>
      <c r="O10" s="166"/>
      <c r="P10" s="399"/>
      <c r="Q10" s="415"/>
      <c r="R10" s="419"/>
      <c r="S10" s="420"/>
      <c r="T10" s="405"/>
      <c r="U10" s="406"/>
      <c r="V10" s="166"/>
    </row>
    <row r="11" spans="2:22" x14ac:dyDescent="0.2">
      <c r="B11" s="3"/>
      <c r="C11" s="3"/>
      <c r="D11" s="313" t="s">
        <v>317</v>
      </c>
      <c r="E11" s="313"/>
      <c r="F11" s="313"/>
      <c r="G11" s="313"/>
      <c r="H11" s="313"/>
      <c r="L11" s="3"/>
      <c r="M11" s="3"/>
      <c r="O11" s="166"/>
      <c r="P11" s="399"/>
      <c r="Q11" s="415"/>
      <c r="R11" s="419"/>
      <c r="S11" s="420"/>
      <c r="T11" s="405"/>
      <c r="U11" s="406"/>
      <c r="V11" s="166"/>
    </row>
    <row r="12" spans="2:22" x14ac:dyDescent="0.2">
      <c r="B12" s="3"/>
      <c r="C12" s="3"/>
      <c r="D12" s="397" t="s">
        <v>82</v>
      </c>
      <c r="E12" s="397"/>
      <c r="F12" s="397"/>
      <c r="G12" s="397"/>
      <c r="H12" s="397"/>
      <c r="L12" s="3"/>
      <c r="M12" s="3"/>
      <c r="O12" s="166"/>
      <c r="P12" s="416" t="s">
        <v>405</v>
      </c>
      <c r="Q12" s="415"/>
      <c r="R12" s="411" t="s">
        <v>316</v>
      </c>
      <c r="S12" s="412"/>
      <c r="T12" s="407" t="s">
        <v>637</v>
      </c>
      <c r="U12" s="408"/>
      <c r="V12" s="166"/>
    </row>
    <row r="13" spans="2:22" ht="14.5" customHeight="1" x14ac:dyDescent="0.2">
      <c r="B13" s="401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9"/>
      <c r="Q13" s="415"/>
      <c r="R13" s="411"/>
      <c r="S13" s="412"/>
      <c r="T13" s="407"/>
      <c r="U13" s="408"/>
      <c r="V13" s="166"/>
    </row>
    <row r="14" spans="2:22" x14ac:dyDescent="0.2">
      <c r="B14" s="401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9"/>
      <c r="Q14" s="415"/>
      <c r="R14" s="411"/>
      <c r="S14" s="412"/>
      <c r="T14" s="407"/>
      <c r="U14" s="408"/>
      <c r="V14" s="166"/>
    </row>
    <row r="15" spans="2:22" ht="16" thickBot="1" x14ac:dyDescent="0.25">
      <c r="B15" s="401"/>
      <c r="C15" s="149" t="s">
        <v>637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9"/>
      <c r="Q15" s="415"/>
      <c r="R15" s="413"/>
      <c r="S15" s="414"/>
      <c r="T15" s="409"/>
      <c r="U15" s="410"/>
      <c r="V15" s="166"/>
    </row>
    <row r="16" spans="2:22" x14ac:dyDescent="0.2">
      <c r="B16" s="401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3" t="s">
        <v>317</v>
      </c>
      <c r="E19" s="313"/>
      <c r="F19" s="313"/>
      <c r="G19" s="313"/>
      <c r="L19" s="3"/>
      <c r="M19" s="3"/>
    </row>
    <row r="20" spans="2:13" x14ac:dyDescent="0.2">
      <c r="B20" s="3"/>
      <c r="C20" s="3"/>
      <c r="D20" s="397" t="s">
        <v>82</v>
      </c>
      <c r="E20" s="397"/>
      <c r="F20" s="397"/>
      <c r="G20" s="397"/>
      <c r="K20" s="3"/>
      <c r="L20" s="3"/>
    </row>
    <row r="21" spans="2:13" x14ac:dyDescent="0.2">
      <c r="B21" s="398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398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398"/>
      <c r="C23" s="149" t="s">
        <v>637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Student_Cokeoven</f>
        <v>1.2140142164545837</v>
      </c>
      <c r="I23" s="3"/>
      <c r="K23" s="3"/>
      <c r="L23" s="3"/>
    </row>
    <row r="24" spans="2:13" x14ac:dyDescent="0.2">
      <c r="B24" s="398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6" t="s">
        <v>402</v>
      </c>
      <c r="D30" s="195" t="s">
        <v>81</v>
      </c>
      <c r="E30" s="195" t="s">
        <v>352</v>
      </c>
    </row>
    <row r="31" spans="2:13" x14ac:dyDescent="0.2">
      <c r="B31" s="396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396"/>
      <c r="C32" s="149" t="s">
        <v>637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396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636</v>
      </c>
    </row>
    <row r="38" spans="2:5" ht="18" x14ac:dyDescent="0.25">
      <c r="B38" s="298" t="s">
        <v>635</v>
      </c>
      <c r="C38" s="3">
        <f>E_tot/('Ore-&gt;PI'!FL126/1000)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1" t="s">
        <v>356</v>
      </c>
      <c r="F3" s="421"/>
      <c r="G3" s="421"/>
      <c r="H3"/>
      <c r="I3"/>
      <c r="L3" s="394" t="s">
        <v>446</v>
      </c>
      <c r="M3" s="394"/>
      <c r="N3" s="394"/>
      <c r="P3"/>
      <c r="T3" s="171" t="s">
        <v>445</v>
      </c>
    </row>
    <row r="4" spans="3:20" ht="16" thickBot="1" x14ac:dyDescent="0.25">
      <c r="E4" s="397" t="s">
        <v>11</v>
      </c>
      <c r="F4" s="397"/>
      <c r="G4" s="397"/>
      <c r="H4"/>
      <c r="I4"/>
      <c r="L4" s="397" t="s">
        <v>48</v>
      </c>
      <c r="M4" s="397"/>
      <c r="N4" s="397"/>
      <c r="P4"/>
      <c r="T4" s="3" t="s">
        <v>48</v>
      </c>
    </row>
    <row r="5" spans="3:20" ht="14.5" customHeight="1" thickBot="1" x14ac:dyDescent="0.25">
      <c r="C5" s="402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402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2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4" t="s">
        <v>446</v>
      </c>
      <c r="M9" s="394"/>
      <c r="N9" s="394"/>
      <c r="O9" s="394"/>
    </row>
    <row r="10" spans="3:20" x14ac:dyDescent="0.2">
      <c r="E10" s="421" t="s">
        <v>356</v>
      </c>
      <c r="F10" s="421"/>
      <c r="L10" s="397" t="s">
        <v>48</v>
      </c>
      <c r="M10" s="397"/>
      <c r="N10" s="397"/>
      <c r="O10" s="397"/>
    </row>
    <row r="11" spans="3:20" x14ac:dyDescent="0.2">
      <c r="E11" s="397" t="s">
        <v>11</v>
      </c>
      <c r="F11" s="397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401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401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1"/>
      <c r="D14" s="155" t="s">
        <v>23</v>
      </c>
      <c r="E14" s="3" t="s">
        <v>98</v>
      </c>
      <c r="F14" s="3">
        <f>Kiln_CO2Waste</f>
        <v>307.80454225965212</v>
      </c>
      <c r="L14" s="394" t="s">
        <v>446</v>
      </c>
      <c r="M14" s="394"/>
      <c r="N14" s="394"/>
    </row>
    <row r="15" spans="3:20" x14ac:dyDescent="0.2">
      <c r="C15" s="401"/>
      <c r="D15" s="3" t="s">
        <v>19</v>
      </c>
      <c r="E15" s="17">
        <f>SUM(E13:E14)</f>
        <v>0</v>
      </c>
      <c r="F15" s="17">
        <f>SUM(F13:F14)</f>
        <v>312.78929480475023</v>
      </c>
      <c r="L15" s="397" t="s">
        <v>48</v>
      </c>
      <c r="M15" s="397"/>
      <c r="N15" s="397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4" t="s">
        <v>446</v>
      </c>
      <c r="M19" s="394"/>
    </row>
    <row r="20" spans="3:16" x14ac:dyDescent="0.2">
      <c r="C20" s="398" t="s">
        <v>353</v>
      </c>
      <c r="E20" s="156" t="s">
        <v>350</v>
      </c>
      <c r="L20" s="397" t="s">
        <v>48</v>
      </c>
      <c r="M20" s="397"/>
    </row>
    <row r="21" spans="3:16" ht="14.5" customHeight="1" x14ac:dyDescent="0.2">
      <c r="C21" s="398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398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98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2" t="s">
        <v>70</v>
      </c>
      <c r="I2" s="312"/>
      <c r="J2" s="312"/>
      <c r="K2" s="312"/>
      <c r="L2" s="312"/>
      <c r="M2" s="31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2" t="s">
        <v>74</v>
      </c>
      <c r="I3" s="312"/>
      <c r="J3" s="312"/>
      <c r="K3" s="13"/>
      <c r="L3" s="329" t="s">
        <v>75</v>
      </c>
      <c r="M3" s="329"/>
      <c r="N3" s="7"/>
      <c r="AN3" s="423" t="s">
        <v>78</v>
      </c>
      <c r="AO3" s="423"/>
      <c r="AP3" s="423"/>
      <c r="AQ3" s="423"/>
      <c r="AR3" s="423"/>
      <c r="AS3" s="423"/>
      <c r="AT3" s="423"/>
      <c r="AU3" s="423"/>
      <c r="AV3" s="423"/>
      <c r="AW3" s="423"/>
      <c r="AX3" s="423"/>
      <c r="AY3" s="423"/>
      <c r="AZ3" s="423"/>
      <c r="BA3" s="423"/>
      <c r="BB3" s="423"/>
      <c r="BC3" s="423"/>
      <c r="BD3" s="423"/>
      <c r="BE3" s="423"/>
      <c r="BF3" s="423"/>
      <c r="BG3" s="423"/>
      <c r="BH3" s="423"/>
      <c r="BI3" s="423"/>
      <c r="BJ3" s="423"/>
      <c r="BK3" s="423"/>
    </row>
    <row r="4" spans="3:69" ht="17" x14ac:dyDescent="0.25">
      <c r="C4" s="13" t="s">
        <v>11</v>
      </c>
      <c r="D4" s="13" t="s">
        <v>76</v>
      </c>
      <c r="E4" s="13"/>
      <c r="F4" s="13"/>
      <c r="AN4" s="423"/>
      <c r="AO4" s="423"/>
      <c r="AP4" s="423"/>
      <c r="AQ4" s="423"/>
      <c r="AR4" s="423"/>
      <c r="AS4" s="423"/>
      <c r="AT4" s="423"/>
      <c r="AU4" s="423"/>
      <c r="AV4" s="423"/>
      <c r="AW4" s="423"/>
      <c r="AX4" s="423"/>
      <c r="AY4" s="423"/>
      <c r="AZ4" s="423"/>
      <c r="BA4" s="423"/>
      <c r="BB4" s="423"/>
      <c r="BC4" s="423"/>
      <c r="BD4" s="423"/>
      <c r="BE4" s="423"/>
      <c r="BF4" s="423"/>
      <c r="BG4" s="423"/>
      <c r="BH4" s="423"/>
      <c r="BI4" s="423"/>
      <c r="BJ4" s="423"/>
      <c r="BK4" s="423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2"/>
      <c r="J5" s="312"/>
      <c r="K5" s="312"/>
      <c r="L5" s="312"/>
      <c r="M5" s="312"/>
      <c r="AN5" s="423"/>
      <c r="AO5" s="423"/>
      <c r="AP5" s="423"/>
      <c r="AQ5" s="423"/>
      <c r="AR5" s="423"/>
      <c r="AS5" s="423"/>
      <c r="AT5" s="423"/>
      <c r="AU5" s="423"/>
      <c r="AV5" s="423"/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2">
        <v>6</v>
      </c>
      <c r="BJ10" s="422"/>
      <c r="BK10" s="422"/>
      <c r="BL10" s="422"/>
      <c r="BM10" s="422"/>
      <c r="BN10" s="422"/>
      <c r="BO10" s="422"/>
      <c r="BP10" s="422"/>
      <c r="BQ10" s="422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2"/>
      <c r="BJ11" s="422"/>
      <c r="BK11" s="422"/>
      <c r="BL11" s="422"/>
      <c r="BM11" s="422"/>
      <c r="BN11" s="422"/>
      <c r="BO11" s="422"/>
      <c r="BP11" s="422"/>
      <c r="BQ11" s="422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4" t="s">
        <v>112</v>
      </c>
    </row>
    <row r="18" spans="3:87" ht="18.5" customHeight="1" x14ac:dyDescent="0.25">
      <c r="BI18" s="424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4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4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4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4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8">
        <v>1</v>
      </c>
      <c r="D28" s="428"/>
      <c r="E28" s="428"/>
      <c r="F28" s="428"/>
      <c r="G28" s="428"/>
      <c r="H28" s="428"/>
      <c r="I28" s="428"/>
      <c r="J28" s="428"/>
      <c r="K28" s="428"/>
      <c r="L28" s="428"/>
      <c r="M28" s="428"/>
      <c r="N28" s="428"/>
      <c r="O28" s="428"/>
      <c r="P28" s="1"/>
      <c r="Q28" s="1"/>
      <c r="R28" s="1"/>
      <c r="S28" s="1"/>
      <c r="T28" s="1"/>
      <c r="U28" s="1"/>
      <c r="V28" s="1"/>
      <c r="W28" s="427">
        <v>3</v>
      </c>
      <c r="X28" s="427"/>
      <c r="Y28" s="427"/>
      <c r="Z28" s="427"/>
      <c r="AA28" s="427"/>
      <c r="AB28" s="427"/>
      <c r="AC28" s="427"/>
      <c r="AD28" s="427"/>
      <c r="AE28" s="427"/>
      <c r="AF28" s="427"/>
      <c r="AG28" s="427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8">
        <v>4</v>
      </c>
      <c r="AU28" s="428"/>
      <c r="AV28" s="428"/>
      <c r="AW28" s="428"/>
      <c r="AX28" s="428"/>
      <c r="AY28" s="428"/>
      <c r="AZ28" s="428"/>
      <c r="BA28" s="428"/>
      <c r="BB28" s="428"/>
      <c r="BC28" s="428"/>
      <c r="BD28" s="428"/>
      <c r="BE28" s="428"/>
      <c r="BF28" s="428"/>
      <c r="BG28" s="428"/>
      <c r="BH28" s="428"/>
      <c r="BI28" s="428"/>
      <c r="BT28" s="428">
        <v>5</v>
      </c>
      <c r="BU28" s="428"/>
      <c r="BV28" s="428"/>
      <c r="BW28" s="428"/>
      <c r="BX28" s="428"/>
      <c r="BY28" s="428"/>
      <c r="BZ28" s="428"/>
      <c r="CA28" s="428"/>
      <c r="CB28" s="428"/>
      <c r="CC28" s="428"/>
      <c r="CD28" s="428"/>
      <c r="CE28" s="428"/>
      <c r="CF28" s="428"/>
      <c r="CG28" s="428"/>
      <c r="CH28" s="428"/>
      <c r="CI28" s="428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6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6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6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6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5" t="s">
        <v>80</v>
      </c>
      <c r="AK37" s="425"/>
      <c r="AL37" s="425"/>
      <c r="AM37" s="425"/>
      <c r="AN37" s="425"/>
      <c r="AO37" s="425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5" t="s">
        <v>81</v>
      </c>
      <c r="S38" s="425"/>
      <c r="T38" s="425"/>
      <c r="U38" s="425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5"/>
      <c r="AK38" s="425"/>
      <c r="AL38" s="425"/>
      <c r="AM38" s="425"/>
      <c r="AN38" s="425"/>
      <c r="AO38" s="425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5" t="s">
        <v>97</v>
      </c>
      <c r="BM38" s="425"/>
      <c r="BN38" s="425"/>
      <c r="BO38" s="425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5"/>
      <c r="S39" s="425"/>
      <c r="T39" s="425"/>
      <c r="U39" s="425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5"/>
      <c r="AK39" s="425"/>
      <c r="AL39" s="425"/>
      <c r="AM39" s="425"/>
      <c r="AN39" s="425"/>
      <c r="AO39" s="425"/>
      <c r="AP39" s="51"/>
      <c r="AQ39" s="51"/>
      <c r="AR39" s="1"/>
      <c r="AS39" s="1"/>
      <c r="AT39" s="1"/>
      <c r="AU39" s="1"/>
      <c r="AV39" s="1"/>
      <c r="AW39" s="1"/>
      <c r="AX39" s="1"/>
      <c r="BL39" s="425"/>
      <c r="BM39" s="425"/>
      <c r="BN39" s="425"/>
      <c r="BO39" s="425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5"/>
      <c r="S40" s="425"/>
      <c r="T40" s="425"/>
      <c r="U40" s="425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5"/>
      <c r="AK40" s="425"/>
      <c r="AL40" s="425"/>
      <c r="AM40" s="425"/>
      <c r="AN40" s="425"/>
      <c r="AO40" s="425"/>
      <c r="AP40" s="51"/>
      <c r="AQ40" s="51"/>
      <c r="AR40" s="1"/>
      <c r="AS40" s="56"/>
      <c r="AT40" s="1"/>
      <c r="AU40" s="1"/>
      <c r="AV40" s="1"/>
      <c r="AW40" s="1"/>
      <c r="AX40" s="1"/>
      <c r="BL40" s="425"/>
      <c r="BM40" s="425"/>
      <c r="BN40" s="425"/>
      <c r="BO40" s="425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5"/>
      <c r="AK41" s="425"/>
      <c r="AL41" s="425"/>
      <c r="AM41" s="425"/>
      <c r="AN41" s="425"/>
      <c r="AO41" s="425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54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5"/>
      <c r="AK42" s="425"/>
      <c r="AL42" s="425"/>
      <c r="AM42" s="425"/>
      <c r="AN42" s="425"/>
      <c r="AO42" s="425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47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5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48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47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48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9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9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9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9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9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7">
        <v>2</v>
      </c>
      <c r="D57" s="427"/>
      <c r="E57" s="427"/>
      <c r="F57" s="427"/>
      <c r="G57" s="427"/>
      <c r="H57" s="427"/>
      <c r="I57" s="427"/>
      <c r="J57" s="427"/>
      <c r="K57" s="427"/>
      <c r="L57" s="427"/>
      <c r="M57" s="427"/>
      <c r="N57" s="427"/>
      <c r="O57" s="427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29" zoomScale="161" workbookViewId="0">
      <selection activeCell="F59" sqref="F5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13" t="s">
        <v>317</v>
      </c>
      <c r="E4" s="313"/>
      <c r="F4" s="313"/>
      <c r="G4" s="313"/>
      <c r="H4" s="166"/>
      <c r="I4" s="166"/>
      <c r="P4" s="166"/>
      <c r="Q4" s="166"/>
      <c r="R4" s="166"/>
      <c r="S4" s="399" t="s">
        <v>355</v>
      </c>
      <c r="T4" s="399"/>
      <c r="U4" s="399"/>
      <c r="V4" s="399"/>
      <c r="W4" s="166"/>
    </row>
    <row r="5" spans="1:23" x14ac:dyDescent="0.2">
      <c r="A5" s="166"/>
      <c r="B5" s="168"/>
      <c r="C5" s="168"/>
      <c r="D5" s="397" t="s">
        <v>82</v>
      </c>
      <c r="E5" s="397"/>
      <c r="F5" s="397"/>
      <c r="G5" s="397"/>
      <c r="H5" s="166"/>
      <c r="I5" s="166"/>
      <c r="P5" s="166"/>
      <c r="Q5" s="166"/>
      <c r="R5" s="166"/>
      <c r="S5" s="399"/>
      <c r="T5" s="399"/>
      <c r="U5" s="399"/>
      <c r="V5" s="399"/>
      <c r="W5" s="166"/>
    </row>
    <row r="6" spans="1:23" ht="15" customHeight="1" x14ac:dyDescent="0.2">
      <c r="A6" s="166"/>
      <c r="B6" s="402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9"/>
      <c r="T6" s="399"/>
      <c r="U6" s="399"/>
      <c r="V6" s="399"/>
      <c r="W6" s="166"/>
    </row>
    <row r="7" spans="1:23" ht="16" thickBot="1" x14ac:dyDescent="0.25">
      <c r="A7" s="166"/>
      <c r="B7" s="402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400"/>
      <c r="T7" s="400"/>
      <c r="U7" s="400"/>
      <c r="V7" s="400"/>
      <c r="W7" s="166"/>
    </row>
    <row r="8" spans="1:23" x14ac:dyDescent="0.2">
      <c r="A8" s="166"/>
      <c r="B8" s="402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9" t="s">
        <v>354</v>
      </c>
      <c r="R8" s="415"/>
      <c r="S8" s="417" t="s">
        <v>341</v>
      </c>
      <c r="T8" s="418"/>
      <c r="U8" s="403" t="s">
        <v>406</v>
      </c>
      <c r="V8" s="404"/>
      <c r="W8" s="166"/>
    </row>
    <row r="9" spans="1:23" x14ac:dyDescent="0.2">
      <c r="A9" s="166"/>
      <c r="B9" s="402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9"/>
      <c r="R9" s="415"/>
      <c r="S9" s="419"/>
      <c r="T9" s="420"/>
      <c r="U9" s="405"/>
      <c r="V9" s="406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9"/>
      <c r="R10" s="415"/>
      <c r="S10" s="419"/>
      <c r="T10" s="420"/>
      <c r="U10" s="405"/>
      <c r="V10" s="406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9"/>
      <c r="R11" s="415"/>
      <c r="S11" s="419"/>
      <c r="T11" s="420"/>
      <c r="U11" s="405"/>
      <c r="V11" s="406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30" t="s">
        <v>405</v>
      </c>
      <c r="R12" s="415"/>
      <c r="S12" s="411" t="s">
        <v>316</v>
      </c>
      <c r="T12" s="412"/>
      <c r="U12" s="407" t="s">
        <v>342</v>
      </c>
      <c r="V12" s="408"/>
      <c r="W12" s="166"/>
    </row>
    <row r="13" spans="1:23" x14ac:dyDescent="0.2">
      <c r="A13" s="166"/>
      <c r="B13" s="168"/>
      <c r="C13" s="168"/>
      <c r="D13" s="313" t="s">
        <v>317</v>
      </c>
      <c r="E13" s="313"/>
      <c r="F13" s="313"/>
      <c r="G13" s="313"/>
      <c r="H13" s="313"/>
      <c r="I13" s="166"/>
      <c r="P13" s="166"/>
      <c r="Q13" s="399"/>
      <c r="R13" s="415"/>
      <c r="S13" s="411"/>
      <c r="T13" s="412"/>
      <c r="U13" s="407"/>
      <c r="V13" s="408"/>
      <c r="W13" s="166"/>
    </row>
    <row r="14" spans="1:23" ht="15" customHeight="1" x14ac:dyDescent="0.2">
      <c r="A14" s="166"/>
      <c r="B14" s="168"/>
      <c r="C14" s="168"/>
      <c r="D14" s="397" t="s">
        <v>82</v>
      </c>
      <c r="E14" s="397"/>
      <c r="F14" s="397"/>
      <c r="G14" s="397"/>
      <c r="H14" s="397"/>
      <c r="I14" s="166"/>
      <c r="P14" s="166"/>
      <c r="Q14" s="399"/>
      <c r="R14" s="415"/>
      <c r="S14" s="411"/>
      <c r="T14" s="412"/>
      <c r="U14" s="407"/>
      <c r="V14" s="408"/>
      <c r="W14" s="166"/>
    </row>
    <row r="15" spans="1:23" ht="16" thickBot="1" x14ac:dyDescent="0.25">
      <c r="A15" s="166"/>
      <c r="B15" s="401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9"/>
      <c r="R15" s="415"/>
      <c r="S15" s="413"/>
      <c r="T15" s="414"/>
      <c r="U15" s="409"/>
      <c r="V15" s="410"/>
      <c r="W15" s="166"/>
    </row>
    <row r="16" spans="1:23" x14ac:dyDescent="0.2">
      <c r="A16" s="166"/>
      <c r="B16" s="401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401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401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13" t="s">
        <v>317</v>
      </c>
      <c r="E21" s="313"/>
      <c r="F21" s="313"/>
      <c r="G21" s="313"/>
      <c r="H21" s="166"/>
      <c r="I21" s="166"/>
    </row>
    <row r="22" spans="1:12" ht="15" customHeight="1" x14ac:dyDescent="0.2">
      <c r="A22" s="166"/>
      <c r="B22" s="168"/>
      <c r="C22" s="168"/>
      <c r="D22" s="397" t="s">
        <v>82</v>
      </c>
      <c r="E22" s="397"/>
      <c r="F22" s="397"/>
      <c r="G22" s="397"/>
      <c r="H22" s="166"/>
      <c r="I22" s="166"/>
    </row>
    <row r="23" spans="1:12" x14ac:dyDescent="0.2">
      <c r="A23" s="166"/>
      <c r="B23" s="398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398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6"/>
      <c r="I24" s="166"/>
    </row>
    <row r="25" spans="1:12" x14ac:dyDescent="0.2">
      <c r="A25" s="166"/>
      <c r="B25" s="398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Student_Cokeoven</f>
        <v>1.2140142164545837</v>
      </c>
      <c r="H25" s="166"/>
      <c r="I25" s="166"/>
    </row>
    <row r="26" spans="1:12" x14ac:dyDescent="0.2">
      <c r="A26" s="166"/>
      <c r="B26" s="398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6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396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6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396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  <row r="49" spans="2:5" ht="18" x14ac:dyDescent="0.25">
      <c r="C49" s="298" t="s">
        <v>678</v>
      </c>
      <c r="D49" s="298" t="s">
        <v>679</v>
      </c>
      <c r="E49" s="298" t="s">
        <v>680</v>
      </c>
    </row>
    <row r="50" spans="2:5" x14ac:dyDescent="0.2">
      <c r="C50" s="3"/>
      <c r="D50" s="3"/>
      <c r="E50" s="3"/>
    </row>
    <row r="51" spans="2:5" x14ac:dyDescent="0.2">
      <c r="B51" s="204" t="s">
        <v>415</v>
      </c>
      <c r="C51" s="3">
        <f>Bejan_IronExtraction</f>
        <v>0</v>
      </c>
      <c r="D51" s="3">
        <f>Student_IronExtraction</f>
        <v>0.54834789034775577</v>
      </c>
      <c r="E51" s="3"/>
    </row>
    <row r="52" spans="2:5" x14ac:dyDescent="0.2">
      <c r="B52" s="204" t="s">
        <v>416</v>
      </c>
      <c r="C52" s="3">
        <f>Bejan_LimeExtraction</f>
        <v>0</v>
      </c>
      <c r="D52" s="3">
        <f>Student_LimeExtraction</f>
        <v>0.98926908455007689</v>
      </c>
      <c r="E52" s="3"/>
    </row>
    <row r="53" spans="2:5" x14ac:dyDescent="0.2">
      <c r="B53" s="204" t="s">
        <v>417</v>
      </c>
      <c r="C53" s="3">
        <f>Bejan_CoalExtraction</f>
        <v>0</v>
      </c>
      <c r="D53" s="3">
        <f>Student_CoalExtraction</f>
        <v>0.98878157674342848</v>
      </c>
      <c r="E53" s="3"/>
    </row>
    <row r="54" spans="2:5" x14ac:dyDescent="0.2">
      <c r="B54" s="204" t="s">
        <v>565</v>
      </c>
      <c r="C54" s="3">
        <f>Bejan_IronHauling</f>
        <v>0</v>
      </c>
      <c r="D54" s="3">
        <f>Student_IronHauling</f>
        <v>0.15191900995389168</v>
      </c>
      <c r="E54" s="3"/>
    </row>
    <row r="55" spans="2:5" x14ac:dyDescent="0.2">
      <c r="B55" s="204" t="s">
        <v>544</v>
      </c>
      <c r="C55" s="3">
        <f>Bejan_LimeHauling</f>
        <v>0</v>
      </c>
      <c r="D55" s="3">
        <f>Student__LimeHauling</f>
        <v>0.89989464623142024</v>
      </c>
      <c r="E55" s="3"/>
    </row>
    <row r="56" spans="2:5" x14ac:dyDescent="0.2">
      <c r="B56" s="204" t="s">
        <v>543</v>
      </c>
      <c r="C56" s="3">
        <f>Bejan_CoalHauling</f>
        <v>0</v>
      </c>
      <c r="D56" s="3">
        <f>Student_CoalHauling</f>
        <v>0.98202222166069097</v>
      </c>
      <c r="E56" s="3"/>
    </row>
    <row r="57" spans="2:5" x14ac:dyDescent="0.2">
      <c r="B57" s="204" t="s">
        <v>443</v>
      </c>
      <c r="C57" s="3">
        <f>Bejan_IronBeneficiation</f>
        <v>0.10204303400670409</v>
      </c>
      <c r="D57" s="3">
        <f>Student_IronBeneficiation</f>
        <v>0.9084965360427989</v>
      </c>
      <c r="E57" s="3"/>
    </row>
    <row r="58" spans="2:5" x14ac:dyDescent="0.2">
      <c r="B58" s="204" t="s">
        <v>440</v>
      </c>
      <c r="C58" s="3">
        <f>Bejan_LimeBeneficiation</f>
        <v>0</v>
      </c>
      <c r="D58" s="3">
        <f>Student_LimeBeneficiation</f>
        <v>0.99885105550639652</v>
      </c>
      <c r="E58" s="3"/>
    </row>
    <row r="59" spans="2:5" x14ac:dyDescent="0.2">
      <c r="B59" s="204" t="s">
        <v>458</v>
      </c>
      <c r="C59" s="3" t="s">
        <v>388</v>
      </c>
      <c r="D59" s="3"/>
      <c r="E59" s="3"/>
    </row>
    <row r="60" spans="2:5" x14ac:dyDescent="0.2">
      <c r="B60" s="204" t="s">
        <v>441</v>
      </c>
      <c r="C60" s="3" t="s">
        <v>69</v>
      </c>
      <c r="D60" s="3"/>
      <c r="E60" s="3"/>
    </row>
    <row r="61" spans="2:5" x14ac:dyDescent="0.2">
      <c r="B61" s="204" t="s">
        <v>436</v>
      </c>
      <c r="C61" s="3" t="s">
        <v>69</v>
      </c>
      <c r="D61" s="3"/>
      <c r="E61" s="3"/>
    </row>
    <row r="62" spans="2:5" x14ac:dyDescent="0.2">
      <c r="B62" s="204" t="s">
        <v>672</v>
      </c>
      <c r="C62" s="3">
        <f>Bejan_COGtreatment</f>
        <v>0.32384219142951498</v>
      </c>
      <c r="D62" s="3"/>
      <c r="E62" s="3"/>
    </row>
    <row r="63" spans="2:5" x14ac:dyDescent="0.2">
      <c r="B63" s="204" t="s">
        <v>675</v>
      </c>
      <c r="C63" s="3" t="s">
        <v>69</v>
      </c>
      <c r="D63" s="3"/>
      <c r="E63" s="3"/>
    </row>
    <row r="64" spans="2:5" x14ac:dyDescent="0.2">
      <c r="B64" s="204" t="s">
        <v>81</v>
      </c>
      <c r="C64" s="3" t="s">
        <v>69</v>
      </c>
      <c r="D64" s="3"/>
      <c r="E64" s="3"/>
    </row>
    <row r="65" spans="2:5" x14ac:dyDescent="0.2">
      <c r="B65" s="204" t="s">
        <v>427</v>
      </c>
      <c r="C65" s="3" t="s">
        <v>69</v>
      </c>
      <c r="D65" s="3"/>
      <c r="E65" s="3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313</vt:i4>
      </vt:variant>
    </vt:vector>
  </HeadingPairs>
  <TitlesOfParts>
    <vt:vector size="326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Rational_COGdistribution</vt:lpstr>
      <vt:lpstr>Rational_COGtreatment</vt:lpstr>
      <vt:lpstr>Resource_COGdistribution</vt:lpstr>
      <vt:lpstr>Resource_COGtreatment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Student_Cokeoven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2025-07-17T20:56:24Z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