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d.docs.live.net/40fa62f298e147df/Desktop/"/>
    </mc:Choice>
  </mc:AlternateContent>
  <xr:revisionPtr revIDLastSave="0" documentId="8_{C4DC5FE0-C5A8-4E89-B32D-99AD7EFC6F45}" xr6:coauthVersionLast="41" xr6:coauthVersionMax="41" xr10:uidLastSave="{00000000-0000-0000-0000-000000000000}"/>
  <bookViews>
    <workbookView xWindow="-120" yWindow="-120" windowWidth="20730" windowHeight="11160" tabRatio="765" firstSheet="3" activeTab="5" xr2:uid="{00000000-000D-0000-FFFF-FFFF00000000}"/>
  </bookViews>
  <sheets>
    <sheet name="Initial Cost" sheetId="35" r:id="rId1"/>
    <sheet name="Figure - Device Rebound" sheetId="21" r:id="rId2"/>
    <sheet name="Figures (ABS)" sheetId="25" state="hidden" r:id="rId3"/>
    <sheet name=" Figures - Individual Bar Graph" sheetId="36" r:id="rId4"/>
    <sheet name=" Figures - Economy Wide" sheetId="23" r:id="rId5"/>
    <sheet name="Heun Tab" sheetId="26" r:id="rId6"/>
    <sheet name="Summary Page" sheetId="11" r:id="rId7"/>
    <sheet name="Tables for Report" sheetId="40" r:id="rId8"/>
    <sheet name="Team 1" sheetId="1" r:id="rId9"/>
    <sheet name="Team 2" sheetId="12" r:id="rId10"/>
    <sheet name="Team 3" sheetId="13" r:id="rId11"/>
    <sheet name="Team 4" sheetId="14" r:id="rId12"/>
    <sheet name="Team 5" sheetId="15" r:id="rId13"/>
    <sheet name="Team 6" sheetId="16" r:id="rId14"/>
    <sheet name="Team A" sheetId="17" r:id="rId15"/>
    <sheet name="Team B" sheetId="18" r:id="rId16"/>
    <sheet name="Team C" sheetId="19" r:id="rId17"/>
    <sheet name="Team D" sheetId="20" r:id="rId1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6" i="40" l="1"/>
  <c r="C86" i="40"/>
  <c r="N66" i="40"/>
  <c r="M66" i="40"/>
  <c r="E69" i="40"/>
  <c r="E67" i="40"/>
  <c r="C67" i="40"/>
  <c r="D66" i="40"/>
  <c r="C66" i="40"/>
  <c r="M46" i="40"/>
  <c r="N46" i="40"/>
  <c r="C26" i="40"/>
  <c r="D26" i="40"/>
  <c r="E27" i="40"/>
  <c r="E26" i="40" l="1"/>
  <c r="T88" i="40"/>
  <c r="H47" i="40"/>
  <c r="M8" i="40"/>
  <c r="O8" i="40" s="1"/>
  <c r="M7" i="40"/>
  <c r="O7" i="40" s="1"/>
  <c r="O6" i="40"/>
  <c r="T89" i="40"/>
  <c r="T87" i="40"/>
  <c r="T86" i="40"/>
  <c r="O89" i="40"/>
  <c r="O88" i="40"/>
  <c r="O87" i="40"/>
  <c r="O86" i="40"/>
  <c r="J89" i="40"/>
  <c r="J88" i="40"/>
  <c r="J87" i="40"/>
  <c r="J86" i="40"/>
  <c r="E89" i="40"/>
  <c r="E88" i="40"/>
  <c r="E87" i="40"/>
  <c r="E86" i="40"/>
  <c r="T69" i="40"/>
  <c r="T68" i="40"/>
  <c r="T67" i="40"/>
  <c r="T66" i="40"/>
  <c r="O69" i="40"/>
  <c r="O68" i="40"/>
  <c r="O67" i="40"/>
  <c r="O66" i="40"/>
  <c r="J69" i="40"/>
  <c r="J68" i="40"/>
  <c r="J67" i="40"/>
  <c r="J66" i="40"/>
  <c r="E68" i="40"/>
  <c r="E66" i="40"/>
  <c r="T49" i="40"/>
  <c r="T48" i="40"/>
  <c r="T47" i="40"/>
  <c r="T46" i="40"/>
  <c r="O49" i="40"/>
  <c r="O48" i="40"/>
  <c r="O47" i="40"/>
  <c r="O46" i="40"/>
  <c r="J49" i="40"/>
  <c r="J48" i="40"/>
  <c r="J47" i="40"/>
  <c r="J46" i="40"/>
  <c r="E49" i="40"/>
  <c r="E48" i="40"/>
  <c r="E47" i="40"/>
  <c r="E46" i="40"/>
  <c r="T29" i="40"/>
  <c r="T28" i="40"/>
  <c r="T27" i="40"/>
  <c r="T26" i="40"/>
  <c r="O29" i="40"/>
  <c r="O28" i="40"/>
  <c r="O27" i="40"/>
  <c r="O26" i="40"/>
  <c r="J29" i="40"/>
  <c r="J28" i="40"/>
  <c r="J27" i="40"/>
  <c r="J26" i="40"/>
  <c r="E28" i="40"/>
  <c r="T9" i="40"/>
  <c r="T8" i="40"/>
  <c r="T7" i="40"/>
  <c r="O9" i="40"/>
  <c r="J6" i="40"/>
  <c r="J9" i="40"/>
  <c r="J8" i="40"/>
  <c r="J7" i="40"/>
  <c r="E7" i="40"/>
  <c r="E8" i="40"/>
  <c r="E9" i="40"/>
  <c r="E6" i="40"/>
  <c r="R99" i="40"/>
  <c r="R98" i="40"/>
  <c r="R97" i="40"/>
  <c r="M99" i="40"/>
  <c r="M98" i="40"/>
  <c r="M97" i="40"/>
  <c r="H99" i="40"/>
  <c r="H98" i="40"/>
  <c r="H97" i="40"/>
  <c r="C99" i="40"/>
  <c r="C98" i="40"/>
  <c r="C97" i="40"/>
  <c r="R79" i="40"/>
  <c r="R78" i="40"/>
  <c r="R77" i="40"/>
  <c r="M79" i="40"/>
  <c r="M78" i="40"/>
  <c r="M77" i="40"/>
  <c r="H79" i="40"/>
  <c r="H78" i="40"/>
  <c r="H77" i="40"/>
  <c r="C79" i="40"/>
  <c r="C78" i="40"/>
  <c r="C77" i="40"/>
  <c r="R59" i="40"/>
  <c r="R58" i="40"/>
  <c r="R57" i="40"/>
  <c r="M59" i="40"/>
  <c r="M58" i="40"/>
  <c r="M57" i="40"/>
  <c r="H59" i="40"/>
  <c r="H58" i="40"/>
  <c r="H57" i="40"/>
  <c r="C59" i="40"/>
  <c r="C58" i="40"/>
  <c r="C57" i="40"/>
  <c r="R39" i="40"/>
  <c r="R38" i="40"/>
  <c r="R37" i="40"/>
  <c r="M39" i="40"/>
  <c r="M38" i="40"/>
  <c r="M37" i="40"/>
  <c r="H39" i="40"/>
  <c r="H38" i="40"/>
  <c r="H37" i="40"/>
  <c r="C38" i="40"/>
  <c r="C37" i="40"/>
  <c r="R19" i="40"/>
  <c r="R18" i="40"/>
  <c r="R17" i="40"/>
  <c r="M19" i="40"/>
  <c r="M18" i="40"/>
  <c r="M17" i="40"/>
  <c r="H19" i="40"/>
  <c r="H18" i="40"/>
  <c r="H17" i="40"/>
  <c r="C19" i="40"/>
  <c r="J4" i="23"/>
  <c r="C18" i="40"/>
  <c r="C17" i="40"/>
  <c r="N88" i="40" l="1"/>
  <c r="N87" i="40"/>
  <c r="N86" i="40"/>
  <c r="N89" i="40"/>
  <c r="R90" i="40"/>
  <c r="S89" i="40"/>
  <c r="S88" i="40"/>
  <c r="S87" i="40"/>
  <c r="S86" i="40"/>
  <c r="R92" i="40"/>
  <c r="R91" i="40"/>
  <c r="R89" i="40"/>
  <c r="R88" i="40"/>
  <c r="R87" i="40"/>
  <c r="R86" i="40"/>
  <c r="R94" i="40"/>
  <c r="R93" i="40"/>
  <c r="M93" i="40"/>
  <c r="M94" i="40"/>
  <c r="M92" i="40"/>
  <c r="M91" i="40"/>
  <c r="M90" i="40"/>
  <c r="M89" i="40"/>
  <c r="M88" i="40"/>
  <c r="M87" i="40"/>
  <c r="M86" i="40"/>
  <c r="H94" i="40"/>
  <c r="I89" i="40"/>
  <c r="I88" i="40"/>
  <c r="I87" i="40"/>
  <c r="I86" i="40"/>
  <c r="H93" i="40"/>
  <c r="H92" i="40"/>
  <c r="H91" i="40"/>
  <c r="H90" i="40"/>
  <c r="H89" i="40"/>
  <c r="H88" i="40"/>
  <c r="H87" i="40"/>
  <c r="H86" i="40"/>
  <c r="C94" i="40"/>
  <c r="C93" i="40"/>
  <c r="C92" i="40"/>
  <c r="C91" i="40"/>
  <c r="C90" i="40"/>
  <c r="D89" i="40"/>
  <c r="D88" i="40"/>
  <c r="D87" i="40"/>
  <c r="C89" i="40"/>
  <c r="C88" i="40"/>
  <c r="C87" i="40"/>
  <c r="R74" i="40"/>
  <c r="S69" i="40"/>
  <c r="S68" i="40"/>
  <c r="S67" i="40"/>
  <c r="S66" i="40"/>
  <c r="R73" i="40"/>
  <c r="R72" i="40"/>
  <c r="R71" i="40"/>
  <c r="R70" i="40"/>
  <c r="R69" i="40"/>
  <c r="R68" i="40"/>
  <c r="R67" i="40"/>
  <c r="R66" i="40"/>
  <c r="M74" i="40"/>
  <c r="N69" i="40"/>
  <c r="N68" i="40"/>
  <c r="N67" i="40"/>
  <c r="M73" i="40"/>
  <c r="M72" i="40"/>
  <c r="M71" i="40"/>
  <c r="M70" i="40"/>
  <c r="M69" i="40"/>
  <c r="M68" i="40"/>
  <c r="M67" i="40"/>
  <c r="H74" i="40"/>
  <c r="I69" i="40"/>
  <c r="I68" i="40"/>
  <c r="I67" i="40"/>
  <c r="I66" i="40"/>
  <c r="H73" i="40"/>
  <c r="H72" i="40"/>
  <c r="H71" i="40"/>
  <c r="H70" i="40"/>
  <c r="H69" i="40"/>
  <c r="H68" i="40"/>
  <c r="H67" i="40"/>
  <c r="H66" i="40"/>
  <c r="C74" i="40"/>
  <c r="C73" i="40"/>
  <c r="C72" i="40"/>
  <c r="C71" i="40"/>
  <c r="C70" i="40"/>
  <c r="D69" i="40"/>
  <c r="D68" i="40"/>
  <c r="D67" i="40"/>
  <c r="C69" i="40"/>
  <c r="C68" i="40"/>
  <c r="R54" i="40"/>
  <c r="R50" i="40"/>
  <c r="R53" i="40"/>
  <c r="R52" i="40"/>
  <c r="R51" i="40"/>
  <c r="S49" i="40"/>
  <c r="S48" i="40"/>
  <c r="S47" i="40"/>
  <c r="S46" i="40"/>
  <c r="R49" i="40"/>
  <c r="R48" i="40"/>
  <c r="R47" i="40"/>
  <c r="R46" i="40"/>
  <c r="M54" i="40"/>
  <c r="M53" i="40"/>
  <c r="M52" i="40"/>
  <c r="M51" i="40"/>
  <c r="M50" i="40"/>
  <c r="N49" i="40"/>
  <c r="N48" i="40"/>
  <c r="N47" i="40"/>
  <c r="M49" i="40"/>
  <c r="M48" i="40"/>
  <c r="M47" i="40"/>
  <c r="H54" i="40"/>
  <c r="H53" i="40"/>
  <c r="H52" i="40"/>
  <c r="H51" i="40"/>
  <c r="H50" i="40"/>
  <c r="I49" i="40"/>
  <c r="I48" i="40"/>
  <c r="I47" i="40"/>
  <c r="I46" i="40"/>
  <c r="H49" i="40"/>
  <c r="H48" i="40"/>
  <c r="H46" i="40"/>
  <c r="C54" i="40"/>
  <c r="C53" i="40"/>
  <c r="C52" i="40"/>
  <c r="C51" i="40"/>
  <c r="C50" i="40"/>
  <c r="D49" i="40"/>
  <c r="D48" i="40"/>
  <c r="D47" i="40"/>
  <c r="D46" i="40"/>
  <c r="C49" i="40"/>
  <c r="C48" i="40"/>
  <c r="C47" i="40"/>
  <c r="C46" i="40"/>
  <c r="R34" i="40"/>
  <c r="M34" i="40"/>
  <c r="R33" i="40"/>
  <c r="R32" i="40"/>
  <c r="R31" i="40"/>
  <c r="R30" i="40"/>
  <c r="S29" i="40"/>
  <c r="S28" i="40"/>
  <c r="S27" i="40"/>
  <c r="S26" i="40"/>
  <c r="R29" i="40"/>
  <c r="R28" i="40"/>
  <c r="R27" i="40"/>
  <c r="R26" i="40"/>
  <c r="N29" i="40"/>
  <c r="N28" i="40"/>
  <c r="N27" i="40"/>
  <c r="N26" i="40"/>
  <c r="M33" i="40"/>
  <c r="M32" i="40"/>
  <c r="M31" i="40"/>
  <c r="M30" i="40"/>
  <c r="M29" i="40"/>
  <c r="M28" i="40"/>
  <c r="M27" i="40"/>
  <c r="M26" i="40"/>
  <c r="H34" i="40"/>
  <c r="I29" i="40"/>
  <c r="I28" i="40"/>
  <c r="I27" i="40"/>
  <c r="I26" i="40"/>
  <c r="H33" i="40"/>
  <c r="H32" i="40"/>
  <c r="H31" i="40"/>
  <c r="H30" i="40"/>
  <c r="H29" i="40"/>
  <c r="H28" i="40"/>
  <c r="H27" i="40"/>
  <c r="H26" i="40"/>
  <c r="C33" i="40"/>
  <c r="C31" i="40"/>
  <c r="C30" i="40"/>
  <c r="D29" i="40"/>
  <c r="D28" i="40"/>
  <c r="D27" i="40"/>
  <c r="C29" i="40"/>
  <c r="C28" i="40"/>
  <c r="C27" i="40"/>
  <c r="R14" i="40"/>
  <c r="S9" i="40"/>
  <c r="S8" i="40"/>
  <c r="S7" i="40"/>
  <c r="S6" i="40"/>
  <c r="R13" i="40"/>
  <c r="R12" i="40"/>
  <c r="R11" i="40"/>
  <c r="R10" i="40"/>
  <c r="R9" i="40"/>
  <c r="R8" i="40"/>
  <c r="R7" i="40"/>
  <c r="R6" i="40"/>
  <c r="E29" i="40" l="1"/>
  <c r="M14" i="40"/>
  <c r="C14" i="40"/>
  <c r="M13" i="40"/>
  <c r="M12" i="40"/>
  <c r="M11" i="40"/>
  <c r="M10" i="40"/>
  <c r="M9" i="40"/>
  <c r="N9" i="40"/>
  <c r="N8" i="40"/>
  <c r="N7" i="40"/>
  <c r="N6" i="40"/>
  <c r="M6" i="40"/>
  <c r="H14" i="40"/>
  <c r="H13" i="40"/>
  <c r="H12" i="40"/>
  <c r="H11" i="40"/>
  <c r="H10" i="40"/>
  <c r="I9" i="40"/>
  <c r="H9" i="40"/>
  <c r="H8" i="40"/>
  <c r="I8" i="40"/>
  <c r="I7" i="40"/>
  <c r="I6" i="40"/>
  <c r="H7" i="40"/>
  <c r="H6" i="40"/>
  <c r="C13" i="40"/>
  <c r="C12" i="40"/>
  <c r="C11" i="40"/>
  <c r="C10" i="40"/>
  <c r="C9" i="40"/>
  <c r="D9" i="40"/>
  <c r="D8" i="40"/>
  <c r="C8" i="40"/>
  <c r="C7" i="40"/>
  <c r="D7" i="40"/>
  <c r="D6" i="40"/>
  <c r="C6" i="40"/>
  <c r="H23" i="23"/>
  <c r="G23" i="23"/>
  <c r="H22" i="23"/>
  <c r="G22" i="23"/>
  <c r="H21" i="23"/>
  <c r="G21" i="23"/>
  <c r="H20" i="23"/>
  <c r="G20" i="23"/>
  <c r="H19" i="23"/>
  <c r="G19" i="23"/>
  <c r="H18" i="23"/>
  <c r="G18" i="23"/>
  <c r="I17" i="23"/>
  <c r="H17" i="23"/>
  <c r="G17" i="23"/>
  <c r="H16" i="23"/>
  <c r="G16" i="23"/>
  <c r="F16" i="23"/>
  <c r="H15" i="23"/>
  <c r="G15" i="23"/>
  <c r="H14" i="23"/>
  <c r="G14" i="23"/>
  <c r="H13" i="23"/>
  <c r="G13" i="23"/>
  <c r="I12" i="23"/>
  <c r="H12" i="23"/>
  <c r="G12" i="23"/>
  <c r="H11" i="23"/>
  <c r="G11" i="23"/>
  <c r="I10" i="23"/>
  <c r="H10" i="23"/>
  <c r="G10" i="23"/>
  <c r="H9" i="23"/>
  <c r="G9" i="23"/>
  <c r="H8" i="23"/>
  <c r="G8" i="23"/>
  <c r="H7" i="23"/>
  <c r="G7" i="23"/>
  <c r="H6" i="23"/>
  <c r="G6" i="23"/>
  <c r="H5" i="23"/>
  <c r="G5" i="23"/>
  <c r="H4" i="23"/>
  <c r="G4" i="23"/>
  <c r="K14" i="14" l="1"/>
  <c r="K12" i="14"/>
  <c r="H23" i="36" l="1"/>
  <c r="G23" i="36"/>
  <c r="H22" i="36"/>
  <c r="G22" i="36"/>
  <c r="H21" i="36"/>
  <c r="G21" i="36"/>
  <c r="H20" i="36"/>
  <c r="G20" i="36"/>
  <c r="H19" i="36"/>
  <c r="G19" i="36"/>
  <c r="H18" i="36"/>
  <c r="G18" i="36"/>
  <c r="I17" i="36"/>
  <c r="H17" i="36"/>
  <c r="G17" i="36"/>
  <c r="H16" i="36"/>
  <c r="G16" i="36"/>
  <c r="F16" i="36"/>
  <c r="H15" i="36"/>
  <c r="G15" i="36"/>
  <c r="H14" i="36"/>
  <c r="G14" i="36"/>
  <c r="H13" i="36"/>
  <c r="G13" i="36"/>
  <c r="I12" i="36"/>
  <c r="H12" i="36"/>
  <c r="G12" i="36"/>
  <c r="H11" i="36"/>
  <c r="G11" i="36"/>
  <c r="I10" i="36"/>
  <c r="H10" i="36"/>
  <c r="G10" i="36"/>
  <c r="H9" i="36"/>
  <c r="G9" i="36"/>
  <c r="H8" i="36"/>
  <c r="G8" i="36"/>
  <c r="H7" i="36"/>
  <c r="G7" i="36"/>
  <c r="H6" i="36"/>
  <c r="G6" i="36"/>
  <c r="H5" i="36"/>
  <c r="G5" i="36"/>
  <c r="H4" i="36"/>
  <c r="G4" i="36"/>
  <c r="O21" i="26" l="1"/>
  <c r="N21" i="26"/>
  <c r="D26" i="12"/>
  <c r="J13" i="12"/>
  <c r="E22" i="35"/>
  <c r="D22" i="35"/>
  <c r="K13" i="12" l="1"/>
  <c r="C42" i="19" l="1"/>
  <c r="D14" i="26" l="1"/>
  <c r="J21" i="26" l="1"/>
  <c r="J20" i="26"/>
  <c r="J19" i="26"/>
  <c r="J18" i="26"/>
  <c r="J17" i="26"/>
  <c r="J16" i="26"/>
  <c r="J15" i="26"/>
  <c r="J14" i="26"/>
  <c r="J13" i="26"/>
  <c r="J12" i="26"/>
  <c r="J11" i="26"/>
  <c r="J10" i="26"/>
  <c r="J9" i="26"/>
  <c r="J8" i="26"/>
  <c r="J7" i="26"/>
  <c r="J6" i="26"/>
  <c r="J5" i="26"/>
  <c r="J4" i="26"/>
  <c r="J3" i="26"/>
  <c r="J2" i="26"/>
  <c r="I17" i="26"/>
  <c r="I21" i="26"/>
  <c r="I20" i="26"/>
  <c r="I19" i="26"/>
  <c r="I18" i="26"/>
  <c r="I16" i="26"/>
  <c r="I15" i="26"/>
  <c r="I14" i="26"/>
  <c r="I13" i="26"/>
  <c r="I12" i="26"/>
  <c r="I11" i="26"/>
  <c r="I10" i="26"/>
  <c r="I9" i="26"/>
  <c r="I8" i="26"/>
  <c r="I7" i="26"/>
  <c r="I6" i="26"/>
  <c r="I5" i="26"/>
  <c r="I4" i="26"/>
  <c r="I3" i="26"/>
  <c r="I2" i="26"/>
  <c r="H21" i="26"/>
  <c r="H20" i="26"/>
  <c r="H19" i="26"/>
  <c r="H18" i="26"/>
  <c r="H17" i="26"/>
  <c r="H16" i="26"/>
  <c r="H15" i="26"/>
  <c r="H14" i="26"/>
  <c r="H13" i="26"/>
  <c r="H12" i="26"/>
  <c r="H11" i="26"/>
  <c r="H10" i="26"/>
  <c r="H9" i="26"/>
  <c r="H8" i="26"/>
  <c r="H7" i="26"/>
  <c r="H6" i="26"/>
  <c r="H5" i="26"/>
  <c r="H4" i="26"/>
  <c r="H3" i="26"/>
  <c r="H2" i="26"/>
  <c r="G21" i="26"/>
  <c r="G2" i="26"/>
  <c r="G20" i="26"/>
  <c r="G19" i="26"/>
  <c r="G18" i="26"/>
  <c r="G17" i="26"/>
  <c r="G16" i="26"/>
  <c r="G15" i="26"/>
  <c r="G14" i="26"/>
  <c r="G13" i="26"/>
  <c r="G12" i="26"/>
  <c r="G11" i="26"/>
  <c r="G10" i="26"/>
  <c r="G9" i="26"/>
  <c r="G8" i="26"/>
  <c r="G7" i="26"/>
  <c r="G6" i="26"/>
  <c r="G5" i="26"/>
  <c r="G4" i="26"/>
  <c r="G3" i="26"/>
  <c r="F21" i="26"/>
  <c r="F20" i="26"/>
  <c r="F19" i="26"/>
  <c r="F18" i="26"/>
  <c r="F17" i="26"/>
  <c r="F16" i="26"/>
  <c r="F15" i="26"/>
  <c r="F14" i="26"/>
  <c r="F13" i="26"/>
  <c r="F12" i="26"/>
  <c r="F11" i="26"/>
  <c r="F10" i="26"/>
  <c r="F9" i="26"/>
  <c r="F8" i="26"/>
  <c r="F7" i="26"/>
  <c r="F6" i="26"/>
  <c r="F5" i="26"/>
  <c r="F4" i="26"/>
  <c r="F3" i="26"/>
  <c r="F2" i="26"/>
  <c r="E12" i="26"/>
  <c r="E21" i="26"/>
  <c r="E20" i="26"/>
  <c r="E19" i="26"/>
  <c r="E18" i="26"/>
  <c r="E17" i="26"/>
  <c r="E16" i="26"/>
  <c r="E15" i="26"/>
  <c r="E14" i="26"/>
  <c r="E13" i="26"/>
  <c r="E11" i="26"/>
  <c r="E10" i="26"/>
  <c r="E9" i="26"/>
  <c r="E8" i="26"/>
  <c r="E7" i="26"/>
  <c r="E6" i="26"/>
  <c r="E5" i="26"/>
  <c r="E4" i="26"/>
  <c r="E3" i="26"/>
  <c r="E2" i="26"/>
  <c r="C15" i="26"/>
  <c r="C10" i="26"/>
  <c r="C8" i="26"/>
  <c r="F16" i="25" l="1"/>
  <c r="H23" i="25"/>
  <c r="G23" i="25"/>
  <c r="H22" i="25"/>
  <c r="G22" i="25"/>
  <c r="H21" i="25"/>
  <c r="G21" i="25"/>
  <c r="H20" i="25"/>
  <c r="G20" i="25"/>
  <c r="H19" i="25"/>
  <c r="G19" i="25"/>
  <c r="H18" i="25"/>
  <c r="G18" i="25"/>
  <c r="I17" i="25"/>
  <c r="H17" i="25"/>
  <c r="G17" i="25"/>
  <c r="H16" i="25"/>
  <c r="G16" i="25"/>
  <c r="H15" i="25"/>
  <c r="G15" i="25"/>
  <c r="H14" i="25"/>
  <c r="G14" i="25"/>
  <c r="H13" i="25"/>
  <c r="G13" i="25"/>
  <c r="I12" i="25"/>
  <c r="H12" i="25"/>
  <c r="G12" i="25"/>
  <c r="H11" i="25"/>
  <c r="G11" i="25"/>
  <c r="I10" i="25"/>
  <c r="H10" i="25"/>
  <c r="G10" i="25"/>
  <c r="H9" i="25"/>
  <c r="G9" i="25"/>
  <c r="H8" i="25"/>
  <c r="G8" i="25"/>
  <c r="H7" i="25"/>
  <c r="G7" i="25"/>
  <c r="H6" i="25"/>
  <c r="G6" i="25"/>
  <c r="H5" i="25"/>
  <c r="G5" i="25"/>
  <c r="H4" i="25"/>
  <c r="G4" i="25"/>
  <c r="E107" i="11"/>
  <c r="J42" i="19" l="1"/>
  <c r="D25" i="19"/>
  <c r="D24" i="19"/>
  <c r="L39" i="19"/>
  <c r="K40" i="19"/>
  <c r="J40" i="19"/>
  <c r="K39" i="19"/>
  <c r="J39" i="19"/>
  <c r="K38" i="19"/>
  <c r="J38" i="19"/>
  <c r="L37" i="19"/>
  <c r="C39" i="19"/>
  <c r="E39" i="19" s="1"/>
  <c r="D39" i="19"/>
  <c r="C40" i="19"/>
  <c r="D40" i="19"/>
  <c r="E40" i="19" s="1"/>
  <c r="D38" i="19"/>
  <c r="C38" i="19"/>
  <c r="E37" i="19"/>
  <c r="L38" i="19" l="1"/>
  <c r="L40" i="19"/>
  <c r="D28" i="19"/>
  <c r="E38" i="19"/>
  <c r="D24" i="15"/>
  <c r="C43" i="19" l="1"/>
  <c r="S22" i="11"/>
  <c r="D25" i="14"/>
  <c r="D27" i="14" s="1"/>
  <c r="D24" i="14"/>
  <c r="D28" i="14" s="1"/>
  <c r="S12" i="11" s="1"/>
  <c r="E20" i="23" l="1"/>
  <c r="E20" i="36"/>
  <c r="E10" i="23"/>
  <c r="E10" i="36"/>
  <c r="E10" i="25"/>
  <c r="Q9" i="17"/>
  <c r="Q9" i="18"/>
  <c r="Q9" i="20"/>
  <c r="P9" i="20"/>
  <c r="D24" i="1"/>
  <c r="K26" i="13"/>
  <c r="K25" i="13"/>
  <c r="K27" i="13" s="1"/>
  <c r="K24" i="13"/>
  <c r="M11" i="11" s="1"/>
  <c r="D24" i="20" l="1"/>
  <c r="G24" i="11"/>
  <c r="E103" i="11"/>
  <c r="E104" i="11"/>
  <c r="D26" i="1" l="1"/>
  <c r="M53" i="11" s="1"/>
  <c r="D25" i="1"/>
  <c r="E110" i="11"/>
  <c r="D28" i="1" l="1"/>
  <c r="S6" i="11" s="1"/>
  <c r="D27" i="1"/>
  <c r="E4" i="23" l="1"/>
  <c r="E4" i="36"/>
  <c r="K26" i="1"/>
  <c r="Q17" i="20"/>
  <c r="P17" i="20"/>
  <c r="Q16" i="20"/>
  <c r="P16" i="20"/>
  <c r="P15" i="20"/>
  <c r="Q15" i="20" s="1"/>
  <c r="Q14" i="20"/>
  <c r="P14" i="20"/>
  <c r="Q13" i="20"/>
  <c r="P13" i="20"/>
  <c r="P10" i="20"/>
  <c r="Q10" i="20" s="1"/>
  <c r="Q8" i="20"/>
  <c r="P8" i="20"/>
  <c r="Q7" i="20"/>
  <c r="P7" i="20"/>
  <c r="Q6" i="20"/>
  <c r="P6" i="20"/>
  <c r="Q17" i="18"/>
  <c r="Q17" i="19"/>
  <c r="P17" i="19"/>
  <c r="Q16" i="19"/>
  <c r="P16" i="19"/>
  <c r="Q15" i="19"/>
  <c r="P15" i="19"/>
  <c r="Q14" i="19"/>
  <c r="P14" i="19"/>
  <c r="Q13" i="19"/>
  <c r="P13" i="19"/>
  <c r="P10" i="19"/>
  <c r="Q10" i="19" s="1"/>
  <c r="Q9" i="19"/>
  <c r="P9" i="19"/>
  <c r="Q8" i="19"/>
  <c r="P8" i="19"/>
  <c r="Q7" i="19"/>
  <c r="P7" i="19"/>
  <c r="Q6" i="19"/>
  <c r="P6" i="19"/>
  <c r="P17" i="18"/>
  <c r="P16" i="18"/>
  <c r="Q16" i="18" s="1"/>
  <c r="Q15" i="18"/>
  <c r="P15" i="18"/>
  <c r="Q14" i="18"/>
  <c r="P14" i="18"/>
  <c r="Q13" i="18"/>
  <c r="P13" i="18"/>
  <c r="P10" i="18"/>
  <c r="Q10" i="18" s="1"/>
  <c r="P9" i="18"/>
  <c r="Q8" i="18"/>
  <c r="P8" i="18"/>
  <c r="Q7" i="18"/>
  <c r="P7" i="18"/>
  <c r="Q6" i="18"/>
  <c r="P6" i="18"/>
  <c r="D25" i="15"/>
  <c r="Q10" i="1"/>
  <c r="Q10" i="12"/>
  <c r="D26" i="15"/>
  <c r="Q10" i="14"/>
  <c r="Q10" i="15"/>
  <c r="Q10" i="16"/>
  <c r="Q17" i="17"/>
  <c r="P17" i="17"/>
  <c r="Q16" i="17"/>
  <c r="P16" i="17"/>
  <c r="Q15" i="17"/>
  <c r="P15" i="17"/>
  <c r="Q14" i="17"/>
  <c r="P14" i="17"/>
  <c r="Q13" i="17"/>
  <c r="P13" i="17"/>
  <c r="P10" i="17"/>
  <c r="Q10" i="17" s="1"/>
  <c r="P9" i="17"/>
  <c r="Q8" i="17"/>
  <c r="P8" i="17"/>
  <c r="Q7" i="17"/>
  <c r="P7" i="17"/>
  <c r="Q6" i="17"/>
  <c r="P6" i="17"/>
  <c r="P17" i="16"/>
  <c r="Q17" i="16" s="1"/>
  <c r="Q16" i="16"/>
  <c r="P16" i="16"/>
  <c r="Q15" i="16"/>
  <c r="P15" i="16"/>
  <c r="Q14" i="16"/>
  <c r="P14" i="16"/>
  <c r="Q13" i="16"/>
  <c r="P13" i="16"/>
  <c r="P10" i="16"/>
  <c r="P9" i="16"/>
  <c r="Q9" i="16" s="1"/>
  <c r="Q8" i="16"/>
  <c r="P8" i="16"/>
  <c r="Q7" i="16"/>
  <c r="P7" i="16"/>
  <c r="Q6" i="16"/>
  <c r="P6" i="16"/>
  <c r="Q17" i="15"/>
  <c r="P17" i="15"/>
  <c r="P16" i="15"/>
  <c r="Q16" i="15" s="1"/>
  <c r="Q15" i="15"/>
  <c r="P15" i="15"/>
  <c r="Q14" i="15"/>
  <c r="P14" i="15"/>
  <c r="Q13" i="15"/>
  <c r="P13" i="15"/>
  <c r="P10" i="15"/>
  <c r="Q9" i="15"/>
  <c r="P9" i="15"/>
  <c r="Q8" i="15"/>
  <c r="P8" i="15"/>
  <c r="Q7" i="15"/>
  <c r="P7" i="15"/>
  <c r="Q6" i="15"/>
  <c r="P6" i="15"/>
  <c r="P6" i="14"/>
  <c r="Q6" i="14" s="1"/>
  <c r="Q17" i="14"/>
  <c r="P17" i="14"/>
  <c r="Q16" i="14"/>
  <c r="P16" i="14"/>
  <c r="Q15" i="14"/>
  <c r="P15" i="14"/>
  <c r="Q14" i="14"/>
  <c r="P14" i="14"/>
  <c r="Q13" i="14"/>
  <c r="P13" i="14"/>
  <c r="P10" i="14"/>
  <c r="Q9" i="14"/>
  <c r="P9" i="14"/>
  <c r="Q8" i="14"/>
  <c r="P8" i="14"/>
  <c r="P7" i="14"/>
  <c r="Q7" i="14" s="1"/>
  <c r="Q13" i="13"/>
  <c r="Q13" i="12"/>
  <c r="P6" i="12"/>
  <c r="Q17" i="13"/>
  <c r="P17" i="13"/>
  <c r="Q16" i="13"/>
  <c r="P16" i="13"/>
  <c r="Q15" i="13"/>
  <c r="P15" i="13"/>
  <c r="Q14" i="13"/>
  <c r="P14" i="13"/>
  <c r="P13" i="13"/>
  <c r="P10" i="13"/>
  <c r="Q10" i="13" s="1"/>
  <c r="Q9" i="13"/>
  <c r="P9" i="13"/>
  <c r="Q8" i="13"/>
  <c r="P8" i="13"/>
  <c r="Q7" i="13"/>
  <c r="P7" i="13"/>
  <c r="Q6" i="13"/>
  <c r="P6" i="13"/>
  <c r="P17" i="12"/>
  <c r="Q17" i="12" s="1"/>
  <c r="P16" i="12"/>
  <c r="Q16" i="12" s="1"/>
  <c r="Q15" i="12"/>
  <c r="P15" i="12"/>
  <c r="P14" i="12"/>
  <c r="Q14" i="12" s="1"/>
  <c r="P13" i="12"/>
  <c r="P10" i="12"/>
  <c r="P9" i="12"/>
  <c r="Q9" i="12" s="1"/>
  <c r="Q8" i="12"/>
  <c r="P8" i="12"/>
  <c r="Q7" i="12"/>
  <c r="P7" i="12"/>
  <c r="Q6" i="12"/>
  <c r="Q17" i="1"/>
  <c r="Q9" i="1"/>
  <c r="Q14" i="1"/>
  <c r="Q13" i="1"/>
  <c r="P17" i="1"/>
  <c r="P14" i="1"/>
  <c r="P10" i="1"/>
  <c r="P7" i="1"/>
  <c r="Q7" i="1" s="1"/>
  <c r="P6" i="1"/>
  <c r="Q6" i="1" s="1"/>
  <c r="Q11" i="20" l="1"/>
  <c r="D18" i="20" s="1"/>
  <c r="I22" i="23" s="1"/>
  <c r="Q18" i="19"/>
  <c r="K18" i="19" s="1"/>
  <c r="Q11" i="15"/>
  <c r="Q18" i="16"/>
  <c r="K18" i="16" s="1"/>
  <c r="Q18" i="17"/>
  <c r="Q18" i="12"/>
  <c r="K18" i="12" s="1"/>
  <c r="Q18" i="14"/>
  <c r="K18" i="14" s="1"/>
  <c r="Q18" i="15"/>
  <c r="K18" i="15" s="1"/>
  <c r="Q11" i="19"/>
  <c r="Q18" i="20"/>
  <c r="K18" i="20" s="1"/>
  <c r="Q18" i="18"/>
  <c r="K18" i="18" s="1"/>
  <c r="Q11" i="18"/>
  <c r="D18" i="18" s="1"/>
  <c r="Q11" i="12"/>
  <c r="D18" i="12" s="1"/>
  <c r="Q11" i="13"/>
  <c r="D18" i="13" s="1"/>
  <c r="Q11" i="14"/>
  <c r="Q11" i="16"/>
  <c r="D18" i="16" s="1"/>
  <c r="Q11" i="17"/>
  <c r="D18" i="17" s="1"/>
  <c r="Q18" i="13"/>
  <c r="K18" i="13" s="1"/>
  <c r="D23" i="21"/>
  <c r="D22" i="21"/>
  <c r="D21" i="21"/>
  <c r="D20" i="21"/>
  <c r="D19" i="21"/>
  <c r="D18" i="21"/>
  <c r="D17" i="21"/>
  <c r="D15" i="21"/>
  <c r="D14" i="21"/>
  <c r="D13" i="21"/>
  <c r="D12" i="21"/>
  <c r="D11" i="21"/>
  <c r="D10" i="21"/>
  <c r="D9" i="21"/>
  <c r="D8" i="21"/>
  <c r="D7" i="21"/>
  <c r="D6" i="21"/>
  <c r="D5" i="21"/>
  <c r="D4" i="21"/>
  <c r="I23" i="23" l="1"/>
  <c r="I23" i="36"/>
  <c r="C21" i="26"/>
  <c r="I23" i="25"/>
  <c r="I21" i="23"/>
  <c r="I21" i="36"/>
  <c r="C19" i="26"/>
  <c r="I21" i="25"/>
  <c r="I18" i="23"/>
  <c r="I18" i="36"/>
  <c r="C16" i="26"/>
  <c r="I18" i="25"/>
  <c r="I19" i="23"/>
  <c r="I19" i="36"/>
  <c r="C17" i="26"/>
  <c r="I19" i="25"/>
  <c r="I16" i="23"/>
  <c r="I16" i="36"/>
  <c r="C14" i="26"/>
  <c r="I16" i="25"/>
  <c r="I15" i="23"/>
  <c r="I15" i="36"/>
  <c r="C13" i="26"/>
  <c r="I15" i="25"/>
  <c r="I14" i="23"/>
  <c r="I14" i="36"/>
  <c r="C12" i="26"/>
  <c r="I14" i="25"/>
  <c r="I13" i="23"/>
  <c r="I13" i="36"/>
  <c r="I11" i="23"/>
  <c r="I11" i="36"/>
  <c r="C9" i="26"/>
  <c r="I7" i="23"/>
  <c r="I7" i="36"/>
  <c r="C5" i="26"/>
  <c r="I7" i="25"/>
  <c r="I6" i="23"/>
  <c r="I6" i="36"/>
  <c r="C4" i="26"/>
  <c r="I6" i="25"/>
  <c r="K29" i="13"/>
  <c r="S34" i="11" s="1"/>
  <c r="I9" i="23"/>
  <c r="I9" i="36"/>
  <c r="C7" i="26"/>
  <c r="I9" i="25"/>
  <c r="I8" i="23"/>
  <c r="I8" i="36"/>
  <c r="C6" i="26"/>
  <c r="I8" i="25"/>
  <c r="I22" i="36"/>
  <c r="C20" i="26"/>
  <c r="I22" i="25"/>
  <c r="C11" i="26"/>
  <c r="I13" i="25"/>
  <c r="I11" i="25"/>
  <c r="D18" i="19"/>
  <c r="J41" i="19"/>
  <c r="D27" i="15"/>
  <c r="M86" i="11" s="1"/>
  <c r="M61" i="11"/>
  <c r="M37" i="11"/>
  <c r="M14" i="11"/>
  <c r="I20" i="23" l="1"/>
  <c r="I20" i="36"/>
  <c r="C18" i="26"/>
  <c r="I20" i="25"/>
  <c r="C41" i="19"/>
  <c r="D9" i="36"/>
  <c r="D9" i="23"/>
  <c r="D9" i="25"/>
  <c r="M78" i="11"/>
  <c r="F85" i="11" l="1"/>
  <c r="F11" i="23" l="1"/>
  <c r="F11" i="36"/>
  <c r="D9" i="26"/>
  <c r="F11" i="25"/>
  <c r="G7" i="11"/>
  <c r="F97" i="11" l="1"/>
  <c r="F96" i="11"/>
  <c r="F95" i="11"/>
  <c r="F94" i="11"/>
  <c r="F93" i="11"/>
  <c r="F92" i="11"/>
  <c r="F91" i="11"/>
  <c r="F89" i="11"/>
  <c r="F88" i="11"/>
  <c r="F87" i="11"/>
  <c r="F86" i="11"/>
  <c r="F84" i="11"/>
  <c r="F83" i="11"/>
  <c r="F82" i="11"/>
  <c r="F81" i="11"/>
  <c r="F80" i="11"/>
  <c r="F79" i="11"/>
  <c r="F78" i="11"/>
  <c r="F72" i="11"/>
  <c r="F71" i="11"/>
  <c r="G72" i="11"/>
  <c r="G71" i="11"/>
  <c r="G70" i="11"/>
  <c r="G69" i="11"/>
  <c r="F70" i="11"/>
  <c r="F69" i="11"/>
  <c r="G68" i="11"/>
  <c r="F68" i="11"/>
  <c r="F67" i="11"/>
  <c r="G67" i="11"/>
  <c r="G66" i="11"/>
  <c r="F66" i="11"/>
  <c r="G64" i="11"/>
  <c r="G63" i="11"/>
  <c r="F64" i="11"/>
  <c r="F63" i="11"/>
  <c r="G62" i="11"/>
  <c r="G61" i="11"/>
  <c r="F62" i="11"/>
  <c r="F61" i="11"/>
  <c r="G60" i="11"/>
  <c r="G59" i="11"/>
  <c r="F60" i="11"/>
  <c r="F59" i="11"/>
  <c r="G58" i="11"/>
  <c r="G57" i="11"/>
  <c r="F58" i="11"/>
  <c r="F57" i="11"/>
  <c r="G56" i="11"/>
  <c r="F56" i="11"/>
  <c r="F54" i="11"/>
  <c r="G54" i="11"/>
  <c r="G53" i="11"/>
  <c r="F55" i="11"/>
  <c r="G55" i="11"/>
  <c r="F53" i="11"/>
  <c r="F22" i="23" l="1"/>
  <c r="F22" i="36"/>
  <c r="D20" i="26"/>
  <c r="F22" i="25"/>
  <c r="F23" i="23"/>
  <c r="F23" i="36"/>
  <c r="D21" i="26"/>
  <c r="F23" i="25"/>
  <c r="F20" i="23"/>
  <c r="F20" i="36"/>
  <c r="D18" i="26"/>
  <c r="F20" i="25"/>
  <c r="F21" i="23"/>
  <c r="F21" i="36"/>
  <c r="D19" i="26"/>
  <c r="F21" i="25"/>
  <c r="F18" i="23"/>
  <c r="F18" i="36"/>
  <c r="D16" i="26"/>
  <c r="F18" i="25"/>
  <c r="F19" i="23"/>
  <c r="F19" i="36"/>
  <c r="D17" i="26"/>
  <c r="F19" i="25"/>
  <c r="F17" i="23"/>
  <c r="F17" i="36"/>
  <c r="D15" i="26"/>
  <c r="F14" i="23"/>
  <c r="F14" i="36"/>
  <c r="D12" i="26"/>
  <c r="F14" i="25"/>
  <c r="F15" i="23"/>
  <c r="F15" i="36"/>
  <c r="D13" i="26"/>
  <c r="F15" i="25"/>
  <c r="F12" i="23"/>
  <c r="F12" i="36"/>
  <c r="D10" i="26"/>
  <c r="F12" i="25"/>
  <c r="F13" i="23"/>
  <c r="F13" i="36"/>
  <c r="D11" i="26"/>
  <c r="F13" i="25"/>
  <c r="F10" i="23"/>
  <c r="F10" i="36"/>
  <c r="D8" i="26"/>
  <c r="F10" i="25"/>
  <c r="F7" i="23"/>
  <c r="F7" i="36"/>
  <c r="D5" i="26"/>
  <c r="F7" i="25"/>
  <c r="F6" i="23"/>
  <c r="F6" i="36"/>
  <c r="D4" i="26"/>
  <c r="F6" i="25"/>
  <c r="F8" i="23"/>
  <c r="F8" i="36"/>
  <c r="D6" i="26"/>
  <c r="F8" i="25"/>
  <c r="F9" i="23"/>
  <c r="J9" i="23" s="1"/>
  <c r="F9" i="36"/>
  <c r="D7" i="26"/>
  <c r="F9" i="25"/>
  <c r="F4" i="23"/>
  <c r="F4" i="36"/>
  <c r="F5" i="23"/>
  <c r="F5" i="36"/>
  <c r="D3" i="26"/>
  <c r="F5" i="25"/>
  <c r="D2" i="26"/>
  <c r="F4" i="25"/>
  <c r="F17" i="25"/>
  <c r="G48" i="11"/>
  <c r="F48" i="11"/>
  <c r="G47" i="11"/>
  <c r="F47" i="11"/>
  <c r="G46" i="11"/>
  <c r="F46" i="11"/>
  <c r="G45" i="11"/>
  <c r="F45" i="11"/>
  <c r="G44" i="11"/>
  <c r="F44" i="11"/>
  <c r="G43" i="11"/>
  <c r="F43" i="11"/>
  <c r="G42" i="11"/>
  <c r="F42" i="11"/>
  <c r="G40" i="11"/>
  <c r="F40" i="11"/>
  <c r="G39" i="11"/>
  <c r="F39" i="11"/>
  <c r="G38" i="11"/>
  <c r="F38" i="11"/>
  <c r="G37" i="11"/>
  <c r="F37" i="11"/>
  <c r="G36" i="11"/>
  <c r="F36" i="11"/>
  <c r="G35" i="11"/>
  <c r="F35" i="11"/>
  <c r="G34" i="11"/>
  <c r="F34" i="11"/>
  <c r="G33" i="11"/>
  <c r="F33" i="11"/>
  <c r="G32" i="11"/>
  <c r="F32" i="11"/>
  <c r="G31" i="11"/>
  <c r="F31" i="11"/>
  <c r="G30" i="11"/>
  <c r="F30" i="11"/>
  <c r="G29" i="11"/>
  <c r="F29" i="11"/>
  <c r="F6" i="11"/>
  <c r="J9" i="36" l="1"/>
  <c r="J9" i="25"/>
  <c r="G6" i="11"/>
  <c r="F7" i="11"/>
  <c r="G25" i="11"/>
  <c r="F25" i="11"/>
  <c r="F24" i="11"/>
  <c r="G23" i="11"/>
  <c r="F23" i="11"/>
  <c r="G22" i="11"/>
  <c r="F22" i="11"/>
  <c r="G21" i="11"/>
  <c r="F21" i="11"/>
  <c r="G20" i="11"/>
  <c r="F20" i="11"/>
  <c r="G19" i="11"/>
  <c r="F19" i="11"/>
  <c r="G17" i="11"/>
  <c r="F17" i="11"/>
  <c r="G16" i="11"/>
  <c r="F16" i="11"/>
  <c r="G15" i="11"/>
  <c r="F15" i="11"/>
  <c r="G14" i="11"/>
  <c r="F14" i="11"/>
  <c r="G13" i="11"/>
  <c r="F13" i="11"/>
  <c r="G12" i="11"/>
  <c r="F12" i="11"/>
  <c r="G11" i="11"/>
  <c r="F11" i="11"/>
  <c r="G10" i="11"/>
  <c r="F10" i="11"/>
  <c r="G9" i="11"/>
  <c r="F9" i="11"/>
  <c r="G8" i="11"/>
  <c r="F8" i="11"/>
  <c r="K26" i="20"/>
  <c r="M72" i="11" s="1"/>
  <c r="D26" i="20"/>
  <c r="M71" i="11" s="1"/>
  <c r="K25" i="20"/>
  <c r="K27" i="20" s="1"/>
  <c r="D25" i="20"/>
  <c r="K24" i="20"/>
  <c r="K26" i="19"/>
  <c r="D26" i="19"/>
  <c r="K25" i="19"/>
  <c r="K27" i="19" s="1"/>
  <c r="K24" i="19"/>
  <c r="K26" i="18"/>
  <c r="M68" i="11" s="1"/>
  <c r="D26" i="18"/>
  <c r="M67" i="11" s="1"/>
  <c r="K25" i="18"/>
  <c r="K27" i="18" s="1"/>
  <c r="D25" i="18"/>
  <c r="K24" i="18"/>
  <c r="M21" i="11" s="1"/>
  <c r="D24" i="18"/>
  <c r="M20" i="11" s="1"/>
  <c r="K26" i="17"/>
  <c r="M66" i="11" s="1"/>
  <c r="D26" i="17"/>
  <c r="M65" i="11" s="1"/>
  <c r="K25" i="17"/>
  <c r="D25" i="17"/>
  <c r="K24" i="17"/>
  <c r="D24" i="17"/>
  <c r="M18" i="11" s="1"/>
  <c r="K26" i="16"/>
  <c r="M64" i="11" s="1"/>
  <c r="D26" i="16"/>
  <c r="M63" i="11" s="1"/>
  <c r="K25" i="16"/>
  <c r="K27" i="16" s="1"/>
  <c r="D25" i="16"/>
  <c r="K24" i="16"/>
  <c r="D24" i="16"/>
  <c r="K26" i="15"/>
  <c r="M62" i="11" s="1"/>
  <c r="K25" i="15"/>
  <c r="K27" i="15" s="1"/>
  <c r="K24" i="15"/>
  <c r="D28" i="15"/>
  <c r="S14" i="11" s="1"/>
  <c r="K26" i="14"/>
  <c r="M60" i="11" s="1"/>
  <c r="D26" i="14"/>
  <c r="K25" i="14"/>
  <c r="K27" i="14" s="1"/>
  <c r="K24" i="14"/>
  <c r="M58" i="11"/>
  <c r="D26" i="13"/>
  <c r="M57" i="11" s="1"/>
  <c r="D25" i="13"/>
  <c r="D24" i="13"/>
  <c r="K26" i="12"/>
  <c r="M56" i="11" s="1"/>
  <c r="K25" i="12"/>
  <c r="D25" i="12"/>
  <c r="D29" i="12" s="1"/>
  <c r="S31" i="11" s="1"/>
  <c r="K24" i="12"/>
  <c r="D24" i="12"/>
  <c r="M69" i="11" l="1"/>
  <c r="C44" i="19"/>
  <c r="D29" i="19"/>
  <c r="M70" i="11"/>
  <c r="J44" i="19"/>
  <c r="E12" i="23"/>
  <c r="E12" i="36"/>
  <c r="E12" i="25"/>
  <c r="M59" i="11"/>
  <c r="D29" i="14"/>
  <c r="S35" i="11" s="1"/>
  <c r="D6" i="36"/>
  <c r="J6" i="36" s="1"/>
  <c r="D6" i="23"/>
  <c r="J6" i="23" s="1"/>
  <c r="K27" i="17"/>
  <c r="M91" i="11" s="1"/>
  <c r="K29" i="17"/>
  <c r="S42" i="11" s="1"/>
  <c r="M55" i="11"/>
  <c r="K27" i="12"/>
  <c r="M32" i="11" s="1"/>
  <c r="K29" i="12"/>
  <c r="S32" i="11" s="1"/>
  <c r="D27" i="17"/>
  <c r="M90" i="11" s="1"/>
  <c r="M41" i="11"/>
  <c r="K28" i="17"/>
  <c r="S19" i="11" s="1"/>
  <c r="M19" i="11"/>
  <c r="M93" i="11"/>
  <c r="M44" i="11"/>
  <c r="K28" i="19"/>
  <c r="M23" i="11"/>
  <c r="M95" i="11"/>
  <c r="M46" i="11"/>
  <c r="D27" i="18"/>
  <c r="M92" i="11" s="1"/>
  <c r="M43" i="11"/>
  <c r="D27" i="19"/>
  <c r="M94" i="11" s="1"/>
  <c r="M45" i="11"/>
  <c r="M22" i="11"/>
  <c r="M84" i="11"/>
  <c r="M35" i="11"/>
  <c r="D28" i="16"/>
  <c r="S16" i="11" s="1"/>
  <c r="M16" i="11"/>
  <c r="M39" i="11"/>
  <c r="D27" i="16"/>
  <c r="M88" i="11" s="1"/>
  <c r="M89" i="11"/>
  <c r="M40" i="11"/>
  <c r="K28" i="16"/>
  <c r="S17" i="11" s="1"/>
  <c r="M17" i="11"/>
  <c r="M87" i="11"/>
  <c r="M38" i="11"/>
  <c r="K28" i="15"/>
  <c r="S15" i="11" s="1"/>
  <c r="M15" i="11"/>
  <c r="M12" i="11"/>
  <c r="M83" i="11"/>
  <c r="M34" i="11"/>
  <c r="M36" i="11"/>
  <c r="M85" i="11"/>
  <c r="K28" i="14"/>
  <c r="S13" i="11" s="1"/>
  <c r="M13" i="11"/>
  <c r="M33" i="11"/>
  <c r="D27" i="13"/>
  <c r="M82" i="11" s="1"/>
  <c r="D28" i="13"/>
  <c r="S10" i="11" s="1"/>
  <c r="M10" i="11"/>
  <c r="M97" i="11"/>
  <c r="M48" i="11"/>
  <c r="K28" i="20"/>
  <c r="S25" i="11" s="1"/>
  <c r="M25" i="11"/>
  <c r="M47" i="11"/>
  <c r="D27" i="20"/>
  <c r="M96" i="11" s="1"/>
  <c r="D28" i="20"/>
  <c r="S24" i="11" s="1"/>
  <c r="M24" i="11"/>
  <c r="D28" i="12"/>
  <c r="S8" i="11" s="1"/>
  <c r="M8" i="11"/>
  <c r="D27" i="12"/>
  <c r="M80" i="11" s="1"/>
  <c r="M31" i="11"/>
  <c r="K28" i="12"/>
  <c r="S9" i="11" s="1"/>
  <c r="M9" i="11"/>
  <c r="D28" i="17"/>
  <c r="S18" i="11" s="1"/>
  <c r="K28" i="18"/>
  <c r="S21" i="11" s="1"/>
  <c r="D28" i="18"/>
  <c r="S20" i="11" s="1"/>
  <c r="K28" i="13"/>
  <c r="S11" i="11" s="1"/>
  <c r="K29" i="16"/>
  <c r="S40" i="11" s="1"/>
  <c r="K29" i="19"/>
  <c r="K29" i="15"/>
  <c r="S38" i="11" s="1"/>
  <c r="D29" i="17"/>
  <c r="S41" i="11" s="1"/>
  <c r="K29" i="18"/>
  <c r="S44" i="11" s="1"/>
  <c r="D29" i="15"/>
  <c r="S37" i="11" s="1"/>
  <c r="D29" i="18"/>
  <c r="S43" i="11" s="1"/>
  <c r="K29" i="20"/>
  <c r="S48" i="11" s="1"/>
  <c r="D29" i="20"/>
  <c r="S47" i="11" s="1"/>
  <c r="D29" i="13"/>
  <c r="K29" i="14"/>
  <c r="S36" i="11" s="1"/>
  <c r="D29" i="16"/>
  <c r="S39" i="11" s="1"/>
  <c r="S33" i="11" l="1"/>
  <c r="C32" i="40"/>
  <c r="D22" i="23"/>
  <c r="J22" i="23" s="1"/>
  <c r="D22" i="36"/>
  <c r="E22" i="36"/>
  <c r="E22" i="23"/>
  <c r="E22" i="25"/>
  <c r="S71" i="11"/>
  <c r="C22" i="23" s="1"/>
  <c r="D23" i="36"/>
  <c r="J23" i="36" s="1"/>
  <c r="D23" i="23"/>
  <c r="J23" i="23" s="1"/>
  <c r="E23" i="23"/>
  <c r="E23" i="36"/>
  <c r="E23" i="25"/>
  <c r="S72" i="11"/>
  <c r="S45" i="11"/>
  <c r="C45" i="19"/>
  <c r="C46" i="19" s="1"/>
  <c r="S23" i="11"/>
  <c r="J43" i="19"/>
  <c r="S46" i="11"/>
  <c r="J45" i="19"/>
  <c r="J46" i="19" s="1"/>
  <c r="E18" i="23"/>
  <c r="E18" i="36"/>
  <c r="E18" i="25"/>
  <c r="S67" i="11"/>
  <c r="D18" i="36"/>
  <c r="J18" i="36" s="1"/>
  <c r="D18" i="23"/>
  <c r="J18" i="23" s="1"/>
  <c r="D18" i="25"/>
  <c r="J18" i="25" s="1"/>
  <c r="D19" i="23"/>
  <c r="J19" i="23" s="1"/>
  <c r="D19" i="36"/>
  <c r="E19" i="23"/>
  <c r="E19" i="36"/>
  <c r="E19" i="25"/>
  <c r="S68" i="11"/>
  <c r="C19" i="23" s="1"/>
  <c r="D17" i="23"/>
  <c r="J17" i="23" s="1"/>
  <c r="D17" i="36"/>
  <c r="J17" i="36" s="1"/>
  <c r="D16" i="23"/>
  <c r="J16" i="23" s="1"/>
  <c r="D16" i="36"/>
  <c r="J16" i="36" s="1"/>
  <c r="D16" i="25"/>
  <c r="J16" i="25" s="1"/>
  <c r="E17" i="36"/>
  <c r="E17" i="23"/>
  <c r="S66" i="11"/>
  <c r="E16" i="36"/>
  <c r="E16" i="23"/>
  <c r="S65" i="11"/>
  <c r="E16" i="25"/>
  <c r="M42" i="11"/>
  <c r="D14" i="23"/>
  <c r="J14" i="23" s="1"/>
  <c r="D14" i="36"/>
  <c r="J14" i="36" s="1"/>
  <c r="D14" i="25"/>
  <c r="J14" i="25" s="1"/>
  <c r="D15" i="36"/>
  <c r="D15" i="23"/>
  <c r="J15" i="23" s="1"/>
  <c r="E15" i="23"/>
  <c r="E15" i="36"/>
  <c r="E15" i="25"/>
  <c r="S64" i="11"/>
  <c r="C15" i="23" s="1"/>
  <c r="E14" i="23"/>
  <c r="E14" i="36"/>
  <c r="E14" i="25"/>
  <c r="S63" i="11"/>
  <c r="D12" i="36"/>
  <c r="J12" i="36" s="1"/>
  <c r="D12" i="23"/>
  <c r="J12" i="23" s="1"/>
  <c r="S61" i="11"/>
  <c r="E13" i="23"/>
  <c r="E13" i="36"/>
  <c r="E13" i="25"/>
  <c r="S62" i="11"/>
  <c r="D13" i="23"/>
  <c r="J13" i="23" s="1"/>
  <c r="D13" i="36"/>
  <c r="J13" i="36" s="1"/>
  <c r="D10" i="23"/>
  <c r="J10" i="23" s="1"/>
  <c r="D10" i="36"/>
  <c r="J10" i="36" s="1"/>
  <c r="S59" i="11"/>
  <c r="E11" i="36"/>
  <c r="E11" i="23"/>
  <c r="S60" i="11"/>
  <c r="C11" i="23" s="1"/>
  <c r="D11" i="23"/>
  <c r="J11" i="23" s="1"/>
  <c r="D11" i="36"/>
  <c r="J11" i="36" s="1"/>
  <c r="E6" i="23"/>
  <c r="E6" i="36"/>
  <c r="S55" i="11"/>
  <c r="E7" i="23"/>
  <c r="E7" i="36"/>
  <c r="S56" i="11"/>
  <c r="D7" i="23"/>
  <c r="J7" i="23" s="1"/>
  <c r="D7" i="36"/>
  <c r="J7" i="36" s="1"/>
  <c r="E9" i="36"/>
  <c r="E9" i="23"/>
  <c r="E9" i="25"/>
  <c r="S58" i="11"/>
  <c r="E8" i="36"/>
  <c r="E8" i="23"/>
  <c r="E8" i="25"/>
  <c r="S57" i="11"/>
  <c r="C34" i="40" s="1"/>
  <c r="D8" i="36"/>
  <c r="J8" i="36" s="1"/>
  <c r="D8" i="23"/>
  <c r="J8" i="23" s="1"/>
  <c r="C39" i="40" s="1"/>
  <c r="D8" i="25"/>
  <c r="J8" i="25" s="1"/>
  <c r="J22" i="36"/>
  <c r="D22" i="25"/>
  <c r="J22" i="25" s="1"/>
  <c r="J15" i="36"/>
  <c r="C15" i="36"/>
  <c r="D15" i="25"/>
  <c r="J15" i="25" s="1"/>
  <c r="J19" i="36"/>
  <c r="C19" i="36"/>
  <c r="D19" i="25"/>
  <c r="J19" i="25" s="1"/>
  <c r="E11" i="25"/>
  <c r="D13" i="25"/>
  <c r="J13" i="25" s="1"/>
  <c r="M81" i="11"/>
  <c r="E20" i="25"/>
  <c r="D23" i="25"/>
  <c r="J23" i="25" s="1"/>
  <c r="C17" i="25"/>
  <c r="E17" i="25"/>
  <c r="D17" i="25"/>
  <c r="J17" i="25" s="1"/>
  <c r="E6" i="25"/>
  <c r="D12" i="25"/>
  <c r="J12" i="25" s="1"/>
  <c r="D10" i="25"/>
  <c r="J10" i="25" s="1"/>
  <c r="D11" i="25"/>
  <c r="J11" i="25" s="1"/>
  <c r="E7" i="25"/>
  <c r="D7" i="25"/>
  <c r="J7" i="25" s="1"/>
  <c r="D6" i="25"/>
  <c r="J6" i="25" s="1"/>
  <c r="M29" i="11"/>
  <c r="C23" i="23" l="1"/>
  <c r="C23" i="36"/>
  <c r="O23" i="36" s="1"/>
  <c r="P23" i="36"/>
  <c r="C22" i="36"/>
  <c r="Q22" i="36" s="1"/>
  <c r="Q23" i="36"/>
  <c r="D21" i="36"/>
  <c r="J21" i="36" s="1"/>
  <c r="D21" i="23"/>
  <c r="J21" i="23" s="1"/>
  <c r="D21" i="25"/>
  <c r="J21" i="25" s="1"/>
  <c r="E21" i="23"/>
  <c r="E21" i="36"/>
  <c r="E21" i="25"/>
  <c r="S70" i="11"/>
  <c r="D20" i="23"/>
  <c r="J20" i="23" s="1"/>
  <c r="D20" i="36"/>
  <c r="J20" i="36" s="1"/>
  <c r="D20" i="25"/>
  <c r="J20" i="25" s="1"/>
  <c r="K20" i="25" s="1"/>
  <c r="S69" i="11"/>
  <c r="K18" i="25"/>
  <c r="P18" i="25" s="1"/>
  <c r="Q18" i="25"/>
  <c r="C18" i="23"/>
  <c r="C18" i="36"/>
  <c r="R18" i="25"/>
  <c r="K16" i="25"/>
  <c r="P16" i="25" s="1"/>
  <c r="C17" i="23"/>
  <c r="O17" i="23" s="1"/>
  <c r="C17" i="36"/>
  <c r="C16" i="23"/>
  <c r="C16" i="36"/>
  <c r="Q16" i="36" s="1"/>
  <c r="K14" i="25"/>
  <c r="P14" i="25" s="1"/>
  <c r="Q14" i="25"/>
  <c r="C14" i="23"/>
  <c r="C14" i="36"/>
  <c r="C12" i="23"/>
  <c r="P12" i="23" s="1"/>
  <c r="C12" i="36"/>
  <c r="C13" i="23"/>
  <c r="C13" i="36"/>
  <c r="Q12" i="36"/>
  <c r="C11" i="36"/>
  <c r="Q11" i="36" s="1"/>
  <c r="C10" i="23"/>
  <c r="C10" i="36"/>
  <c r="C7" i="23"/>
  <c r="C7" i="36"/>
  <c r="C6" i="23"/>
  <c r="C6" i="36"/>
  <c r="Q7" i="36"/>
  <c r="C8" i="23"/>
  <c r="C8" i="36"/>
  <c r="Q8" i="36" s="1"/>
  <c r="K8" i="25"/>
  <c r="P8" i="25" s="1"/>
  <c r="C9" i="23"/>
  <c r="C9" i="36"/>
  <c r="K9" i="25"/>
  <c r="Q9" i="25" s="1"/>
  <c r="K22" i="25"/>
  <c r="R22" i="25" s="1"/>
  <c r="P22" i="36"/>
  <c r="O22" i="36"/>
  <c r="K15" i="25"/>
  <c r="R15" i="25" s="1"/>
  <c r="P15" i="36"/>
  <c r="O15" i="36"/>
  <c r="Q15" i="36"/>
  <c r="K19" i="25"/>
  <c r="R19" i="25" s="1"/>
  <c r="P19" i="36"/>
  <c r="O19" i="36"/>
  <c r="Q19" i="36"/>
  <c r="P11" i="36"/>
  <c r="O11" i="36"/>
  <c r="C22" i="25"/>
  <c r="C21" i="25"/>
  <c r="C19" i="25"/>
  <c r="C18" i="25"/>
  <c r="C16" i="25"/>
  <c r="C15" i="25"/>
  <c r="C14" i="25"/>
  <c r="C9" i="25"/>
  <c r="C8" i="25"/>
  <c r="Q13" i="23"/>
  <c r="C13" i="25"/>
  <c r="K13" i="25"/>
  <c r="K23" i="25"/>
  <c r="Q23" i="23"/>
  <c r="C23" i="25"/>
  <c r="K17" i="25"/>
  <c r="P17" i="25" s="1"/>
  <c r="K12" i="25"/>
  <c r="R12" i="25" s="1"/>
  <c r="C12" i="25"/>
  <c r="C10" i="25"/>
  <c r="K10" i="25"/>
  <c r="C11" i="25"/>
  <c r="Q11" i="23"/>
  <c r="K11" i="25"/>
  <c r="K7" i="25"/>
  <c r="C7" i="25"/>
  <c r="Q7" i="23"/>
  <c r="C6" i="25"/>
  <c r="Q6" i="23"/>
  <c r="K6" i="25"/>
  <c r="M6" i="11"/>
  <c r="Q15" i="1"/>
  <c r="P16" i="1"/>
  <c r="Q16" i="1" s="1"/>
  <c r="P15" i="1"/>
  <c r="P13" i="1"/>
  <c r="P9" i="1"/>
  <c r="P8" i="1"/>
  <c r="Q8" i="1" s="1"/>
  <c r="Q11" i="1" s="1"/>
  <c r="D18" i="1" s="1"/>
  <c r="K24" i="1"/>
  <c r="M7" i="11" s="1"/>
  <c r="R8" i="25" l="1"/>
  <c r="R23" i="36"/>
  <c r="K21" i="25"/>
  <c r="P21" i="25" s="1"/>
  <c r="Q21" i="25"/>
  <c r="C20" i="23"/>
  <c r="P20" i="23" s="1"/>
  <c r="C20" i="36"/>
  <c r="R21" i="25"/>
  <c r="Q20" i="36"/>
  <c r="C20" i="25"/>
  <c r="C21" i="23"/>
  <c r="C21" i="36"/>
  <c r="Q21" i="36"/>
  <c r="P18" i="36"/>
  <c r="O18" i="36"/>
  <c r="S18" i="25"/>
  <c r="Q18" i="36"/>
  <c r="Q17" i="23"/>
  <c r="R16" i="25"/>
  <c r="Q16" i="25"/>
  <c r="P17" i="36"/>
  <c r="O17" i="36"/>
  <c r="P16" i="36"/>
  <c r="O16" i="36"/>
  <c r="P17" i="23"/>
  <c r="Q17" i="36"/>
  <c r="S16" i="25"/>
  <c r="P14" i="36"/>
  <c r="O14" i="36"/>
  <c r="Q14" i="36"/>
  <c r="R14" i="25"/>
  <c r="S14" i="25" s="1"/>
  <c r="P13" i="36"/>
  <c r="O13" i="36"/>
  <c r="Q13" i="36"/>
  <c r="P12" i="36"/>
  <c r="O12" i="36"/>
  <c r="P10" i="36"/>
  <c r="O10" i="36"/>
  <c r="Q10" i="36"/>
  <c r="P6" i="36"/>
  <c r="O6" i="36"/>
  <c r="Q6" i="36"/>
  <c r="P7" i="36"/>
  <c r="O7" i="36"/>
  <c r="R7" i="36" s="1"/>
  <c r="Q8" i="25"/>
  <c r="P9" i="36"/>
  <c r="O9" i="36"/>
  <c r="Q9" i="36"/>
  <c r="P9" i="25"/>
  <c r="R9" i="25"/>
  <c r="S8" i="25"/>
  <c r="P8" i="36"/>
  <c r="O8" i="36"/>
  <c r="R8" i="36" s="1"/>
  <c r="I4" i="23"/>
  <c r="I4" i="36"/>
  <c r="C2" i="26"/>
  <c r="I4" i="25"/>
  <c r="R22" i="36"/>
  <c r="P22" i="25"/>
  <c r="Q22" i="25"/>
  <c r="R15" i="36"/>
  <c r="P15" i="25"/>
  <c r="Q15" i="25"/>
  <c r="R19" i="36"/>
  <c r="Q19" i="25"/>
  <c r="P19" i="25"/>
  <c r="S19" i="25" s="1"/>
  <c r="R11" i="36"/>
  <c r="O22" i="23"/>
  <c r="P22" i="23"/>
  <c r="Q22" i="23"/>
  <c r="P21" i="23"/>
  <c r="O21" i="23"/>
  <c r="Q21" i="23"/>
  <c r="O19" i="23"/>
  <c r="P19" i="23"/>
  <c r="Q19" i="23"/>
  <c r="P18" i="23"/>
  <c r="O18" i="23"/>
  <c r="Q18" i="23"/>
  <c r="O16" i="23"/>
  <c r="P16" i="23"/>
  <c r="Q16" i="23"/>
  <c r="P15" i="23"/>
  <c r="O15" i="23"/>
  <c r="Q15" i="23"/>
  <c r="P14" i="23"/>
  <c r="O14" i="23"/>
  <c r="Q14" i="23"/>
  <c r="P9" i="23"/>
  <c r="O9" i="23"/>
  <c r="Q9" i="23"/>
  <c r="O8" i="23"/>
  <c r="P8" i="23"/>
  <c r="Q8" i="23"/>
  <c r="P13" i="25"/>
  <c r="Q13" i="25"/>
  <c r="R13" i="25"/>
  <c r="P13" i="23"/>
  <c r="O13" i="23"/>
  <c r="E4" i="25"/>
  <c r="R20" i="25"/>
  <c r="P20" i="25"/>
  <c r="Q20" i="25"/>
  <c r="O20" i="23"/>
  <c r="Q20" i="23"/>
  <c r="Q23" i="25"/>
  <c r="P23" i="25"/>
  <c r="P23" i="23"/>
  <c r="O23" i="23"/>
  <c r="R23" i="23" s="1"/>
  <c r="R23" i="25"/>
  <c r="R17" i="25"/>
  <c r="Q17" i="25"/>
  <c r="O12" i="23"/>
  <c r="Q12" i="25"/>
  <c r="P12" i="25"/>
  <c r="Q12" i="23"/>
  <c r="Q10" i="25"/>
  <c r="P10" i="25"/>
  <c r="O10" i="23"/>
  <c r="P10" i="23"/>
  <c r="R10" i="25"/>
  <c r="Q10" i="23"/>
  <c r="Q11" i="25"/>
  <c r="P11" i="25"/>
  <c r="R11" i="25"/>
  <c r="P11" i="23"/>
  <c r="O11" i="23"/>
  <c r="O7" i="23"/>
  <c r="P7" i="23"/>
  <c r="P7" i="25"/>
  <c r="Q7" i="25"/>
  <c r="R7" i="25"/>
  <c r="P6" i="25"/>
  <c r="Q6" i="25"/>
  <c r="R6" i="25"/>
  <c r="O6" i="23"/>
  <c r="P6" i="23"/>
  <c r="Q18" i="1"/>
  <c r="K18" i="1" s="1"/>
  <c r="D29" i="1"/>
  <c r="S29" i="11" s="1"/>
  <c r="M54" i="11"/>
  <c r="K25" i="1"/>
  <c r="K27" i="1" s="1"/>
  <c r="O20" i="36" l="1"/>
  <c r="P20" i="36"/>
  <c r="P21" i="36"/>
  <c r="O21" i="36"/>
  <c r="S21" i="25"/>
  <c r="R18" i="36"/>
  <c r="R16" i="36"/>
  <c r="R17" i="23"/>
  <c r="R17" i="36"/>
  <c r="R14" i="36"/>
  <c r="R12" i="36"/>
  <c r="R13" i="36"/>
  <c r="R10" i="36"/>
  <c r="R6" i="36"/>
  <c r="S9" i="25"/>
  <c r="R9" i="36"/>
  <c r="D4" i="36"/>
  <c r="J4" i="36" s="1"/>
  <c r="D4" i="23"/>
  <c r="S53" i="11"/>
  <c r="I5" i="23"/>
  <c r="I5" i="36"/>
  <c r="C3" i="26"/>
  <c r="I5" i="25"/>
  <c r="S17" i="25"/>
  <c r="S22" i="25"/>
  <c r="S15" i="25"/>
  <c r="R13" i="23"/>
  <c r="R14" i="23"/>
  <c r="R18" i="23"/>
  <c r="R19" i="23"/>
  <c r="R22" i="23"/>
  <c r="R21" i="23"/>
  <c r="R16" i="23"/>
  <c r="R15" i="23"/>
  <c r="S12" i="25"/>
  <c r="R11" i="23"/>
  <c r="R9" i="23"/>
  <c r="R8" i="23"/>
  <c r="R12" i="23"/>
  <c r="R20" i="23"/>
  <c r="S20" i="25"/>
  <c r="S13" i="25"/>
  <c r="D4" i="25"/>
  <c r="J4" i="25" s="1"/>
  <c r="K4" i="25" s="1"/>
  <c r="P4" i="25" s="1"/>
  <c r="S23" i="25"/>
  <c r="R10" i="23"/>
  <c r="S10" i="25"/>
  <c r="S11" i="25"/>
  <c r="R6" i="23"/>
  <c r="S7" i="25"/>
  <c r="R7" i="23"/>
  <c r="S6" i="25"/>
  <c r="K29" i="1"/>
  <c r="S30" i="11" s="1"/>
  <c r="M79" i="11"/>
  <c r="M30" i="11"/>
  <c r="K28" i="1"/>
  <c r="S7" i="11" s="1"/>
  <c r="R21" i="36" l="1"/>
  <c r="R20" i="36"/>
  <c r="C4" i="23"/>
  <c r="C4" i="36"/>
  <c r="D5" i="23"/>
  <c r="J5" i="23" s="1"/>
  <c r="D5" i="36"/>
  <c r="J5" i="36" s="1"/>
  <c r="E5" i="23"/>
  <c r="E5" i="36"/>
  <c r="E5" i="25"/>
  <c r="S54" i="11"/>
  <c r="Q4" i="36"/>
  <c r="C4" i="25"/>
  <c r="Q4" i="25"/>
  <c r="R4" i="25"/>
  <c r="D5" i="25"/>
  <c r="J5" i="25" s="1"/>
  <c r="C5" i="23" l="1"/>
  <c r="Q5" i="23" s="1"/>
  <c r="C5" i="36"/>
  <c r="O5" i="36" s="1"/>
  <c r="P4" i="36"/>
  <c r="O4" i="36"/>
  <c r="P5" i="36"/>
  <c r="Q5" i="36"/>
  <c r="Q4" i="23"/>
  <c r="O4" i="23"/>
  <c r="S4" i="25"/>
  <c r="P4" i="23"/>
  <c r="C5" i="25"/>
  <c r="K5" i="25"/>
  <c r="R5" i="25" s="1"/>
  <c r="R4" i="36" l="1"/>
  <c r="R5" i="36"/>
  <c r="R4" i="23"/>
  <c r="P5" i="23"/>
  <c r="O5" i="23"/>
  <c r="P5" i="25"/>
  <c r="Q5" i="25"/>
  <c r="R5" i="23" l="1"/>
  <c r="S5" i="25"/>
</calcChain>
</file>

<file path=xl/sharedStrings.xml><?xml version="1.0" encoding="utf-8"?>
<sst xmlns="http://schemas.openxmlformats.org/spreadsheetml/2006/main" count="1784" uniqueCount="192">
  <si>
    <t>Source</t>
  </si>
  <si>
    <t>Example</t>
  </si>
  <si>
    <t>Initial Base Case Cost [$]</t>
  </si>
  <si>
    <t>Initial EE Case Cost [$]</t>
  </si>
  <si>
    <t>ENGR333 - Team 1</t>
  </si>
  <si>
    <t>Low Flow Shower Heads</t>
  </si>
  <si>
    <t>Dryers</t>
  </si>
  <si>
    <t>ENGR333 - Team 2</t>
  </si>
  <si>
    <t>Computers</t>
  </si>
  <si>
    <t>Boilers</t>
  </si>
  <si>
    <t>ENGR333 - Team 3</t>
  </si>
  <si>
    <t>LED Lighting</t>
  </si>
  <si>
    <t>Autos (gas -&gt; electric)</t>
  </si>
  <si>
    <t>ENGR333 - Team 4</t>
  </si>
  <si>
    <t>Windows</t>
  </si>
  <si>
    <t>HVAC</t>
  </si>
  <si>
    <t>ENGR333 - Team 5</t>
  </si>
  <si>
    <t>Autos (gas -&gt; gas)</t>
  </si>
  <si>
    <t>ENGR333 - Team 6</t>
  </si>
  <si>
    <t>Smart Power Strips</t>
  </si>
  <si>
    <t>Lighting Control</t>
  </si>
  <si>
    <t>ENGR333 - Team A</t>
  </si>
  <si>
    <t>Res. Hall Windows</t>
  </si>
  <si>
    <t>ENGR333 - Team B</t>
  </si>
  <si>
    <t>Lighting - Motion Sensors</t>
  </si>
  <si>
    <t>Refrigerators</t>
  </si>
  <si>
    <t>ENGR333 - Team C</t>
  </si>
  <si>
    <t>Autos (Gas→Hybrid)</t>
  </si>
  <si>
    <t>ENGR333 - Team D</t>
  </si>
  <si>
    <t>Autos (electric)</t>
  </si>
  <si>
    <t>Autos (gasoline)</t>
  </si>
  <si>
    <t>Autos (gas→ hybrid)</t>
  </si>
  <si>
    <t>Re_Ew [-]</t>
  </si>
  <si>
    <t>γ [-]</t>
  </si>
  <si>
    <t>ε [-]</t>
  </si>
  <si>
    <t>Re_Dev [-]</t>
  </si>
  <si>
    <t>k</t>
  </si>
  <si>
    <t>I</t>
  </si>
  <si>
    <t>PE [$/MJ]</t>
  </si>
  <si>
    <t>Respending</t>
  </si>
  <si>
    <t>% Re_dev</t>
  </si>
  <si>
    <t>% e</t>
  </si>
  <si>
    <t>% respending</t>
  </si>
  <si>
    <t>A</t>
  </si>
  <si>
    <t>B</t>
  </si>
  <si>
    <t>C</t>
  </si>
  <si>
    <t>D</t>
  </si>
  <si>
    <t>Re_Respending</t>
  </si>
  <si>
    <t>% Embodied</t>
  </si>
  <si>
    <t>% Respending</t>
  </si>
  <si>
    <t>Lights</t>
  </si>
  <si>
    <t>Cars</t>
  </si>
  <si>
    <t>p_E</t>
  </si>
  <si>
    <t>Re_dev</t>
  </si>
  <si>
    <t>C_dot_repl_base</t>
  </si>
  <si>
    <t>E_dot_emb_base</t>
  </si>
  <si>
    <t>E_dot_dir_base</t>
  </si>
  <si>
    <t>C_dot_repl_EE</t>
  </si>
  <si>
    <t>E_dot_emb_EE</t>
  </si>
  <si>
    <t>E_dot_dir_EE</t>
  </si>
  <si>
    <t>Fuel Type</t>
  </si>
  <si>
    <t xml:space="preserve">Location </t>
  </si>
  <si>
    <t>Class Section</t>
  </si>
  <si>
    <t>Initial Cost Base Case</t>
  </si>
  <si>
    <t>Initial Cost Energy Efficient Case</t>
  </si>
  <si>
    <t>Natural Gas</t>
  </si>
  <si>
    <t>On Campus</t>
  </si>
  <si>
    <t>Electricity</t>
  </si>
  <si>
    <t>Off Campus</t>
  </si>
  <si>
    <t>Petrol</t>
  </si>
  <si>
    <t>Electricity/Natural Gas</t>
  </si>
  <si>
    <t>Device Level Summary from Inputs</t>
  </si>
  <si>
    <t>Calculated Values</t>
  </si>
  <si>
    <t>Economy Wide</t>
  </si>
  <si>
    <t>Embodied Energy</t>
  </si>
  <si>
    <t>Cost of Device Embodied</t>
  </si>
  <si>
    <t>Team #</t>
  </si>
  <si>
    <t>Device</t>
  </si>
  <si>
    <t>Units</t>
  </si>
  <si>
    <t>EE</t>
  </si>
  <si>
    <t>Base</t>
  </si>
  <si>
    <t>Cost Embodied</t>
  </si>
  <si>
    <t>ε</t>
  </si>
  <si>
    <t>Team 1</t>
  </si>
  <si>
    <t>[MJ/yr]</t>
  </si>
  <si>
    <t>[-]</t>
  </si>
  <si>
    <t>Team 2</t>
  </si>
  <si>
    <t>Team 3</t>
  </si>
  <si>
    <t>Team 4</t>
  </si>
  <si>
    <t>Team 5</t>
  </si>
  <si>
    <t>Team 6</t>
  </si>
  <si>
    <t>Team A</t>
  </si>
  <si>
    <t>Team B</t>
  </si>
  <si>
    <t>Team C</t>
  </si>
  <si>
    <t>Team D</t>
  </si>
  <si>
    <t>Direct Energy Usage</t>
  </si>
  <si>
    <t>Energy Savings Expected at the Device Level</t>
  </si>
  <si>
    <t>Energy Saved</t>
  </si>
  <si>
    <t>γ</t>
  </si>
  <si>
    <t>Cost of Replacement</t>
  </si>
  <si>
    <t>Cost of Implementation</t>
  </si>
  <si>
    <t>Economy Wide Rebound</t>
  </si>
  <si>
    <t>Cost</t>
  </si>
  <si>
    <t>EW Rebound</t>
  </si>
  <si>
    <t>[$/yr]</t>
  </si>
  <si>
    <t>[%]</t>
  </si>
  <si>
    <t>Device Level Rebound</t>
  </si>
  <si>
    <t>Actual Energy Saved at the Device Level</t>
  </si>
  <si>
    <t>Rebound</t>
  </si>
  <si>
    <t>Fuel Cost</t>
  </si>
  <si>
    <t>Energy Price Constants</t>
  </si>
  <si>
    <t>Natural Gas - Commercial
[$/MJ]</t>
  </si>
  <si>
    <r>
      <rPr>
        <b/>
        <sz val="11"/>
        <rFont val="Calibri"/>
        <family val="2"/>
        <scheme val="minor"/>
      </rPr>
      <t xml:space="preserve">Residential: </t>
    </r>
    <r>
      <rPr>
        <u/>
        <sz val="11"/>
        <color theme="10"/>
        <rFont val="Calibri"/>
        <family val="2"/>
        <scheme val="minor"/>
      </rPr>
      <t>https://www.eia.gov/dnav/ng/ng_pri_sum_dcu_nus_m.htm</t>
    </r>
  </si>
  <si>
    <r>
      <t xml:space="preserve">Natural Gas - </t>
    </r>
    <r>
      <rPr>
        <b/>
        <sz val="12"/>
        <color rgb="FFFF0000"/>
        <rFont val="Times"/>
      </rPr>
      <t>Calvin</t>
    </r>
    <r>
      <rPr>
        <sz val="12"/>
        <color theme="1"/>
        <rFont val="Times"/>
      </rPr>
      <t xml:space="preserve">
[$/MJ]</t>
    </r>
  </si>
  <si>
    <t>Gasoline
[$/MJ]</t>
  </si>
  <si>
    <t>Electricity - Commercial
[$/MJ]</t>
  </si>
  <si>
    <r>
      <t xml:space="preserve">Electricity - </t>
    </r>
    <r>
      <rPr>
        <b/>
        <sz val="12"/>
        <color rgb="FFFF0000"/>
        <rFont val="Times"/>
      </rPr>
      <t>Calvin</t>
    </r>
    <r>
      <rPr>
        <sz val="12"/>
        <color theme="1"/>
        <rFont val="Times"/>
      </rPr>
      <t xml:space="preserve">
[$/MJ]</t>
    </r>
  </si>
  <si>
    <t>Economic Parameters</t>
  </si>
  <si>
    <t>Marginal Propensity to Consume (MPC)
[-]</t>
  </si>
  <si>
    <t>k
[-]</t>
  </si>
  <si>
    <t>Energy Intensity of the Economy (I)
[MJ/$]</t>
  </si>
  <si>
    <t>Base Case</t>
  </si>
  <si>
    <t>EE Case</t>
  </si>
  <si>
    <t>% Change</t>
  </si>
  <si>
    <t>Lifetime [yr]</t>
  </si>
  <si>
    <r>
      <t>E</t>
    </r>
    <r>
      <rPr>
        <vertAlign val="subscript"/>
        <sz val="11"/>
        <color theme="1"/>
        <rFont val="Times New Roman"/>
        <family val="1"/>
      </rPr>
      <t>emb</t>
    </r>
    <r>
      <rPr>
        <sz val="11"/>
        <color theme="1"/>
        <rFont val="Times New Roman"/>
        <family val="1"/>
      </rPr>
      <t xml:space="preserve"> [MJ/yr]</t>
    </r>
  </si>
  <si>
    <r>
      <t>E</t>
    </r>
    <r>
      <rPr>
        <vertAlign val="subscript"/>
        <sz val="11"/>
        <color theme="1"/>
        <rFont val="Times New Roman"/>
        <family val="1"/>
      </rPr>
      <t>dir</t>
    </r>
    <r>
      <rPr>
        <sz val="11"/>
        <color theme="1"/>
        <rFont val="Times New Roman"/>
        <family val="1"/>
      </rPr>
      <t xml:space="preserve"> [MJ/yr]</t>
    </r>
  </si>
  <si>
    <r>
      <t>C</t>
    </r>
    <r>
      <rPr>
        <vertAlign val="subscript"/>
        <sz val="11"/>
        <color theme="1"/>
        <rFont val="Times New Roman"/>
        <family val="1"/>
      </rPr>
      <t xml:space="preserve">repl </t>
    </r>
    <r>
      <rPr>
        <sz val="11"/>
        <color theme="1"/>
        <rFont val="Times New Roman"/>
        <family val="1"/>
      </rPr>
      <t>[$/year]</t>
    </r>
  </si>
  <si>
    <t>Price of Energy [$/MJ]</t>
  </si>
  <si>
    <t>ϒ [-]</t>
  </si>
  <si>
    <r>
      <t>Re</t>
    </r>
    <r>
      <rPr>
        <vertAlign val="subscript"/>
        <sz val="11"/>
        <color theme="1"/>
        <rFont val="Times New Roman"/>
        <family val="1"/>
      </rPr>
      <t>dev</t>
    </r>
    <r>
      <rPr>
        <sz val="11"/>
        <color theme="1"/>
        <rFont val="Times New Roman"/>
        <family val="1"/>
      </rPr>
      <t xml:space="preserve"> [%]</t>
    </r>
  </si>
  <si>
    <r>
      <t>Re</t>
    </r>
    <r>
      <rPr>
        <vertAlign val="subscript"/>
        <sz val="11"/>
        <color theme="1"/>
        <rFont val="Times New Roman"/>
        <family val="1"/>
      </rPr>
      <t>Ew</t>
    </r>
    <r>
      <rPr>
        <sz val="11"/>
        <color theme="1"/>
        <rFont val="Times New Roman"/>
        <family val="1"/>
      </rPr>
      <t xml:space="preserve"> [%]</t>
    </r>
  </si>
  <si>
    <t>ε [%]</t>
  </si>
  <si>
    <t>Respending [%]</t>
  </si>
  <si>
    <t>Automobiles (Electric)</t>
  </si>
  <si>
    <t>Automobiles (Gasoline)</t>
  </si>
  <si>
    <t>Residence Hall Windows</t>
  </si>
  <si>
    <t>Motion Sensor Lights</t>
  </si>
  <si>
    <t>Hybrid Vehicles</t>
  </si>
  <si>
    <t>Power Strips</t>
  </si>
  <si>
    <t>Computer Monitors</t>
  </si>
  <si>
    <t>Gas Engines</t>
  </si>
  <si>
    <t>PLEASE CHECK THAT UNITS MATCH THOSE LISTED BELOW!!!</t>
  </si>
  <si>
    <t>INPUT--&gt;</t>
  </si>
  <si>
    <t>Device 1:</t>
  </si>
  <si>
    <t xml:space="preserve">Device 2: </t>
  </si>
  <si>
    <t>Natural Gas - Commercial</t>
  </si>
  <si>
    <t>Natural Gas - Calvin</t>
  </si>
  <si>
    <t>Comments:</t>
  </si>
  <si>
    <t>Embodied energy  - brass. Direct energy usage and cost of replacement is based mostly on CERF data. The rebound is based on a study done about low flow shower heads. Lifetime = 5 yrs</t>
  </si>
  <si>
    <t>Mostly based on energy star usage data. Estimated direct energy usage is from comparing same load sizes and their CEF ratings. Actual direct energy usage is from energy star. Calculated Re_dev</t>
  </si>
  <si>
    <t>Gasoline</t>
  </si>
  <si>
    <t>Electricity - Commercial</t>
  </si>
  <si>
    <t>Electricity - Calvin</t>
  </si>
  <si>
    <t>E_emb
[MJ/yr]</t>
  </si>
  <si>
    <t>E_dir
[MJ/yr]</t>
  </si>
  <si>
    <t>C_repl
[$/yr]</t>
  </si>
  <si>
    <t>Re_device
[%]</t>
  </si>
  <si>
    <t>Please select fuel type --&gt;</t>
  </si>
  <si>
    <t>[$/MJ]</t>
  </si>
  <si>
    <t>CALCULATED --&gt;</t>
  </si>
  <si>
    <t>E_cost_device_emb
[MJ/yr]</t>
  </si>
  <si>
    <t>E_save_device_direct_expected
[MJ/yr]</t>
  </si>
  <si>
    <t>C_implementation
[$/yr]</t>
  </si>
  <si>
    <t>E_save_device_direct_actual
[MJ/yr]</t>
  </si>
  <si>
    <t>Epsilon
[-]</t>
  </si>
  <si>
    <t>Gamma
[-]</t>
  </si>
  <si>
    <t>C_repl_base numbers are estimated, using data on how cost of servers has changed over time, based on performance.</t>
  </si>
  <si>
    <t>Embodied energies were determined from steel. Direct energy usage was determined from past projects with boiler loop natural gas usage. Costs were determined from quotes and past projects.</t>
  </si>
  <si>
    <t>Lighting</t>
  </si>
  <si>
    <t xml:space="preserve">Autos </t>
  </si>
  <si>
    <t>Comparing old Halogen lights in the TNT to new LED lights.</t>
  </si>
  <si>
    <t>Comparing Toyota Prius with a Toyota Corolla.</t>
  </si>
  <si>
    <t>(enter any relevent info that might help the other teams understand what you did)</t>
  </si>
  <si>
    <r>
      <t xml:space="preserve">Price of Energy
</t>
    </r>
    <r>
      <rPr>
        <b/>
        <sz val="11"/>
        <color rgb="FF0070C0"/>
        <rFont val="Times"/>
      </rPr>
      <t>Windows</t>
    </r>
  </si>
  <si>
    <r>
      <t>Price of Energy</t>
    </r>
    <r>
      <rPr>
        <b/>
        <sz val="11"/>
        <color rgb="FF0070C0"/>
        <rFont val="Times"/>
      </rPr>
      <t xml:space="preserve">
Windows</t>
    </r>
  </si>
  <si>
    <t>Device level rebound was assumed to be 0, according to Heun's advice.</t>
  </si>
  <si>
    <t>Standard power strip (the model in SB120) → Tier 2 advanced power strip (with IR sensor, motion sensor, and load sensing outlets)</t>
  </si>
  <si>
    <t>2019 Ford Fusion SE → 2019 Ford Fusion Hybrid</t>
  </si>
  <si>
    <t>Automobiles</t>
  </si>
  <si>
    <t>Change</t>
  </si>
  <si>
    <r>
      <t>Ė</t>
    </r>
    <r>
      <rPr>
        <vertAlign val="subscript"/>
        <sz val="11"/>
        <color theme="1"/>
        <rFont val="Times"/>
      </rPr>
      <t>emb</t>
    </r>
    <r>
      <rPr>
        <sz val="11"/>
        <color theme="1"/>
        <rFont val="Times"/>
      </rPr>
      <t> [MJ/yr]</t>
    </r>
  </si>
  <si>
    <t>Ėdir [MJ/yr]</t>
  </si>
  <si>
    <r>
      <t>Ċ</t>
    </r>
    <r>
      <rPr>
        <vertAlign val="subscript"/>
        <sz val="11"/>
        <color theme="1"/>
        <rFont val="Times"/>
      </rPr>
      <t>repl</t>
    </r>
    <r>
      <rPr>
        <sz val="11"/>
        <color theme="1"/>
        <rFont val="Times"/>
      </rPr>
      <t> [$/year]</t>
    </r>
  </si>
  <si>
    <r>
      <t>p</t>
    </r>
    <r>
      <rPr>
        <vertAlign val="subscript"/>
        <sz val="11"/>
        <color theme="1"/>
        <rFont val="Times"/>
      </rPr>
      <t>E</t>
    </r>
    <r>
      <rPr>
        <sz val="11"/>
        <color theme="1"/>
        <rFont val="Times"/>
      </rPr>
      <t xml:space="preserve"> [$/MJ]</t>
    </r>
  </si>
  <si>
    <r>
      <t>Re</t>
    </r>
    <r>
      <rPr>
        <vertAlign val="subscript"/>
        <sz val="11"/>
        <color theme="1"/>
        <rFont val="Times"/>
      </rPr>
      <t>dev</t>
    </r>
    <r>
      <rPr>
        <sz val="11"/>
        <color theme="1"/>
        <rFont val="Times"/>
      </rPr>
      <t xml:space="preserve"> [%]</t>
    </r>
  </si>
  <si>
    <r>
      <rPr>
        <sz val="11"/>
        <color theme="1"/>
        <rFont val="Symbol"/>
        <family val="1"/>
        <charset val="2"/>
      </rPr>
      <t>e</t>
    </r>
    <r>
      <rPr>
        <sz val="11"/>
        <color theme="1"/>
        <rFont val="Times"/>
      </rPr>
      <t xml:space="preserve"> (emb) [%]</t>
    </r>
  </si>
  <si>
    <t>γ (implement) [%]</t>
  </si>
  <si>
    <r>
      <t>Re</t>
    </r>
    <r>
      <rPr>
        <vertAlign val="subscript"/>
        <sz val="11"/>
        <color theme="1"/>
        <rFont val="Times"/>
      </rPr>
      <t>respend</t>
    </r>
    <r>
      <rPr>
        <sz val="11"/>
        <color theme="1"/>
        <rFont val="Times"/>
      </rPr>
      <t xml:space="preserve"> [%]</t>
    </r>
  </si>
  <si>
    <r>
      <t>Re</t>
    </r>
    <r>
      <rPr>
        <vertAlign val="subscript"/>
        <sz val="11"/>
        <color theme="1"/>
        <rFont val="Times"/>
      </rPr>
      <t>EW</t>
    </r>
    <r>
      <rPr>
        <sz val="11"/>
        <color theme="1"/>
        <rFont val="Times"/>
      </rPr>
      <t xml:space="preserve"> [%]</t>
    </r>
  </si>
  <si>
    <t>Φ [-]</t>
  </si>
  <si>
    <t>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</si>
</sst>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164" formatCode="&quot;$&quot;#,##0.00"/>
    <numFmt numFmtId="165" formatCode="0.0"/>
    <numFmt numFmtId="166" formatCode="#,##0.0"/>
    <numFmt numFmtId="167" formatCode="&quot;$&quot;#,##0.000"/>
    <numFmt numFmtId="168" formatCode="0.0000"/>
    <numFmt numFmtId="169" formatCode="0.0000000"/>
    <numFmt numFmtId="170" formatCode="_(&quot;$&quot;* #,##0.0000_);_(&quot;$&quot;* \(#,##0.0000\);_(&quot;$&quot;* &quot;-&quot;??_);_(@_)"/>
    <numFmt numFmtId="171" formatCode="&quot;$&quot;#,##0.0000"/>
    <numFmt numFmtId="172" formatCode="0.00000000"/>
    <numFmt numFmtId="173" formatCode="#,##0.000"/>
    <numFmt numFmtId="174" formatCode="_(&quot;$&quot;* #,##0.000_);_(&quot;$&quot;* \(#,##0.000\);_(&quot;$&quot;* &quot;-&quot;??_);_(@_)"/>
    <numFmt numFmtId="175" formatCode="0.000"/>
    <numFmt numFmtId="176" formatCode="0.0000%"/>
    <numFmt numFmtId="177" formatCode="0.0%"/>
  </numFmts>
  <fonts count="31">
    <font>
      <sz val="11"/>
      <color theme="1"/>
      <name val="Calibri"/>
      <family val="2"/>
      <scheme val="minor"/>
    </font>
    <font>
      <b/>
      <sz val="11"/>
      <color theme="1"/>
      <name val="Times"/>
    </font>
    <font>
      <sz val="11"/>
      <color theme="1"/>
      <name val="Times"/>
    </font>
    <font>
      <sz val="11"/>
      <color theme="1"/>
      <name val="Calibri"/>
      <family val="2"/>
      <scheme val="minor"/>
    </font>
    <font>
      <sz val="11"/>
      <color theme="4" tint="0.59999389629810485"/>
      <name val="Times"/>
    </font>
    <font>
      <b/>
      <sz val="11"/>
      <color rgb="FFFF0000"/>
      <name val="Times"/>
    </font>
    <font>
      <b/>
      <sz val="12"/>
      <color theme="1"/>
      <name val="Times"/>
    </font>
    <font>
      <b/>
      <u/>
      <sz val="12"/>
      <color theme="1"/>
      <name val="Times"/>
    </font>
    <font>
      <sz val="12"/>
      <color theme="1"/>
      <name val="Times"/>
    </font>
    <font>
      <b/>
      <sz val="12"/>
      <color theme="1"/>
      <name val="Calibri"/>
      <family val="2"/>
    </font>
    <font>
      <b/>
      <sz val="12"/>
      <color rgb="FFFF0000"/>
      <name val="Times"/>
    </font>
    <font>
      <sz val="11"/>
      <name val="Times"/>
    </font>
    <font>
      <sz val="11"/>
      <color theme="2"/>
      <name val="Calibri"/>
      <family val="2"/>
      <scheme val="minor"/>
    </font>
    <font>
      <b/>
      <sz val="11"/>
      <name val="Times"/>
    </font>
    <font>
      <sz val="11"/>
      <color rgb="FFFF0000"/>
      <name val="Calibri"/>
      <family val="2"/>
      <scheme val="minor"/>
    </font>
    <font>
      <sz val="12"/>
      <color rgb="FFFF0000"/>
      <name val="Times"/>
    </font>
    <font>
      <sz val="11"/>
      <color rgb="FFFF0000"/>
      <name val="Times"/>
    </font>
    <font>
      <u/>
      <sz val="11"/>
      <color theme="10"/>
      <name val="Calibri"/>
      <family val="2"/>
      <scheme val="minor"/>
    </font>
    <font>
      <b/>
      <sz val="11"/>
      <name val="Calibri"/>
      <family val="2"/>
      <scheme val="minor"/>
    </font>
    <font>
      <sz val="11"/>
      <color theme="5"/>
      <name val="Times"/>
    </font>
    <font>
      <sz val="11"/>
      <color theme="5" tint="-0.249977111117893"/>
      <name val="Times"/>
    </font>
    <font>
      <sz val="11"/>
      <color theme="5" tint="0.39997558519241921"/>
      <name val="Times"/>
    </font>
    <font>
      <b/>
      <sz val="11"/>
      <color rgb="FF0070C0"/>
      <name val="Times"/>
    </font>
    <font>
      <vertAlign val="subscript"/>
      <sz val="11"/>
      <color theme="1"/>
      <name val="Times"/>
    </font>
    <font>
      <sz val="11"/>
      <color theme="1"/>
      <name val="Symbol"/>
      <family val="1"/>
      <charset val="2"/>
    </font>
    <font>
      <sz val="11"/>
      <color theme="1"/>
      <name val="Times"/>
      <family val="1"/>
      <charset val="2"/>
    </font>
    <font>
      <b/>
      <sz val="11"/>
      <color theme="1"/>
      <name val="Calibri"/>
      <family val="2"/>
      <scheme val="minor"/>
    </font>
    <font>
      <sz val="11"/>
      <color theme="1"/>
      <name val="Times New Roman"/>
      <family val="1"/>
    </font>
    <font>
      <b/>
      <sz val="11"/>
      <color theme="1"/>
      <name val="Times New Roman"/>
      <family val="1"/>
    </font>
    <font>
      <vertAlign val="subscript"/>
      <sz val="11"/>
      <color theme="1"/>
      <name val="Times New Roman"/>
      <family val="1"/>
    </font>
    <font>
      <b/>
      <sz val="11"/>
      <color theme="1"/>
      <name val="Calibri"/>
      <family val="2"/>
    </font>
  </fonts>
  <fills count="10">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39997558519241921"/>
        <bgColor indexed="64"/>
      </patternFill>
    </fill>
    <fill>
      <patternFill patternType="solid">
        <fgColor theme="7"/>
        <bgColor indexed="64"/>
      </patternFill>
    </fill>
    <fill>
      <patternFill patternType="solid">
        <fgColor theme="9" tint="0.79998168889431442"/>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rgb="FF000000"/>
      </left>
      <right style="medium">
        <color indexed="64"/>
      </right>
      <top style="medium">
        <color rgb="FF000000"/>
      </top>
      <bottom style="medium">
        <color indexed="64"/>
      </bottom>
      <diagonal/>
    </border>
    <border>
      <left style="medium">
        <color rgb="FF000000"/>
      </left>
      <right style="medium">
        <color indexed="64"/>
      </right>
      <top/>
      <bottom style="thin">
        <color indexed="64"/>
      </bottom>
      <diagonal/>
    </border>
    <border>
      <left style="medium">
        <color rgb="FF000000"/>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medium">
        <color rgb="FF000000"/>
      </right>
      <top style="thin">
        <color indexed="64"/>
      </top>
      <bottom style="thin">
        <color indexed="64"/>
      </bottom>
      <diagonal/>
    </border>
    <border>
      <left style="medium">
        <color rgb="FF000000"/>
      </left>
      <right style="medium">
        <color indexed="64"/>
      </right>
      <top style="thin">
        <color indexed="64"/>
      </top>
      <bottom style="medium">
        <color indexed="64"/>
      </bottom>
      <diagonal/>
    </border>
    <border>
      <left/>
      <right style="medium">
        <color rgb="FF000000"/>
      </right>
      <top style="thin">
        <color indexed="64"/>
      </top>
      <bottom style="medium">
        <color indexed="64"/>
      </bottom>
      <diagonal/>
    </border>
    <border>
      <left style="medium">
        <color rgb="FF000000"/>
      </left>
      <right style="medium">
        <color indexed="64"/>
      </right>
      <top style="medium">
        <color indexed="64"/>
      </top>
      <bottom style="thin">
        <color indexed="64"/>
      </bottom>
      <diagonal/>
    </border>
    <border>
      <left/>
      <right style="medium">
        <color rgb="FF000000"/>
      </right>
      <top style="medium">
        <color indexed="64"/>
      </top>
      <bottom style="thin">
        <color indexed="64"/>
      </bottom>
      <diagonal/>
    </border>
    <border>
      <left style="medium">
        <color rgb="FF000000"/>
      </left>
      <right style="medium">
        <color indexed="64"/>
      </right>
      <top style="thin">
        <color indexed="64"/>
      </top>
      <bottom style="medium">
        <color rgb="FF000000"/>
      </bottom>
      <diagonal/>
    </border>
    <border>
      <left style="medium">
        <color indexed="64"/>
      </left>
      <right/>
      <top style="thin">
        <color indexed="64"/>
      </top>
      <bottom style="medium">
        <color rgb="FF000000"/>
      </bottom>
      <diagonal/>
    </border>
    <border>
      <left/>
      <right/>
      <top style="thin">
        <color indexed="64"/>
      </top>
      <bottom style="medium">
        <color rgb="FF000000"/>
      </bottom>
      <diagonal/>
    </border>
    <border>
      <left/>
      <right style="medium">
        <color rgb="FF000000"/>
      </right>
      <top style="thin">
        <color indexed="64"/>
      </top>
      <bottom style="medium">
        <color rgb="FF000000"/>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s>
  <cellStyleXfs count="4">
    <xf numFmtId="0" fontId="0" fillId="0" borderId="0"/>
    <xf numFmtId="44" fontId="3" fillId="0" borderId="0" applyFont="0" applyFill="0" applyBorder="0" applyAlignment="0" applyProtection="0"/>
    <xf numFmtId="0" fontId="17" fillId="0" borderId="0" applyNumberFormat="0" applyFill="0" applyBorder="0" applyAlignment="0" applyProtection="0"/>
    <xf numFmtId="9" fontId="3" fillId="0" borderId="0" applyFont="0" applyFill="0" applyBorder="0" applyAlignment="0" applyProtection="0"/>
  </cellStyleXfs>
  <cellXfs count="355">
    <xf numFmtId="0" fontId="0" fillId="0" borderId="0" xfId="0"/>
    <xf numFmtId="0" fontId="1" fillId="2" borderId="2" xfId="0" applyFont="1" applyFill="1" applyBorder="1"/>
    <xf numFmtId="0" fontId="2" fillId="2" borderId="0" xfId="0" applyFont="1" applyFill="1"/>
    <xf numFmtId="0" fontId="2" fillId="3" borderId="1" xfId="0" applyFont="1" applyFill="1" applyBorder="1"/>
    <xf numFmtId="0" fontId="2" fillId="4" borderId="1" xfId="0" applyFont="1" applyFill="1" applyBorder="1"/>
    <xf numFmtId="0" fontId="1" fillId="2" borderId="0" xfId="0" applyFont="1" applyFill="1" applyAlignment="1">
      <alignment horizontal="right"/>
    </xf>
    <xf numFmtId="0" fontId="1" fillId="2" borderId="0" xfId="0" applyFont="1" applyFill="1" applyBorder="1" applyAlignment="1">
      <alignment horizontal="right"/>
    </xf>
    <xf numFmtId="0" fontId="1" fillId="2" borderId="2" xfId="0" applyFont="1" applyFill="1" applyBorder="1" applyAlignment="1">
      <alignment horizontal="left"/>
    </xf>
    <xf numFmtId="0" fontId="2" fillId="4" borderId="1" xfId="0" applyFont="1" applyFill="1" applyBorder="1" applyAlignment="1">
      <alignment horizontal="center" vertical="center"/>
    </xf>
    <xf numFmtId="0" fontId="2" fillId="3" borderId="1" xfId="0" applyFont="1" applyFill="1" applyBorder="1" applyAlignment="1" applyProtection="1">
      <alignment horizontal="center" vertical="center"/>
      <protection locked="0"/>
    </xf>
    <xf numFmtId="0" fontId="2" fillId="0" borderId="0" xfId="0" applyFont="1" applyAlignment="1">
      <alignment horizontal="center" vertical="center"/>
    </xf>
    <xf numFmtId="164" fontId="2" fillId="4" borderId="1" xfId="0" applyNumberFormat="1" applyFont="1" applyFill="1" applyBorder="1" applyAlignment="1">
      <alignment horizontal="center" vertical="center" wrapText="1"/>
    </xf>
    <xf numFmtId="0" fontId="4" fillId="2" borderId="0" xfId="0" applyFont="1" applyFill="1"/>
    <xf numFmtId="164" fontId="4" fillId="2" borderId="0" xfId="0" applyNumberFormat="1" applyFont="1" applyFill="1"/>
    <xf numFmtId="0" fontId="5" fillId="2" borderId="0" xfId="0" applyFont="1" applyFill="1" applyAlignment="1">
      <alignment horizontal="center" vertical="center" wrapText="1"/>
    </xf>
    <xf numFmtId="0" fontId="2" fillId="0" borderId="0" xfId="0" applyFont="1" applyBorder="1" applyAlignment="1">
      <alignment vertical="center"/>
    </xf>
    <xf numFmtId="0" fontId="6" fillId="6" borderId="19" xfId="0" applyFont="1" applyFill="1" applyBorder="1" applyAlignment="1">
      <alignment horizontal="center" vertical="center"/>
    </xf>
    <xf numFmtId="0" fontId="6" fillId="6" borderId="20" xfId="0" applyFont="1" applyFill="1" applyBorder="1" applyAlignment="1">
      <alignment horizontal="center" vertical="center"/>
    </xf>
    <xf numFmtId="0" fontId="6" fillId="6" borderId="21" xfId="0" applyFont="1" applyFill="1" applyBorder="1" applyAlignment="1">
      <alignment horizontal="center" vertical="center"/>
    </xf>
    <xf numFmtId="0" fontId="8" fillId="0" borderId="0" xfId="0" applyFont="1" applyAlignment="1">
      <alignment horizontal="center" vertical="center"/>
    </xf>
    <xf numFmtId="0" fontId="2" fillId="4" borderId="1" xfId="0" applyNumberFormat="1" applyFont="1" applyFill="1" applyBorder="1" applyAlignment="1">
      <alignment horizontal="center" vertical="center"/>
    </xf>
    <xf numFmtId="0" fontId="9" fillId="6" borderId="21" xfId="0" applyFont="1" applyFill="1" applyBorder="1" applyAlignment="1">
      <alignment horizontal="center" vertical="center"/>
    </xf>
    <xf numFmtId="0" fontId="7" fillId="0" borderId="0" xfId="0" applyFont="1" applyAlignment="1">
      <alignment horizontal="center" vertical="center"/>
    </xf>
    <xf numFmtId="0" fontId="2" fillId="5" borderId="1" xfId="0" applyFont="1" applyFill="1" applyBorder="1" applyAlignment="1" applyProtection="1">
      <alignment horizontal="center" vertical="center" wrapText="1"/>
      <protection locked="0"/>
    </xf>
    <xf numFmtId="0" fontId="6" fillId="3" borderId="0" xfId="0" applyFont="1" applyFill="1" applyBorder="1" applyAlignment="1">
      <alignment horizontal="center" vertical="center"/>
    </xf>
    <xf numFmtId="0" fontId="8" fillId="3" borderId="0" xfId="0" applyFont="1" applyFill="1" applyBorder="1" applyAlignment="1">
      <alignment horizontal="center" vertical="center"/>
    </xf>
    <xf numFmtId="0" fontId="6" fillId="6" borderId="26" xfId="0" applyFont="1" applyFill="1" applyBorder="1" applyAlignment="1">
      <alignment horizontal="center" vertical="center"/>
    </xf>
    <xf numFmtId="0" fontId="6" fillId="6" borderId="27" xfId="0" applyFont="1" applyFill="1" applyBorder="1" applyAlignment="1">
      <alignment horizontal="center" vertical="center"/>
    </xf>
    <xf numFmtId="0" fontId="6" fillId="6" borderId="28" xfId="0" applyFont="1" applyFill="1" applyBorder="1" applyAlignment="1">
      <alignment horizontal="center" vertical="center"/>
    </xf>
    <xf numFmtId="49" fontId="6" fillId="3" borderId="23" xfId="0" applyNumberFormat="1" applyFont="1" applyFill="1" applyBorder="1" applyAlignment="1">
      <alignment horizontal="center" vertical="center"/>
    </xf>
    <xf numFmtId="0" fontId="8" fillId="0" borderId="10" xfId="0"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164" fontId="8" fillId="3" borderId="23" xfId="0" applyNumberFormat="1" applyFont="1" applyFill="1" applyBorder="1" applyAlignment="1">
      <alignment horizontal="center" vertical="center"/>
    </xf>
    <xf numFmtId="164" fontId="8" fillId="3" borderId="24" xfId="0" applyNumberFormat="1" applyFont="1" applyFill="1" applyBorder="1" applyAlignment="1">
      <alignment horizontal="center" vertical="center"/>
    </xf>
    <xf numFmtId="164" fontId="8" fillId="3" borderId="1" xfId="0" applyNumberFormat="1" applyFont="1" applyFill="1" applyBorder="1" applyAlignment="1">
      <alignment horizontal="center" vertical="center"/>
    </xf>
    <xf numFmtId="164" fontId="8" fillId="3" borderId="4" xfId="0" applyNumberFormat="1" applyFont="1" applyFill="1" applyBorder="1" applyAlignment="1">
      <alignment horizontal="center" vertical="center"/>
    </xf>
    <xf numFmtId="164" fontId="8" fillId="3" borderId="6" xfId="0" applyNumberFormat="1" applyFont="1" applyFill="1" applyBorder="1" applyAlignment="1">
      <alignment horizontal="center" vertical="center"/>
    </xf>
    <xf numFmtId="164" fontId="8" fillId="3" borderId="7" xfId="0" applyNumberFormat="1" applyFont="1" applyFill="1" applyBorder="1" applyAlignment="1">
      <alignment horizontal="center" vertical="center"/>
    </xf>
    <xf numFmtId="0" fontId="11" fillId="2" borderId="0" xfId="0" applyFont="1" applyFill="1"/>
    <xf numFmtId="3" fontId="8" fillId="3" borderId="23" xfId="0" applyNumberFormat="1" applyFont="1" applyFill="1" applyBorder="1" applyAlignment="1">
      <alignment horizontal="center" vertical="center"/>
    </xf>
    <xf numFmtId="3" fontId="8" fillId="3" borderId="24" xfId="0" applyNumberFormat="1" applyFont="1" applyFill="1" applyBorder="1" applyAlignment="1">
      <alignment horizontal="center" vertical="center"/>
    </xf>
    <xf numFmtId="3" fontId="8" fillId="3" borderId="1" xfId="0" applyNumberFormat="1" applyFont="1" applyFill="1" applyBorder="1" applyAlignment="1">
      <alignment horizontal="center" vertical="center"/>
    </xf>
    <xf numFmtId="3" fontId="8" fillId="3" borderId="4" xfId="0" applyNumberFormat="1" applyFont="1" applyFill="1" applyBorder="1" applyAlignment="1">
      <alignment horizontal="center" vertical="center"/>
    </xf>
    <xf numFmtId="3" fontId="8" fillId="3" borderId="6" xfId="0" applyNumberFormat="1" applyFont="1" applyFill="1" applyBorder="1" applyAlignment="1">
      <alignment horizontal="center" vertical="center"/>
    </xf>
    <xf numFmtId="3" fontId="8" fillId="3" borderId="7" xfId="0" applyNumberFormat="1" applyFont="1" applyFill="1" applyBorder="1" applyAlignment="1">
      <alignment horizontal="center" vertical="center"/>
    </xf>
    <xf numFmtId="165" fontId="8" fillId="3" borderId="24" xfId="0" applyNumberFormat="1" applyFont="1" applyFill="1" applyBorder="1" applyAlignment="1">
      <alignment horizontal="center" vertical="center"/>
    </xf>
    <xf numFmtId="165" fontId="8" fillId="3" borderId="4" xfId="0" applyNumberFormat="1" applyFont="1" applyFill="1" applyBorder="1" applyAlignment="1">
      <alignment horizontal="center" vertical="center"/>
    </xf>
    <xf numFmtId="3" fontId="8" fillId="3" borderId="10" xfId="0" applyNumberFormat="1" applyFont="1" applyFill="1" applyBorder="1" applyAlignment="1">
      <alignment horizontal="center" vertical="center"/>
    </xf>
    <xf numFmtId="166" fontId="8" fillId="3" borderId="1" xfId="0" applyNumberFormat="1" applyFont="1" applyFill="1" applyBorder="1" applyAlignment="1">
      <alignment horizontal="center" vertical="center"/>
    </xf>
    <xf numFmtId="4" fontId="8" fillId="3" borderId="1" xfId="0" applyNumberFormat="1" applyFont="1" applyFill="1" applyBorder="1" applyAlignment="1">
      <alignment horizontal="center" vertical="center"/>
    </xf>
    <xf numFmtId="4" fontId="8" fillId="3" borderId="4" xfId="0" applyNumberFormat="1" applyFont="1" applyFill="1" applyBorder="1" applyAlignment="1">
      <alignment horizontal="center" vertical="center"/>
    </xf>
    <xf numFmtId="167" fontId="8" fillId="3" borderId="1" xfId="0" applyNumberFormat="1" applyFont="1" applyFill="1" applyBorder="1" applyAlignment="1">
      <alignment horizontal="center" vertical="center"/>
    </xf>
    <xf numFmtId="165" fontId="8" fillId="3" borderId="0" xfId="0" applyNumberFormat="1" applyFont="1" applyFill="1" applyBorder="1" applyAlignment="1">
      <alignment horizontal="center" vertical="center"/>
    </xf>
    <xf numFmtId="165" fontId="8" fillId="3" borderId="7" xfId="0" applyNumberFormat="1" applyFont="1" applyFill="1" applyBorder="1" applyAlignment="1">
      <alignment horizontal="center" vertical="center"/>
    </xf>
    <xf numFmtId="166" fontId="8" fillId="3" borderId="4" xfId="0" applyNumberFormat="1" applyFont="1" applyFill="1" applyBorder="1" applyAlignment="1">
      <alignment horizontal="center" vertical="center"/>
    </xf>
    <xf numFmtId="0" fontId="1" fillId="3" borderId="0" xfId="0" applyFont="1" applyFill="1" applyAlignment="1">
      <alignment horizontal="center" vertical="center"/>
    </xf>
    <xf numFmtId="0" fontId="0" fillId="6" borderId="0" xfId="0" applyFill="1" applyAlignment="1"/>
    <xf numFmtId="0" fontId="12" fillId="6" borderId="0" xfId="0" applyFont="1" applyFill="1" applyAlignment="1"/>
    <xf numFmtId="0" fontId="13" fillId="2" borderId="0" xfId="0" applyFont="1" applyFill="1" applyAlignment="1">
      <alignment horizontal="right"/>
    </xf>
    <xf numFmtId="0" fontId="11" fillId="2" borderId="0" xfId="0" applyFont="1" applyFill="1" applyAlignment="1">
      <alignment horizontal="center" vertical="center"/>
    </xf>
    <xf numFmtId="2" fontId="2" fillId="4" borderId="1" xfId="0" applyNumberFormat="1" applyFont="1" applyFill="1" applyBorder="1" applyAlignment="1">
      <alignment horizontal="center" vertical="center"/>
    </xf>
    <xf numFmtId="169" fontId="2" fillId="4" borderId="1" xfId="0" applyNumberFormat="1" applyFont="1" applyFill="1" applyBorder="1" applyAlignment="1">
      <alignment horizontal="center" vertical="center"/>
    </xf>
    <xf numFmtId="0" fontId="9" fillId="6" borderId="13" xfId="0" applyFont="1" applyFill="1" applyBorder="1" applyAlignment="1">
      <alignment horizontal="center" vertical="center"/>
    </xf>
    <xf numFmtId="0" fontId="14" fillId="6" borderId="0" xfId="0" applyFont="1" applyFill="1" applyAlignment="1"/>
    <xf numFmtId="10" fontId="8" fillId="0" borderId="0" xfId="0" applyNumberFormat="1" applyFont="1" applyAlignment="1">
      <alignment horizontal="center" vertical="center"/>
    </xf>
    <xf numFmtId="170" fontId="8" fillId="0" borderId="4" xfId="1" applyNumberFormat="1" applyFont="1" applyBorder="1" applyAlignment="1" applyProtection="1">
      <alignment horizontal="left" vertical="center"/>
    </xf>
    <xf numFmtId="0" fontId="15" fillId="0" borderId="0" xfId="0" applyFont="1" applyAlignment="1">
      <alignment horizontal="center" vertical="center"/>
    </xf>
    <xf numFmtId="0" fontId="16" fillId="2" borderId="0" xfId="0" applyFont="1" applyFill="1"/>
    <xf numFmtId="170" fontId="8" fillId="0" borderId="24" xfId="1" applyNumberFormat="1" applyFont="1" applyBorder="1" applyAlignment="1" applyProtection="1">
      <alignment horizontal="left" vertical="center"/>
      <protection locked="0"/>
    </xf>
    <xf numFmtId="0" fontId="17" fillId="0" borderId="0" xfId="2" applyAlignment="1">
      <alignment horizontal="left" vertical="center"/>
    </xf>
    <xf numFmtId="3" fontId="2" fillId="3" borderId="1" xfId="0" applyNumberFormat="1" applyFont="1" applyFill="1" applyBorder="1" applyAlignment="1" applyProtection="1">
      <alignment horizontal="center" vertical="center"/>
      <protection locked="0"/>
    </xf>
    <xf numFmtId="167" fontId="2" fillId="4" borderId="1" xfId="0" applyNumberFormat="1" applyFont="1" applyFill="1" applyBorder="1" applyAlignment="1">
      <alignment horizontal="center" vertical="center" wrapText="1"/>
    </xf>
    <xf numFmtId="170" fontId="8" fillId="3" borderId="4" xfId="1" applyNumberFormat="1" applyFont="1" applyFill="1" applyBorder="1" applyAlignment="1" applyProtection="1">
      <alignment horizontal="left" vertical="center"/>
      <protection locked="0"/>
    </xf>
    <xf numFmtId="171" fontId="4" fillId="2" borderId="0" xfId="0" applyNumberFormat="1" applyFont="1" applyFill="1"/>
    <xf numFmtId="1" fontId="8" fillId="3" borderId="24" xfId="0" applyNumberFormat="1" applyFont="1" applyFill="1" applyBorder="1" applyAlignment="1">
      <alignment horizontal="center" vertical="center"/>
    </xf>
    <xf numFmtId="1" fontId="8" fillId="3" borderId="4" xfId="0" applyNumberFormat="1" applyFont="1" applyFill="1" applyBorder="1" applyAlignment="1">
      <alignment horizontal="center" vertical="center"/>
    </xf>
    <xf numFmtId="1" fontId="8" fillId="3" borderId="7" xfId="0" applyNumberFormat="1" applyFont="1" applyFill="1" applyBorder="1" applyAlignment="1">
      <alignment horizontal="center" vertical="center"/>
    </xf>
    <xf numFmtId="4" fontId="2" fillId="3" borderId="1" xfId="0" applyNumberFormat="1" applyFont="1" applyFill="1" applyBorder="1" applyAlignment="1" applyProtection="1">
      <alignment horizontal="center" vertical="center"/>
      <protection locked="0"/>
    </xf>
    <xf numFmtId="166" fontId="2" fillId="3" borderId="1" xfId="0" applyNumberFormat="1" applyFont="1" applyFill="1" applyBorder="1" applyAlignment="1" applyProtection="1">
      <alignment horizontal="center" vertical="center"/>
      <protection locked="0"/>
    </xf>
    <xf numFmtId="0" fontId="1" fillId="2" borderId="0" xfId="0" applyFont="1" applyFill="1" applyBorder="1" applyAlignment="1">
      <alignment horizontal="left"/>
    </xf>
    <xf numFmtId="0" fontId="1" fillId="2" borderId="0" xfId="0" applyFont="1" applyFill="1" applyBorder="1"/>
    <xf numFmtId="0" fontId="1" fillId="2" borderId="0" xfId="0" applyFont="1" applyFill="1" applyAlignment="1">
      <alignment horizontal="left"/>
    </xf>
    <xf numFmtId="0" fontId="1" fillId="2" borderId="0" xfId="0" applyFont="1" applyFill="1"/>
    <xf numFmtId="49" fontId="2" fillId="2" borderId="0" xfId="0" applyNumberFormat="1" applyFont="1" applyFill="1" applyBorder="1" applyAlignment="1" applyProtection="1">
      <alignment horizontal="left" vertical="top" wrapText="1"/>
      <protection locked="0"/>
    </xf>
    <xf numFmtId="0" fontId="1" fillId="2" borderId="0" xfId="0" applyFont="1" applyFill="1" applyBorder="1" applyAlignment="1">
      <alignment horizontal="left" vertical="top"/>
    </xf>
    <xf numFmtId="0" fontId="1" fillId="2" borderId="0" xfId="0" applyFont="1" applyFill="1" applyAlignment="1">
      <alignment horizontal="left" vertical="top"/>
    </xf>
    <xf numFmtId="0" fontId="2" fillId="2" borderId="0" xfId="0" applyFont="1" applyFill="1" applyAlignment="1">
      <alignment vertical="top"/>
    </xf>
    <xf numFmtId="0" fontId="1" fillId="2" borderId="0" xfId="0" applyFont="1" applyFill="1" applyBorder="1" applyAlignment="1">
      <alignment vertical="top"/>
    </xf>
    <xf numFmtId="0" fontId="1" fillId="2" borderId="0" xfId="0" applyFont="1" applyFill="1" applyAlignment="1">
      <alignment vertical="top"/>
    </xf>
    <xf numFmtId="0" fontId="2" fillId="2" borderId="0" xfId="0" applyFont="1" applyFill="1" applyProtection="1"/>
    <xf numFmtId="0" fontId="1" fillId="2" borderId="0" xfId="0" applyFont="1" applyFill="1" applyBorder="1" applyAlignment="1" applyProtection="1">
      <alignment horizontal="left"/>
    </xf>
    <xf numFmtId="49" fontId="2" fillId="2" borderId="36" xfId="0" applyNumberFormat="1" applyFont="1" applyFill="1" applyBorder="1" applyAlignment="1" applyProtection="1">
      <alignment horizontal="center"/>
    </xf>
    <xf numFmtId="0" fontId="1" fillId="2" borderId="0" xfId="0" applyFont="1" applyFill="1" applyBorder="1" applyProtection="1"/>
    <xf numFmtId="0" fontId="2" fillId="2" borderId="0" xfId="0" applyFont="1" applyFill="1" applyBorder="1" applyAlignment="1" applyProtection="1">
      <alignment horizontal="center"/>
    </xf>
    <xf numFmtId="0" fontId="11" fillId="2" borderId="0" xfId="0" applyFont="1" applyFill="1" applyProtection="1"/>
    <xf numFmtId="0" fontId="4" fillId="2" borderId="0" xfId="0" applyFont="1" applyFill="1" applyProtection="1"/>
    <xf numFmtId="171" fontId="4" fillId="2" borderId="0" xfId="0" applyNumberFormat="1" applyFont="1" applyFill="1" applyProtection="1"/>
    <xf numFmtId="164" fontId="4" fillId="2" borderId="0" xfId="0" applyNumberFormat="1" applyFont="1" applyFill="1" applyProtection="1"/>
    <xf numFmtId="0" fontId="16" fillId="2" borderId="0" xfId="0" applyFont="1" applyFill="1" applyProtection="1"/>
    <xf numFmtId="167" fontId="2" fillId="4" borderId="1" xfId="0" applyNumberFormat="1" applyFont="1" applyFill="1" applyBorder="1" applyAlignment="1">
      <alignment horizontal="center" vertical="center"/>
    </xf>
    <xf numFmtId="171" fontId="2" fillId="4" borderId="1" xfId="0" applyNumberFormat="1" applyFont="1" applyFill="1" applyBorder="1" applyAlignment="1">
      <alignment horizontal="center" vertical="center"/>
    </xf>
    <xf numFmtId="172" fontId="2" fillId="4" borderId="1" xfId="0" applyNumberFormat="1" applyFont="1" applyFill="1" applyBorder="1" applyAlignment="1">
      <alignment horizontal="center" vertical="center"/>
    </xf>
    <xf numFmtId="171" fontId="2" fillId="4" borderId="1" xfId="0" applyNumberFormat="1" applyFont="1" applyFill="1" applyBorder="1" applyAlignment="1">
      <alignment horizontal="center" vertical="center" wrapText="1"/>
    </xf>
    <xf numFmtId="173" fontId="2" fillId="3" borderId="1" xfId="0" applyNumberFormat="1" applyFont="1" applyFill="1" applyBorder="1" applyAlignment="1" applyProtection="1">
      <alignment horizontal="center" vertical="center"/>
      <protection locked="0"/>
    </xf>
    <xf numFmtId="0" fontId="19" fillId="2" borderId="0" xfId="0" applyFont="1" applyFill="1"/>
    <xf numFmtId="0" fontId="20" fillId="2" borderId="0" xfId="0" applyFont="1" applyFill="1"/>
    <xf numFmtId="0" fontId="20" fillId="2" borderId="0" xfId="0" applyFont="1" applyFill="1" applyProtection="1"/>
    <xf numFmtId="0" fontId="21" fillId="2" borderId="0" xfId="0" applyFont="1" applyFill="1"/>
    <xf numFmtId="171" fontId="2" fillId="4" borderId="1" xfId="0" applyNumberFormat="1" applyFont="1" applyFill="1" applyBorder="1" applyAlignment="1" applyProtection="1">
      <alignment horizontal="center" vertical="center" wrapText="1"/>
      <protection locked="0"/>
    </xf>
    <xf numFmtId="3" fontId="2" fillId="4" borderId="1" xfId="0" applyNumberFormat="1" applyFont="1" applyFill="1" applyBorder="1" applyAlignment="1">
      <alignment horizontal="center" vertical="center"/>
    </xf>
    <xf numFmtId="0" fontId="10" fillId="0" borderId="0" xfId="0" applyFont="1" applyFill="1" applyAlignment="1">
      <alignment horizontal="center" vertical="center"/>
    </xf>
    <xf numFmtId="4" fontId="2" fillId="3" borderId="1" xfId="0" applyNumberFormat="1" applyFont="1" applyFill="1" applyBorder="1" applyAlignment="1">
      <alignment horizontal="center"/>
    </xf>
    <xf numFmtId="0" fontId="25" fillId="3" borderId="1" xfId="0" applyFont="1" applyFill="1" applyBorder="1"/>
    <xf numFmtId="4" fontId="2" fillId="4" borderId="1" xfId="0" applyNumberFormat="1" applyFont="1" applyFill="1" applyBorder="1" applyAlignment="1">
      <alignment horizontal="center" vertical="center"/>
    </xf>
    <xf numFmtId="170" fontId="8" fillId="0" borderId="7" xfId="1" applyNumberFormat="1" applyFont="1" applyFill="1" applyBorder="1" applyAlignment="1" applyProtection="1">
      <alignment horizontal="left" vertical="center"/>
      <protection locked="0"/>
    </xf>
    <xf numFmtId="174" fontId="8" fillId="0" borderId="4" xfId="1" applyNumberFormat="1" applyFont="1" applyFill="1" applyBorder="1" applyAlignment="1" applyProtection="1">
      <alignment horizontal="left" vertical="center"/>
      <protection locked="0"/>
    </xf>
    <xf numFmtId="1" fontId="0" fillId="0" borderId="0" xfId="0" applyNumberFormat="1"/>
    <xf numFmtId="0" fontId="0" fillId="0" borderId="0" xfId="0" applyAlignment="1">
      <alignment horizontal="center"/>
    </xf>
    <xf numFmtId="0" fontId="0" fillId="0" borderId="0" xfId="0" applyBorder="1"/>
    <xf numFmtId="0" fontId="26" fillId="0" borderId="0" xfId="0" applyFont="1" applyBorder="1" applyAlignment="1">
      <alignment horizont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175" fontId="0" fillId="0" borderId="0" xfId="0" applyNumberFormat="1" applyBorder="1" applyAlignment="1">
      <alignment horizontal="center" vertical="center"/>
    </xf>
    <xf numFmtId="0" fontId="0" fillId="0" borderId="0" xfId="0" applyBorder="1" applyAlignment="1">
      <alignment horizontal="center" vertical="center"/>
    </xf>
    <xf numFmtId="0" fontId="26" fillId="0" borderId="0" xfId="0" applyFont="1" applyFill="1" applyBorder="1" applyAlignment="1">
      <alignment horizontal="center"/>
    </xf>
    <xf numFmtId="175" fontId="0" fillId="0" borderId="0" xfId="0" applyNumberFormat="1" applyFill="1" applyBorder="1" applyAlignment="1">
      <alignment horizontal="center" vertical="center"/>
    </xf>
    <xf numFmtId="0" fontId="0" fillId="0" borderId="0" xfId="0" applyFill="1" applyBorder="1" applyAlignment="1">
      <alignment horizontal="center" vertical="center"/>
    </xf>
    <xf numFmtId="175" fontId="0" fillId="0" borderId="0" xfId="0" applyNumberFormat="1"/>
    <xf numFmtId="10" fontId="0" fillId="0" borderId="0" xfId="0" applyNumberFormat="1" applyAlignment="1">
      <alignment horizontal="center"/>
    </xf>
    <xf numFmtId="168" fontId="26" fillId="0" borderId="0" xfId="0" applyNumberFormat="1" applyFont="1" applyFill="1" applyBorder="1" applyAlignment="1">
      <alignment horizontal="center"/>
    </xf>
    <xf numFmtId="168" fontId="0" fillId="0" borderId="0" xfId="0" applyNumberFormat="1" applyFill="1" applyBorder="1" applyAlignment="1">
      <alignment horizontal="center" vertical="center"/>
    </xf>
    <xf numFmtId="168" fontId="0" fillId="0" borderId="0" xfId="0" applyNumberFormat="1"/>
    <xf numFmtId="175" fontId="0" fillId="0" borderId="0" xfId="0" applyNumberFormat="1" applyAlignment="1">
      <alignment horizontal="center"/>
    </xf>
    <xf numFmtId="0" fontId="26" fillId="0" borderId="0" xfId="0" applyFont="1" applyAlignment="1">
      <alignment horizontal="center"/>
    </xf>
    <xf numFmtId="168" fontId="0" fillId="0" borderId="0" xfId="0" applyNumberFormat="1" applyAlignment="1">
      <alignment horizontal="center"/>
    </xf>
    <xf numFmtId="0" fontId="26" fillId="0" borderId="1" xfId="0" applyFont="1" applyBorder="1" applyAlignment="1">
      <alignment horizontal="center"/>
    </xf>
    <xf numFmtId="0" fontId="0" fillId="0" borderId="1" xfId="0" applyBorder="1" applyAlignment="1">
      <alignment horizontal="center"/>
    </xf>
    <xf numFmtId="3" fontId="0" fillId="0" borderId="1" xfId="0" applyNumberFormat="1" applyBorder="1" applyAlignment="1">
      <alignment horizontal="center"/>
    </xf>
    <xf numFmtId="166" fontId="0" fillId="0" borderId="1" xfId="0" applyNumberFormat="1" applyBorder="1" applyAlignment="1">
      <alignment horizontal="center"/>
    </xf>
    <xf numFmtId="4" fontId="0" fillId="0" borderId="1" xfId="0" applyNumberFormat="1" applyBorder="1" applyAlignment="1">
      <alignment horizontal="center"/>
    </xf>
    <xf numFmtId="0" fontId="27" fillId="0" borderId="1" xfId="0" applyFont="1" applyBorder="1" applyAlignment="1" applyProtection="1">
      <alignment horizontal="center" vertical="center"/>
      <protection locked="0"/>
    </xf>
    <xf numFmtId="3" fontId="27" fillId="3" borderId="1" xfId="0" applyNumberFormat="1" applyFont="1" applyFill="1" applyBorder="1" applyAlignment="1" applyProtection="1">
      <alignment horizontal="center" vertical="center"/>
      <protection locked="0"/>
    </xf>
    <xf numFmtId="165" fontId="2" fillId="3" borderId="1" xfId="0" applyNumberFormat="1" applyFont="1" applyFill="1" applyBorder="1" applyAlignment="1" applyProtection="1">
      <alignment horizontal="center" vertical="center"/>
      <protection locked="0"/>
    </xf>
    <xf numFmtId="0" fontId="12" fillId="6" borderId="0" xfId="0" applyFont="1" applyFill="1"/>
    <xf numFmtId="165" fontId="12" fillId="6" borderId="0" xfId="0" applyNumberFormat="1" applyFont="1" applyFill="1"/>
    <xf numFmtId="0" fontId="26" fillId="0" borderId="1" xfId="0" applyFont="1" applyBorder="1"/>
    <xf numFmtId="0" fontId="26" fillId="0" borderId="27" xfId="0" applyFont="1" applyFill="1" applyBorder="1" applyAlignment="1">
      <alignment horizontal="center"/>
    </xf>
    <xf numFmtId="176" fontId="6" fillId="0" borderId="0" xfId="0" applyNumberFormat="1" applyFont="1" applyFill="1" applyBorder="1" applyAlignment="1">
      <alignment horizontal="center" vertical="center"/>
    </xf>
    <xf numFmtId="0" fontId="0" fillId="0" borderId="1" xfId="0" applyBorder="1"/>
    <xf numFmtId="0" fontId="26" fillId="0" borderId="1" xfId="0" applyFont="1" applyFill="1" applyBorder="1" applyAlignment="1">
      <alignment horizontal="center"/>
    </xf>
    <xf numFmtId="168" fontId="26" fillId="0" borderId="1" xfId="0" applyNumberFormat="1" applyFont="1" applyFill="1" applyBorder="1" applyAlignment="1">
      <alignment horizontal="center"/>
    </xf>
    <xf numFmtId="49" fontId="6" fillId="0" borderId="1" xfId="0" applyNumberFormat="1" applyFont="1" applyFill="1" applyBorder="1" applyAlignment="1">
      <alignment horizontal="center" vertical="center"/>
    </xf>
    <xf numFmtId="175" fontId="0" fillId="0" borderId="1" xfId="0" applyNumberFormat="1" applyBorder="1" applyAlignment="1">
      <alignment horizontal="center" vertical="center"/>
    </xf>
    <xf numFmtId="10" fontId="0" fillId="0" borderId="1" xfId="0" applyNumberFormat="1" applyBorder="1" applyAlignment="1">
      <alignment horizontal="center"/>
    </xf>
    <xf numFmtId="176" fontId="0" fillId="0" borderId="1" xfId="0" applyNumberFormat="1" applyBorder="1" applyAlignment="1">
      <alignment horizontal="center"/>
    </xf>
    <xf numFmtId="175" fontId="0" fillId="0" borderId="0" xfId="0" applyNumberFormat="1" applyBorder="1"/>
    <xf numFmtId="164" fontId="0" fillId="0" borderId="1" xfId="0" applyNumberFormat="1" applyBorder="1" applyAlignment="1">
      <alignment horizontal="right" vertical="center"/>
    </xf>
    <xf numFmtId="164" fontId="0" fillId="0" borderId="1" xfId="1" applyNumberFormat="1" applyFont="1" applyBorder="1" applyAlignment="1">
      <alignment horizontal="right" vertical="center"/>
    </xf>
    <xf numFmtId="0" fontId="26" fillId="0" borderId="27" xfId="0" applyFont="1" applyBorder="1" applyAlignment="1">
      <alignment horizontal="center"/>
    </xf>
    <xf numFmtId="11" fontId="2" fillId="0" borderId="0" xfId="0" applyNumberFormat="1" applyFont="1" applyAlignment="1">
      <alignment horizontal="center" vertical="center"/>
    </xf>
    <xf numFmtId="177" fontId="0" fillId="0" borderId="1" xfId="3" applyNumberFormat="1" applyFont="1" applyFill="1" applyBorder="1" applyAlignment="1">
      <alignment horizontal="center" vertical="center"/>
    </xf>
    <xf numFmtId="177" fontId="0" fillId="0" borderId="1" xfId="3" applyNumberFormat="1" applyFont="1" applyBorder="1"/>
    <xf numFmtId="2" fontId="8" fillId="3" borderId="24" xfId="0" applyNumberFormat="1" applyFont="1" applyFill="1" applyBorder="1" applyAlignment="1">
      <alignment horizontal="center" vertical="center"/>
    </xf>
    <xf numFmtId="2" fontId="8" fillId="3" borderId="4" xfId="0" applyNumberFormat="1" applyFont="1" applyFill="1" applyBorder="1" applyAlignment="1">
      <alignment horizontal="center" vertical="center"/>
    </xf>
    <xf numFmtId="2" fontId="8" fillId="3" borderId="7" xfId="0" applyNumberFormat="1" applyFont="1" applyFill="1" applyBorder="1" applyAlignment="1">
      <alignment horizontal="center" vertical="center"/>
    </xf>
    <xf numFmtId="168" fontId="8" fillId="3" borderId="24" xfId="0" applyNumberFormat="1" applyFont="1" applyFill="1" applyBorder="1" applyAlignment="1">
      <alignment horizontal="center" vertical="center"/>
    </xf>
    <xf numFmtId="168" fontId="8" fillId="3" borderId="4" xfId="0" applyNumberFormat="1" applyFont="1" applyFill="1" applyBorder="1" applyAlignment="1">
      <alignment horizontal="center" vertical="center"/>
    </xf>
    <xf numFmtId="168" fontId="8" fillId="3" borderId="7" xfId="0" applyNumberFormat="1" applyFont="1" applyFill="1" applyBorder="1" applyAlignment="1">
      <alignment horizontal="center" vertical="center"/>
    </xf>
    <xf numFmtId="168" fontId="0" fillId="0" borderId="1" xfId="3" applyNumberFormat="1" applyFont="1" applyFill="1" applyBorder="1" applyAlignment="1">
      <alignment horizontal="center" vertical="center"/>
    </xf>
    <xf numFmtId="1" fontId="0" fillId="0" borderId="1" xfId="0" applyNumberFormat="1" applyFill="1" applyBorder="1" applyAlignment="1">
      <alignment horizontal="center" vertical="center"/>
    </xf>
    <xf numFmtId="2" fontId="0" fillId="0" borderId="1" xfId="0" applyNumberFormat="1" applyBorder="1" applyAlignment="1">
      <alignment horizontal="center" vertical="center"/>
    </xf>
    <xf numFmtId="2" fontId="0" fillId="0" borderId="0" xfId="0" applyNumberFormat="1" applyAlignment="1">
      <alignment horizontal="center"/>
    </xf>
    <xf numFmtId="2" fontId="0" fillId="0" borderId="0" xfId="0" applyNumberFormat="1"/>
    <xf numFmtId="0" fontId="11" fillId="2" borderId="0" xfId="0" applyFont="1" applyFill="1" applyAlignment="1">
      <alignment horizontal="center" vertical="center" wrapText="1"/>
    </xf>
    <xf numFmtId="0" fontId="27" fillId="0" borderId="0" xfId="0" applyFont="1"/>
    <xf numFmtId="0" fontId="28" fillId="3" borderId="0" xfId="0" applyFont="1" applyFill="1" applyAlignment="1">
      <alignment horizontal="center"/>
    </xf>
    <xf numFmtId="0" fontId="27" fillId="3" borderId="0" xfId="0" applyFont="1" applyFill="1"/>
    <xf numFmtId="0" fontId="27" fillId="3" borderId="0" xfId="0" applyFont="1" applyFill="1" applyAlignment="1">
      <alignment vertical="center"/>
    </xf>
    <xf numFmtId="0" fontId="27" fillId="0" borderId="0" xfId="0" applyFont="1" applyAlignment="1">
      <alignment vertical="center"/>
    </xf>
    <xf numFmtId="0" fontId="27" fillId="0" borderId="57" xfId="0" applyFont="1" applyBorder="1" applyAlignment="1">
      <alignment horizontal="center"/>
    </xf>
    <xf numFmtId="0" fontId="28" fillId="0" borderId="70" xfId="0" applyFont="1" applyBorder="1" applyAlignment="1">
      <alignment horizontal="center"/>
    </xf>
    <xf numFmtId="0" fontId="28" fillId="0" borderId="71" xfId="0" applyFont="1" applyBorder="1" applyAlignment="1">
      <alignment horizontal="center"/>
    </xf>
    <xf numFmtId="0" fontId="28" fillId="0" borderId="72" xfId="0" applyFont="1" applyBorder="1" applyAlignment="1">
      <alignment horizontal="center"/>
    </xf>
    <xf numFmtId="0" fontId="27" fillId="0" borderId="43" xfId="0" applyFont="1" applyBorder="1" applyAlignment="1">
      <alignment horizontal="center"/>
    </xf>
    <xf numFmtId="0" fontId="28" fillId="0" borderId="44" xfId="0" applyFont="1" applyBorder="1" applyAlignment="1">
      <alignment horizontal="center"/>
    </xf>
    <xf numFmtId="0" fontId="28" fillId="0" borderId="12" xfId="0" applyFont="1" applyBorder="1" applyAlignment="1">
      <alignment horizontal="center"/>
    </xf>
    <xf numFmtId="0" fontId="28" fillId="0" borderId="13" xfId="0" applyFont="1" applyBorder="1" applyAlignment="1">
      <alignment horizontal="center"/>
    </xf>
    <xf numFmtId="0" fontId="27" fillId="0" borderId="58" xfId="0" applyFont="1" applyBorder="1" applyAlignment="1">
      <alignment horizontal="center"/>
    </xf>
    <xf numFmtId="0" fontId="27" fillId="0" borderId="40" xfId="0" applyFont="1" applyBorder="1" applyAlignment="1">
      <alignment horizontal="center"/>
    </xf>
    <xf numFmtId="0" fontId="27" fillId="0" borderId="9" xfId="0" applyFont="1" applyBorder="1" applyAlignment="1">
      <alignment horizontal="center"/>
    </xf>
    <xf numFmtId="1" fontId="27" fillId="0" borderId="60" xfId="0" applyNumberFormat="1" applyFont="1" applyBorder="1" applyAlignment="1">
      <alignment horizontal="center"/>
    </xf>
    <xf numFmtId="0" fontId="27" fillId="0" borderId="45" xfId="0" applyFont="1" applyBorder="1" applyAlignment="1">
      <alignment horizontal="center"/>
    </xf>
    <xf numFmtId="0" fontId="27" fillId="0" borderId="59" xfId="0" applyFont="1" applyBorder="1" applyAlignment="1">
      <alignment horizontal="center"/>
    </xf>
    <xf numFmtId="3" fontId="27" fillId="0" borderId="32" xfId="0" applyNumberFormat="1" applyFont="1" applyBorder="1" applyAlignment="1">
      <alignment horizontal="center"/>
    </xf>
    <xf numFmtId="3" fontId="27" fillId="0" borderId="1" xfId="0" applyNumberFormat="1" applyFont="1" applyBorder="1" applyAlignment="1">
      <alignment horizontal="center"/>
    </xf>
    <xf numFmtId="0" fontId="27" fillId="0" borderId="46" xfId="0" applyFont="1" applyBorder="1" applyAlignment="1">
      <alignment horizontal="center"/>
    </xf>
    <xf numFmtId="0" fontId="27" fillId="0" borderId="62" xfId="0" applyFont="1" applyBorder="1" applyAlignment="1">
      <alignment horizontal="center"/>
    </xf>
    <xf numFmtId="0" fontId="27" fillId="0" borderId="47" xfId="0" applyFont="1" applyBorder="1" applyAlignment="1">
      <alignment horizontal="center"/>
    </xf>
    <xf numFmtId="0" fontId="27" fillId="0" borderId="64" xfId="0" applyFont="1" applyBorder="1" applyAlignment="1">
      <alignment horizontal="center"/>
    </xf>
    <xf numFmtId="0" fontId="27" fillId="0" borderId="48" xfId="0" applyFont="1" applyBorder="1" applyAlignment="1">
      <alignment horizontal="center"/>
    </xf>
    <xf numFmtId="0" fontId="27" fillId="0" borderId="66" xfId="0" applyFont="1" applyBorder="1" applyAlignment="1">
      <alignment horizontal="center"/>
    </xf>
    <xf numFmtId="0" fontId="27" fillId="0" borderId="0" xfId="0" applyFont="1" applyAlignment="1">
      <alignment horizontal="center"/>
    </xf>
    <xf numFmtId="0" fontId="27" fillId="0" borderId="22" xfId="0" applyFont="1" applyBorder="1" applyAlignment="1">
      <alignment horizontal="center"/>
    </xf>
    <xf numFmtId="0" fontId="27" fillId="0" borderId="3" xfId="0" applyFont="1" applyBorder="1" applyAlignment="1">
      <alignment horizontal="center"/>
    </xf>
    <xf numFmtId="0" fontId="27" fillId="0" borderId="5" xfId="0" applyFont="1" applyBorder="1" applyAlignment="1">
      <alignment horizontal="center"/>
    </xf>
    <xf numFmtId="2" fontId="27" fillId="0" borderId="0" xfId="0" applyNumberFormat="1" applyFont="1"/>
    <xf numFmtId="0" fontId="6" fillId="3" borderId="1" xfId="0" applyFont="1" applyFill="1" applyBorder="1" applyAlignment="1">
      <alignment horizontal="center" vertical="center"/>
    </xf>
    <xf numFmtId="0" fontId="6" fillId="3" borderId="6"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6" fillId="0" borderId="1" xfId="0" applyFont="1" applyFill="1" applyBorder="1" applyAlignment="1">
      <alignment horizontal="center" vertical="center"/>
    </xf>
    <xf numFmtId="0" fontId="2" fillId="2" borderId="0" xfId="0" applyFont="1" applyFill="1" applyAlignment="1">
      <alignment horizont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2" fillId="3" borderId="1" xfId="0" applyFont="1" applyFill="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6" fillId="6" borderId="29" xfId="0" applyFont="1" applyFill="1" applyBorder="1" applyAlignment="1">
      <alignment horizontal="center" vertical="center"/>
    </xf>
    <xf numFmtId="0" fontId="6" fillId="6" borderId="30" xfId="0" applyFont="1" applyFill="1" applyBorder="1" applyAlignment="1">
      <alignment horizontal="center" vertical="center"/>
    </xf>
    <xf numFmtId="0" fontId="6" fillId="6" borderId="31"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8" fillId="0" borderId="22" xfId="0" applyFont="1" applyFill="1" applyBorder="1" applyAlignment="1">
      <alignment horizontal="center" vertical="center" wrapText="1"/>
    </xf>
    <xf numFmtId="0" fontId="8" fillId="0" borderId="23"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6" fillId="6" borderId="14" xfId="0" applyFont="1" applyFill="1" applyBorder="1" applyAlignment="1">
      <alignment horizontal="center" vertical="center"/>
    </xf>
    <xf numFmtId="0" fontId="6" fillId="6" borderId="25" xfId="0" applyFont="1" applyFill="1" applyBorder="1" applyAlignment="1">
      <alignment horizontal="center" vertical="center"/>
    </xf>
    <xf numFmtId="0" fontId="6" fillId="6" borderId="15" xfId="0" applyFont="1" applyFill="1" applyBorder="1" applyAlignment="1">
      <alignment horizontal="center" vertical="center"/>
    </xf>
    <xf numFmtId="0" fontId="6" fillId="3" borderId="9" xfId="0" applyFont="1" applyFill="1" applyBorder="1" applyAlignment="1">
      <alignment horizontal="center" vertical="center"/>
    </xf>
    <xf numFmtId="0" fontId="6" fillId="6" borderId="16" xfId="0" applyFont="1" applyFill="1" applyBorder="1" applyAlignment="1">
      <alignment horizontal="center" vertical="center"/>
    </xf>
    <xf numFmtId="0" fontId="6" fillId="6" borderId="18" xfId="0" applyFont="1" applyFill="1" applyBorder="1" applyAlignment="1">
      <alignment horizontal="center" vertical="center"/>
    </xf>
    <xf numFmtId="0" fontId="6" fillId="6" borderId="17" xfId="0" applyFont="1" applyFill="1" applyBorder="1" applyAlignment="1">
      <alignment horizontal="center" vertical="center"/>
    </xf>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0" borderId="23" xfId="0" applyFont="1" applyFill="1" applyBorder="1" applyAlignment="1">
      <alignment horizontal="center" vertical="center"/>
    </xf>
    <xf numFmtId="0" fontId="6" fillId="0" borderId="1" xfId="0" applyFont="1" applyFill="1" applyBorder="1" applyAlignment="1">
      <alignment horizontal="center" vertical="center"/>
    </xf>
    <xf numFmtId="0" fontId="6" fillId="3" borderId="8"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8" fillId="0" borderId="34"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3" xfId="0" applyFont="1" applyFill="1" applyBorder="1" applyAlignment="1">
      <alignment horizontal="center" vertical="center" wrapText="1"/>
    </xf>
    <xf numFmtId="0" fontId="8" fillId="0" borderId="32" xfId="0" applyFont="1" applyFill="1" applyBorder="1" applyAlignment="1">
      <alignment horizontal="center" vertical="center" wrapText="1"/>
    </xf>
    <xf numFmtId="0" fontId="6" fillId="8" borderId="16" xfId="0" applyFont="1" applyFill="1" applyBorder="1" applyAlignment="1">
      <alignment horizontal="center" vertical="center"/>
    </xf>
    <xf numFmtId="0" fontId="6" fillId="8" borderId="18" xfId="0" applyFont="1" applyFill="1" applyBorder="1" applyAlignment="1">
      <alignment horizontal="center" vertical="center"/>
    </xf>
    <xf numFmtId="0" fontId="6" fillId="8" borderId="17" xfId="0" applyFont="1" applyFill="1" applyBorder="1" applyAlignment="1">
      <alignment horizontal="center" vertical="center"/>
    </xf>
    <xf numFmtId="0" fontId="6" fillId="2" borderId="16"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7" xfId="0" applyFont="1" applyFill="1" applyBorder="1" applyAlignment="1">
      <alignment horizontal="center" vertical="center"/>
    </xf>
    <xf numFmtId="0" fontId="6" fillId="7" borderId="16" xfId="0" applyFont="1" applyFill="1" applyBorder="1" applyAlignment="1">
      <alignment horizontal="center" vertical="center"/>
    </xf>
    <xf numFmtId="0" fontId="6" fillId="7" borderId="18" xfId="0" applyFont="1" applyFill="1" applyBorder="1" applyAlignment="1">
      <alignment horizontal="center" vertical="center"/>
    </xf>
    <xf numFmtId="0" fontId="6" fillId="7" borderId="17" xfId="0" applyFont="1" applyFill="1" applyBorder="1" applyAlignment="1">
      <alignment horizontal="center" vertical="center"/>
    </xf>
    <xf numFmtId="175" fontId="27" fillId="0" borderId="33" xfId="0" applyNumberFormat="1" applyFont="1" applyBorder="1" applyAlignment="1">
      <alignment horizontal="center"/>
    </xf>
    <xf numFmtId="175" fontId="27" fillId="0" borderId="42" xfId="0" applyNumberFormat="1" applyFont="1" applyBorder="1" applyAlignment="1">
      <alignment horizontal="center"/>
    </xf>
    <xf numFmtId="175" fontId="27" fillId="0" borderId="49" xfId="0" applyNumberFormat="1" applyFont="1" applyBorder="1" applyAlignment="1">
      <alignment horizontal="center"/>
    </xf>
    <xf numFmtId="175" fontId="27" fillId="0" borderId="34" xfId="0" applyNumberFormat="1" applyFont="1" applyBorder="1" applyAlignment="1">
      <alignment horizontal="center"/>
    </xf>
    <xf numFmtId="175" fontId="27" fillId="0" borderId="50" xfId="0" applyNumberFormat="1" applyFont="1" applyBorder="1" applyAlignment="1">
      <alignment horizontal="center"/>
    </xf>
    <xf numFmtId="175" fontId="27" fillId="0" borderId="51" xfId="0" applyNumberFormat="1" applyFont="1" applyBorder="1" applyAlignment="1">
      <alignment horizontal="center"/>
    </xf>
    <xf numFmtId="165" fontId="27" fillId="0" borderId="52" xfId="0" applyNumberFormat="1" applyFont="1" applyBorder="1" applyAlignment="1">
      <alignment horizontal="center"/>
    </xf>
    <xf numFmtId="165" fontId="27" fillId="0" borderId="53" xfId="0" applyNumberFormat="1" applyFont="1" applyBorder="1" applyAlignment="1">
      <alignment horizontal="center"/>
    </xf>
    <xf numFmtId="165" fontId="27" fillId="0" borderId="54" xfId="0" applyNumberFormat="1" applyFont="1" applyBorder="1" applyAlignment="1">
      <alignment horizontal="center"/>
    </xf>
    <xf numFmtId="3" fontId="27" fillId="0" borderId="34" xfId="0" applyNumberFormat="1" applyFont="1" applyBorder="1" applyAlignment="1">
      <alignment horizontal="center"/>
    </xf>
    <xf numFmtId="3" fontId="27" fillId="0" borderId="50" xfId="0" applyNumberFormat="1" applyFont="1" applyBorder="1" applyAlignment="1">
      <alignment horizontal="center"/>
    </xf>
    <xf numFmtId="3" fontId="27" fillId="0" borderId="51" xfId="0" applyNumberFormat="1" applyFont="1" applyBorder="1" applyAlignment="1">
      <alignment horizontal="center"/>
    </xf>
    <xf numFmtId="165" fontId="27" fillId="0" borderId="55" xfId="0" applyNumberFormat="1" applyFont="1" applyBorder="1" applyAlignment="1">
      <alignment horizontal="center"/>
    </xf>
    <xf numFmtId="2" fontId="27" fillId="0" borderId="41" xfId="0" applyNumberFormat="1" applyFont="1" applyBorder="1" applyAlignment="1">
      <alignment horizontal="center"/>
    </xf>
    <xf numFmtId="2" fontId="27" fillId="0" borderId="42" xfId="0" applyNumberFormat="1" applyFont="1" applyBorder="1" applyAlignment="1">
      <alignment horizontal="center"/>
    </xf>
    <xf numFmtId="2" fontId="27" fillId="0" borderId="49" xfId="0" applyNumberFormat="1" applyFont="1" applyBorder="1" applyAlignment="1">
      <alignment horizontal="center"/>
    </xf>
    <xf numFmtId="165" fontId="27" fillId="0" borderId="41" xfId="3" applyNumberFormat="1" applyFont="1" applyBorder="1" applyAlignment="1">
      <alignment horizontal="center"/>
    </xf>
    <xf numFmtId="165" fontId="27" fillId="0" borderId="42" xfId="3" applyNumberFormat="1" applyFont="1" applyBorder="1" applyAlignment="1">
      <alignment horizontal="center"/>
    </xf>
    <xf numFmtId="165" fontId="27" fillId="0" borderId="49" xfId="3" applyNumberFormat="1" applyFont="1" applyBorder="1" applyAlignment="1">
      <alignment horizontal="center"/>
    </xf>
    <xf numFmtId="165" fontId="27" fillId="0" borderId="56" xfId="3" applyNumberFormat="1" applyFont="1" applyBorder="1" applyAlignment="1">
      <alignment horizontal="center"/>
    </xf>
    <xf numFmtId="165" fontId="27" fillId="0" borderId="50" xfId="3" applyNumberFormat="1" applyFont="1" applyBorder="1" applyAlignment="1">
      <alignment horizontal="center"/>
    </xf>
    <xf numFmtId="165" fontId="27" fillId="0" borderId="51" xfId="3" applyNumberFormat="1" applyFont="1" applyBorder="1" applyAlignment="1">
      <alignment horizontal="center"/>
    </xf>
    <xf numFmtId="167" fontId="27" fillId="0" borderId="33" xfId="1" applyNumberFormat="1" applyFont="1" applyBorder="1" applyAlignment="1">
      <alignment horizontal="center"/>
    </xf>
    <xf numFmtId="167" fontId="27" fillId="0" borderId="42" xfId="1" applyNumberFormat="1" applyFont="1" applyBorder="1" applyAlignment="1">
      <alignment horizontal="center"/>
    </xf>
    <xf numFmtId="167" fontId="27" fillId="0" borderId="49" xfId="1" applyNumberFormat="1" applyFont="1" applyBorder="1" applyAlignment="1">
      <alignment horizontal="center"/>
    </xf>
    <xf numFmtId="1" fontId="27" fillId="0" borderId="34" xfId="0" applyNumberFormat="1" applyFont="1" applyBorder="1" applyAlignment="1">
      <alignment horizontal="center"/>
    </xf>
    <xf numFmtId="1" fontId="27" fillId="0" borderId="50" xfId="0" applyNumberFormat="1" applyFont="1" applyBorder="1" applyAlignment="1">
      <alignment horizontal="center"/>
    </xf>
    <xf numFmtId="1" fontId="27" fillId="0" borderId="51" xfId="0" applyNumberFormat="1" applyFont="1" applyBorder="1" applyAlignment="1">
      <alignment horizontal="center"/>
    </xf>
    <xf numFmtId="165" fontId="27" fillId="0" borderId="55" xfId="3" applyNumberFormat="1" applyFont="1" applyBorder="1" applyAlignment="1">
      <alignment horizontal="center"/>
    </xf>
    <xf numFmtId="165" fontId="27" fillId="0" borderId="53" xfId="3" applyNumberFormat="1" applyFont="1" applyBorder="1" applyAlignment="1">
      <alignment horizontal="center"/>
    </xf>
    <xf numFmtId="165" fontId="27" fillId="0" borderId="54" xfId="3" applyNumberFormat="1" applyFont="1" applyBorder="1" applyAlignment="1">
      <alignment horizontal="center"/>
    </xf>
    <xf numFmtId="167" fontId="27" fillId="0" borderId="61" xfId="1" applyNumberFormat="1" applyFont="1" applyBorder="1" applyAlignment="1">
      <alignment horizontal="center"/>
    </xf>
    <xf numFmtId="168" fontId="27" fillId="0" borderId="33" xfId="0" applyNumberFormat="1" applyFont="1" applyBorder="1" applyAlignment="1">
      <alignment horizontal="center"/>
    </xf>
    <xf numFmtId="168" fontId="27" fillId="0" borderId="42" xfId="0" applyNumberFormat="1" applyFont="1" applyBorder="1" applyAlignment="1">
      <alignment horizontal="center"/>
    </xf>
    <xf numFmtId="168" fontId="27" fillId="0" borderId="61" xfId="0" applyNumberFormat="1" applyFont="1" applyBorder="1" applyAlignment="1">
      <alignment horizontal="center"/>
    </xf>
    <xf numFmtId="175" fontId="27" fillId="0" borderId="63" xfId="0" applyNumberFormat="1" applyFont="1" applyBorder="1" applyAlignment="1">
      <alignment horizontal="center"/>
    </xf>
    <xf numFmtId="165" fontId="27" fillId="0" borderId="65" xfId="0" applyNumberFormat="1" applyFont="1" applyBorder="1" applyAlignment="1">
      <alignment horizontal="center"/>
    </xf>
    <xf numFmtId="1" fontId="27" fillId="0" borderId="67" xfId="0" applyNumberFormat="1" applyFont="1" applyBorder="1" applyAlignment="1">
      <alignment horizontal="center"/>
    </xf>
    <xf numFmtId="1" fontId="27" fillId="0" borderId="68" xfId="0" applyNumberFormat="1" applyFont="1" applyBorder="1" applyAlignment="1">
      <alignment horizontal="center"/>
    </xf>
    <xf numFmtId="1" fontId="27" fillId="0" borderId="69" xfId="0" applyNumberFormat="1" applyFont="1" applyBorder="1" applyAlignment="1">
      <alignment horizontal="center"/>
    </xf>
    <xf numFmtId="0" fontId="27" fillId="0" borderId="53" xfId="0" applyFont="1" applyBorder="1" applyAlignment="1">
      <alignment horizontal="center"/>
    </xf>
    <xf numFmtId="0" fontId="27" fillId="0" borderId="54" xfId="0" applyFont="1" applyBorder="1" applyAlignment="1">
      <alignment horizontal="center"/>
    </xf>
    <xf numFmtId="165" fontId="27" fillId="0" borderId="56" xfId="0" applyNumberFormat="1" applyFont="1" applyBorder="1" applyAlignment="1">
      <alignment horizontal="center"/>
    </xf>
    <xf numFmtId="165" fontId="27" fillId="0" borderId="50" xfId="0" applyNumberFormat="1" applyFont="1" applyBorder="1" applyAlignment="1">
      <alignment horizontal="center"/>
    </xf>
    <xf numFmtId="165" fontId="27" fillId="0" borderId="51" xfId="0" applyNumberFormat="1" applyFont="1" applyBorder="1" applyAlignment="1">
      <alignment horizontal="center"/>
    </xf>
    <xf numFmtId="168" fontId="27" fillId="0" borderId="49" xfId="0" applyNumberFormat="1" applyFont="1" applyBorder="1" applyAlignment="1">
      <alignment horizontal="center"/>
    </xf>
    <xf numFmtId="164" fontId="27" fillId="0" borderId="33" xfId="1" applyNumberFormat="1" applyFont="1" applyBorder="1" applyAlignment="1">
      <alignment horizontal="center"/>
    </xf>
    <xf numFmtId="164" fontId="27" fillId="0" borderId="42" xfId="1" applyNumberFormat="1" applyFont="1" applyBorder="1" applyAlignment="1">
      <alignment horizontal="center"/>
    </xf>
    <xf numFmtId="164" fontId="27" fillId="0" borderId="49" xfId="1" applyNumberFormat="1" applyFont="1" applyBorder="1" applyAlignment="1">
      <alignment horizontal="center"/>
    </xf>
    <xf numFmtId="0" fontId="28" fillId="9" borderId="0" xfId="0" applyFont="1" applyFill="1" applyAlignment="1">
      <alignment horizontal="center"/>
    </xf>
    <xf numFmtId="0" fontId="28" fillId="3" borderId="0" xfId="0" applyFont="1" applyFill="1" applyAlignment="1">
      <alignment horizontal="center" vertical="center"/>
    </xf>
    <xf numFmtId="0" fontId="28" fillId="3" borderId="30" xfId="0" applyFont="1" applyFill="1" applyBorder="1" applyAlignment="1">
      <alignment horizontal="center" vertical="center"/>
    </xf>
    <xf numFmtId="0" fontId="28" fillId="0" borderId="0" xfId="0" applyFont="1" applyBorder="1" applyAlignment="1">
      <alignment horizontal="center" vertical="center"/>
    </xf>
    <xf numFmtId="0" fontId="28" fillId="0" borderId="30" xfId="0" applyFont="1" applyBorder="1" applyAlignment="1">
      <alignment horizontal="center" vertical="center"/>
    </xf>
    <xf numFmtId="3" fontId="27" fillId="0" borderId="56" xfId="0" applyNumberFormat="1" applyFont="1" applyBorder="1" applyAlignment="1">
      <alignment horizontal="center"/>
    </xf>
    <xf numFmtId="0" fontId="27" fillId="0" borderId="50" xfId="0" applyFont="1" applyBorder="1" applyAlignment="1">
      <alignment horizontal="center"/>
    </xf>
    <xf numFmtId="0" fontId="27" fillId="0" borderId="51" xfId="0" applyFont="1" applyBorder="1" applyAlignment="1">
      <alignment horizontal="center"/>
    </xf>
    <xf numFmtId="2" fontId="27" fillId="0" borderId="56" xfId="0" applyNumberFormat="1" applyFont="1" applyBorder="1" applyAlignment="1">
      <alignment horizontal="center"/>
    </xf>
    <xf numFmtId="2" fontId="27" fillId="0" borderId="50" xfId="0" applyNumberFormat="1" applyFont="1" applyBorder="1" applyAlignment="1">
      <alignment horizontal="center"/>
    </xf>
    <xf numFmtId="2" fontId="27" fillId="0" borderId="51" xfId="0" applyNumberFormat="1" applyFont="1" applyBorder="1" applyAlignment="1">
      <alignment horizontal="center"/>
    </xf>
    <xf numFmtId="0" fontId="28" fillId="7" borderId="0" xfId="0" applyFont="1" applyFill="1" applyAlignment="1">
      <alignment horizontal="center"/>
    </xf>
    <xf numFmtId="49" fontId="2" fillId="3" borderId="1" xfId="0" applyNumberFormat="1" applyFont="1" applyFill="1" applyBorder="1" applyAlignment="1" applyProtection="1">
      <alignment horizontal="center"/>
      <protection locked="0"/>
    </xf>
    <xf numFmtId="0" fontId="2" fillId="3" borderId="1" xfId="0" applyFont="1" applyFill="1" applyBorder="1" applyAlignment="1" applyProtection="1">
      <alignment horizontal="center"/>
      <protection locked="0"/>
    </xf>
    <xf numFmtId="0" fontId="5" fillId="3" borderId="1" xfId="0" applyFont="1" applyFill="1" applyBorder="1" applyAlignment="1">
      <alignment horizontal="left"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49" fontId="2" fillId="3" borderId="37" xfId="0" applyNumberFormat="1" applyFont="1" applyFill="1" applyBorder="1" applyAlignment="1" applyProtection="1">
      <alignment vertical="top" wrapText="1"/>
      <protection locked="0"/>
    </xf>
    <xf numFmtId="49" fontId="2" fillId="3" borderId="36" xfId="0" applyNumberFormat="1" applyFont="1" applyFill="1" applyBorder="1" applyAlignment="1" applyProtection="1">
      <alignment vertical="top" wrapText="1"/>
      <protection locked="0"/>
    </xf>
    <xf numFmtId="49" fontId="2" fillId="3" borderId="38" xfId="0" applyNumberFormat="1" applyFont="1" applyFill="1" applyBorder="1" applyAlignment="1" applyProtection="1">
      <alignment vertical="top" wrapText="1"/>
      <protection locked="0"/>
    </xf>
    <xf numFmtId="49" fontId="2" fillId="3" borderId="39" xfId="0" applyNumberFormat="1" applyFont="1" applyFill="1" applyBorder="1" applyAlignment="1" applyProtection="1">
      <alignment vertical="top" wrapText="1"/>
      <protection locked="0"/>
    </xf>
    <xf numFmtId="49" fontId="2" fillId="3" borderId="2" xfId="0" applyNumberFormat="1" applyFont="1" applyFill="1" applyBorder="1" applyAlignment="1" applyProtection="1">
      <alignment vertical="top" wrapText="1"/>
      <protection locked="0"/>
    </xf>
    <xf numFmtId="49" fontId="2" fillId="3" borderId="40" xfId="0" applyNumberFormat="1" applyFont="1" applyFill="1" applyBorder="1" applyAlignment="1" applyProtection="1">
      <alignment vertical="top" wrapText="1"/>
      <protection locked="0"/>
    </xf>
    <xf numFmtId="0" fontId="2" fillId="2" borderId="0" xfId="0" applyFont="1" applyFill="1" applyAlignment="1">
      <alignment horizontal="center" wrapText="1"/>
    </xf>
    <xf numFmtId="0" fontId="2" fillId="2" borderId="0" xfId="0" applyFont="1" applyFill="1" applyAlignment="1">
      <alignment horizontal="center"/>
    </xf>
    <xf numFmtId="49" fontId="2" fillId="3" borderId="37" xfId="0" applyNumberFormat="1" applyFont="1" applyFill="1" applyBorder="1" applyAlignment="1" applyProtection="1">
      <alignment horizontal="left" vertical="top" wrapText="1"/>
      <protection locked="0"/>
    </xf>
    <xf numFmtId="49" fontId="2" fillId="3" borderId="36" xfId="0" applyNumberFormat="1" applyFont="1" applyFill="1" applyBorder="1" applyAlignment="1" applyProtection="1">
      <alignment horizontal="left" vertical="top" wrapText="1"/>
      <protection locked="0"/>
    </xf>
    <xf numFmtId="49" fontId="2" fillId="3" borderId="38" xfId="0" applyNumberFormat="1" applyFont="1" applyFill="1" applyBorder="1" applyAlignment="1" applyProtection="1">
      <alignment horizontal="left" vertical="top" wrapText="1"/>
      <protection locked="0"/>
    </xf>
    <xf numFmtId="49" fontId="2" fillId="3" borderId="39" xfId="0" applyNumberFormat="1" applyFont="1" applyFill="1" applyBorder="1" applyAlignment="1" applyProtection="1">
      <alignment horizontal="left" vertical="top" wrapText="1"/>
      <protection locked="0"/>
    </xf>
    <xf numFmtId="49" fontId="2" fillId="3" borderId="2" xfId="0" applyNumberFormat="1" applyFont="1" applyFill="1" applyBorder="1" applyAlignment="1" applyProtection="1">
      <alignment horizontal="left" vertical="top" wrapText="1"/>
      <protection locked="0"/>
    </xf>
    <xf numFmtId="49" fontId="2" fillId="3" borderId="40" xfId="0" applyNumberFormat="1" applyFont="1" applyFill="1" applyBorder="1" applyAlignment="1" applyProtection="1">
      <alignment horizontal="left" vertical="top" wrapText="1"/>
      <protection locked="0"/>
    </xf>
    <xf numFmtId="0" fontId="2" fillId="3" borderId="1" xfId="0" applyFont="1" applyFill="1" applyBorder="1" applyAlignment="1">
      <alignment horizontal="center"/>
    </xf>
    <xf numFmtId="167" fontId="2" fillId="3" borderId="41" xfId="0" applyNumberFormat="1" applyFont="1" applyFill="1" applyBorder="1" applyAlignment="1">
      <alignment horizontal="center"/>
    </xf>
    <xf numFmtId="0" fontId="2" fillId="3" borderId="42" xfId="0" applyFont="1" applyFill="1" applyBorder="1" applyAlignment="1">
      <alignment horizontal="center"/>
    </xf>
    <xf numFmtId="0" fontId="2" fillId="3" borderId="32" xfId="0" applyFont="1" applyFill="1" applyBorder="1" applyAlignment="1">
      <alignment horizontal="center"/>
    </xf>
    <xf numFmtId="0" fontId="2" fillId="3" borderId="41" xfId="0" applyFont="1" applyFill="1" applyBorder="1" applyAlignment="1">
      <alignment horizontal="center"/>
    </xf>
    <xf numFmtId="2" fontId="2" fillId="3" borderId="41" xfId="0" applyNumberFormat="1" applyFont="1" applyFill="1" applyBorder="1" applyAlignment="1">
      <alignment horizontal="center"/>
    </xf>
    <xf numFmtId="2" fontId="2" fillId="3" borderId="42" xfId="0" applyNumberFormat="1" applyFont="1" applyFill="1" applyBorder="1" applyAlignment="1">
      <alignment horizontal="center"/>
    </xf>
    <xf numFmtId="2" fontId="2" fillId="3" borderId="32" xfId="0" applyNumberFormat="1" applyFont="1" applyFill="1" applyBorder="1" applyAlignment="1">
      <alignment horizontal="center"/>
    </xf>
    <xf numFmtId="0" fontId="27" fillId="0" borderId="1" xfId="0" applyFont="1" applyBorder="1" applyAlignment="1">
      <alignment horizontal="center"/>
    </xf>
    <xf numFmtId="165" fontId="27" fillId="0" borderId="1" xfId="3" applyNumberFormat="1" applyFont="1" applyBorder="1" applyAlignment="1">
      <alignment horizontal="center"/>
    </xf>
    <xf numFmtId="0" fontId="28" fillId="0" borderId="1" xfId="0" applyFont="1" applyBorder="1" applyAlignment="1">
      <alignment horizontal="center"/>
    </xf>
    <xf numFmtId="0" fontId="30" fillId="0" borderId="1" xfId="0" applyFont="1" applyBorder="1" applyAlignment="1">
      <alignment horizontal="center"/>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445298678136752"/>
          <c:y val="0.28608145614898794"/>
          <c:w val="0.77399852909759292"/>
          <c:h val="0.65337887164906583"/>
        </c:manualLayout>
      </c:layout>
      <c:barChart>
        <c:barDir val="col"/>
        <c:grouping val="clustered"/>
        <c:varyColors val="0"/>
        <c:ser>
          <c:idx val="0"/>
          <c:order val="0"/>
          <c:tx>
            <c:strRef>
              <c:f>'Figure - Device Rebound'!$D$3</c:f>
              <c:strCache>
                <c:ptCount val="1"/>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 Device Rebound'!$C$4:$C$23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 hybrid)</c:v>
                </c:pt>
                <c:pt idx="18">
                  <c:v>Computers</c:v>
                </c:pt>
                <c:pt idx="19">
                  <c:v>Autos (gasoline)</c:v>
                </c:pt>
              </c:strCache>
            </c:strRef>
          </c:cat>
          <c:val>
            <c:numRef>
              <c:f>'Figure - Device Rebound'!$D$4:$D$23</c:f>
              <c:numCache>
                <c:formatCode>0.0</c:formatCode>
                <c:ptCount val="20"/>
                <c:pt idx="0">
                  <c:v>8.548</c:v>
                </c:pt>
                <c:pt idx="1">
                  <c:v>8.4</c:v>
                </c:pt>
                <c:pt idx="2">
                  <c:v>0</c:v>
                </c:pt>
                <c:pt idx="3">
                  <c:v>0</c:v>
                </c:pt>
                <c:pt idx="4">
                  <c:v>14.58</c:v>
                </c:pt>
                <c:pt idx="5">
                  <c:v>6.04</c:v>
                </c:pt>
                <c:pt idx="6">
                  <c:v>0</c:v>
                </c:pt>
                <c:pt idx="7">
                  <c:v>20</c:v>
                </c:pt>
                <c:pt idx="8">
                  <c:v>0</c:v>
                </c:pt>
                <c:pt idx="9">
                  <c:v>6.04</c:v>
                </c:pt>
                <c:pt idx="10">
                  <c:v>0</c:v>
                </c:pt>
                <c:pt idx="11">
                  <c:v>0</c:v>
                </c:pt>
                <c:pt idx="12">
                  <c:v>10</c:v>
                </c:pt>
                <c:pt idx="13">
                  <c:v>0</c:v>
                </c:pt>
                <c:pt idx="14">
                  <c:v>0</c:v>
                </c:pt>
                <c:pt idx="15">
                  <c:v>0</c:v>
                </c:pt>
                <c:pt idx="16">
                  <c:v>7.1</c:v>
                </c:pt>
                <c:pt idx="17">
                  <c:v>20</c:v>
                </c:pt>
                <c:pt idx="18">
                  <c:v>0</c:v>
                </c:pt>
                <c:pt idx="19">
                  <c:v>6.04</c:v>
                </c:pt>
              </c:numCache>
            </c:numRef>
          </c:val>
          <c:extLst>
            <c:ext xmlns:c16="http://schemas.microsoft.com/office/drawing/2014/chart" uri="{C3380CC4-5D6E-409C-BE32-E72D297353CC}">
              <c16:uniqueId val="{00000000-52F8-44A9-96D9-9D03CA87F9ED}"/>
            </c:ext>
          </c:extLst>
        </c:ser>
        <c:dLbls>
          <c:showLegendKey val="0"/>
          <c:showVal val="0"/>
          <c:showCatName val="0"/>
          <c:showSerName val="0"/>
          <c:showPercent val="0"/>
          <c:showBubbleSize val="0"/>
        </c:dLbls>
        <c:gapWidth val="219"/>
        <c:axId val="506675504"/>
        <c:axId val="506675832"/>
      </c:barChart>
      <c:catAx>
        <c:axId val="506675504"/>
        <c:scaling>
          <c:orientation val="minMax"/>
        </c:scaling>
        <c:delete val="0"/>
        <c:axPos val="b"/>
        <c:numFmt formatCode="General" sourceLinked="1"/>
        <c:majorTickMark val="none"/>
        <c:minorTickMark val="cross"/>
        <c:tickLblPos val="high"/>
        <c:spPr>
          <a:noFill/>
          <a:ln w="9525" cap="flat" cmpd="sng" algn="ctr">
            <a:solidFill>
              <a:sysClr val="windowText" lastClr="000000"/>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06675832"/>
        <c:crosses val="autoZero"/>
        <c:auto val="1"/>
        <c:lblAlgn val="ctr"/>
        <c:lblOffset val="100"/>
        <c:noMultiLvlLbl val="0"/>
      </c:catAx>
      <c:valAx>
        <c:axId val="506675832"/>
        <c:scaling>
          <c:orientation val="minMax"/>
        </c:scaling>
        <c:delete val="0"/>
        <c:axPos val="l"/>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sz="2000" b="1">
                    <a:latin typeface="Times New Roman" panose="02020603050405020304" pitchFamily="18" charset="0"/>
                    <a:cs typeface="Times New Roman" panose="02020603050405020304" pitchFamily="18" charset="0"/>
                  </a:rPr>
                  <a:t>Device Level Rebound [%]</a:t>
                </a:r>
              </a:p>
            </c:rich>
          </c:tx>
          <c:layout>
            <c:manualLayout>
              <c:xMode val="edge"/>
              <c:yMode val="edge"/>
              <c:x val="2.2333958147569295E-2"/>
              <c:y val="0.48152416236243245"/>
            </c:manualLayout>
          </c:layout>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in"/>
        <c:minorTickMark val="none"/>
        <c:tickLblPos val="nextTo"/>
        <c:spPr>
          <a:noFill/>
          <a:ln>
            <a:solidFill>
              <a:sysClr val="windowText" lastClr="000000"/>
            </a:solid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06675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sz="20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7.9309284919053522E-2</c:v>
                </c:pt>
                <c:pt idx="1">
                  <c:v>1.657894727396695E-2</c:v>
                </c:pt>
                <c:pt idx="2">
                  <c:v>0</c:v>
                </c:pt>
                <c:pt idx="3">
                  <c:v>0</c:v>
                </c:pt>
                <c:pt idx="4">
                  <c:v>8.9138768936845247E-2</c:v>
                </c:pt>
                <c:pt idx="5">
                  <c:v>7.64899639288667E-2</c:v>
                </c:pt>
                <c:pt idx="6">
                  <c:v>0</c:v>
                </c:pt>
                <c:pt idx="7">
                  <c:v>0.26055925796881607</c:v>
                </c:pt>
                <c:pt idx="8">
                  <c:v>0</c:v>
                </c:pt>
                <c:pt idx="9">
                  <c:v>9.3974796741619435E-3</c:v>
                </c:pt>
                <c:pt idx="10">
                  <c:v>0</c:v>
                </c:pt>
                <c:pt idx="11">
                  <c:v>0</c:v>
                </c:pt>
                <c:pt idx="12">
                  <c:v>5.0106840589369026E-2</c:v>
                </c:pt>
                <c:pt idx="13">
                  <c:v>0</c:v>
                </c:pt>
                <c:pt idx="14">
                  <c:v>0</c:v>
                </c:pt>
                <c:pt idx="15">
                  <c:v>0</c:v>
                </c:pt>
                <c:pt idx="16">
                  <c:v>0.27623579412915894</c:v>
                </c:pt>
                <c:pt idx="17">
                  <c:v>0.49655701588560841</c:v>
                </c:pt>
                <c:pt idx="18">
                  <c:v>0</c:v>
                </c:pt>
                <c:pt idx="19">
                  <c:v>2.604018672224425E-2</c:v>
                </c:pt>
              </c:numCache>
            </c:numRef>
          </c:val>
          <c:extLst>
            <c:ext xmlns:c16="http://schemas.microsoft.com/office/drawing/2014/chart" uri="{C3380CC4-5D6E-409C-BE32-E72D297353CC}">
              <c16:uniqueId val="{00000000-0477-4055-B916-C39CC1F07B42}"/>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2.8351270021381931E-4</c:v>
                </c:pt>
                <c:pt idx="1">
                  <c:v>3.1110960213421041E-2</c:v>
                </c:pt>
                <c:pt idx="2">
                  <c:v>3.1945119313617632E-4</c:v>
                </c:pt>
                <c:pt idx="3">
                  <c:v>1.8154194823023358E-4</c:v>
                </c:pt>
                <c:pt idx="4">
                  <c:v>4.5320824550875612E-3</c:v>
                </c:pt>
                <c:pt idx="5">
                  <c:v>8.4441766487265396E-2</c:v>
                </c:pt>
                <c:pt idx="6">
                  <c:v>2.1303383616419817E-2</c:v>
                </c:pt>
                <c:pt idx="7">
                  <c:v>3.4595868151872551E-3</c:v>
                </c:pt>
                <c:pt idx="8">
                  <c:v>1.1362751618476262E-2</c:v>
                </c:pt>
                <c:pt idx="9">
                  <c:v>0</c:v>
                </c:pt>
                <c:pt idx="10">
                  <c:v>2.3373559703460816E-2</c:v>
                </c:pt>
                <c:pt idx="11">
                  <c:v>2.949334781326527E-3</c:v>
                </c:pt>
                <c:pt idx="12">
                  <c:v>5.5541421998194307E-3</c:v>
                </c:pt>
                <c:pt idx="13">
                  <c:v>1.9536065382222918E-2</c:v>
                </c:pt>
                <c:pt idx="14">
                  <c:v>3.1951083950693079E-3</c:v>
                </c:pt>
                <c:pt idx="15">
                  <c:v>0</c:v>
                </c:pt>
                <c:pt idx="16">
                  <c:v>6.5779334327885214E-2</c:v>
                </c:pt>
                <c:pt idx="17">
                  <c:v>1.9114262685385932E-2</c:v>
                </c:pt>
                <c:pt idx="18">
                  <c:v>0.27802142193670115</c:v>
                </c:pt>
                <c:pt idx="19">
                  <c:v>3.294232121973735E-2</c:v>
                </c:pt>
              </c:numCache>
            </c:numRef>
          </c:val>
          <c:extLst>
            <c:ext xmlns:c16="http://schemas.microsoft.com/office/drawing/2014/chart" uri="{C3380CC4-5D6E-409C-BE32-E72D297353CC}">
              <c16:uniqueId val="{00000001-0477-4055-B916-C39CC1F07B42}"/>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0.92040720238073259</c:v>
                </c:pt>
                <c:pt idx="1">
                  <c:v>0.95231009251261212</c:v>
                </c:pt>
                <c:pt idx="2">
                  <c:v>0.99968054880686386</c:v>
                </c:pt>
                <c:pt idx="3">
                  <c:v>0.99981845805176972</c:v>
                </c:pt>
                <c:pt idx="4">
                  <c:v>0.90632914860806724</c:v>
                </c:pt>
                <c:pt idx="5">
                  <c:v>0.83906826958386793</c:v>
                </c:pt>
                <c:pt idx="6">
                  <c:v>0.97869661638358019</c:v>
                </c:pt>
                <c:pt idx="7">
                  <c:v>0.73598115521599661</c:v>
                </c:pt>
                <c:pt idx="8">
                  <c:v>0.98863724838152367</c:v>
                </c:pt>
                <c:pt idx="9">
                  <c:v>0.99060252032583818</c:v>
                </c:pt>
                <c:pt idx="10">
                  <c:v>0.97662644029653922</c:v>
                </c:pt>
                <c:pt idx="11">
                  <c:v>0.99705066521867347</c:v>
                </c:pt>
                <c:pt idx="12">
                  <c:v>0.94433901721081148</c:v>
                </c:pt>
                <c:pt idx="13">
                  <c:v>0.98046393461777714</c:v>
                </c:pt>
                <c:pt idx="14">
                  <c:v>0.99680489160493069</c:v>
                </c:pt>
                <c:pt idx="15">
                  <c:v>1</c:v>
                </c:pt>
                <c:pt idx="16">
                  <c:v>0.65798487154295582</c:v>
                </c:pt>
                <c:pt idx="17">
                  <c:v>0.48432872142900574</c:v>
                </c:pt>
                <c:pt idx="18">
                  <c:v>0.7219785780632989</c:v>
                </c:pt>
                <c:pt idx="19">
                  <c:v>0.94101749205801832</c:v>
                </c:pt>
              </c:numCache>
            </c:numRef>
          </c:val>
          <c:extLst>
            <c:ext xmlns:c16="http://schemas.microsoft.com/office/drawing/2014/chart" uri="{C3380CC4-5D6E-409C-BE32-E72D297353CC}">
              <c16:uniqueId val="{00000002-0477-4055-B916-C39CC1F07B42}"/>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7000000000000002"/>
          <c:min val="-0.70000000000000007"/>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7.9309284919053522E-2</c:v>
                </c:pt>
                <c:pt idx="1">
                  <c:v>1.657894727396695E-2</c:v>
                </c:pt>
                <c:pt idx="2">
                  <c:v>0</c:v>
                </c:pt>
                <c:pt idx="3">
                  <c:v>0</c:v>
                </c:pt>
                <c:pt idx="4">
                  <c:v>8.9138768936845247E-2</c:v>
                </c:pt>
                <c:pt idx="5">
                  <c:v>7.64899639288667E-2</c:v>
                </c:pt>
                <c:pt idx="6">
                  <c:v>0</c:v>
                </c:pt>
                <c:pt idx="7">
                  <c:v>0.26055925796881607</c:v>
                </c:pt>
                <c:pt idx="8">
                  <c:v>0</c:v>
                </c:pt>
                <c:pt idx="9">
                  <c:v>9.3974796741619435E-3</c:v>
                </c:pt>
                <c:pt idx="10">
                  <c:v>0</c:v>
                </c:pt>
                <c:pt idx="11">
                  <c:v>0</c:v>
                </c:pt>
                <c:pt idx="12">
                  <c:v>5.0106840589369026E-2</c:v>
                </c:pt>
                <c:pt idx="13">
                  <c:v>0</c:v>
                </c:pt>
                <c:pt idx="14">
                  <c:v>0</c:v>
                </c:pt>
                <c:pt idx="15">
                  <c:v>0</c:v>
                </c:pt>
                <c:pt idx="16">
                  <c:v>0.27623579412915894</c:v>
                </c:pt>
                <c:pt idx="17">
                  <c:v>0.49655701588560841</c:v>
                </c:pt>
                <c:pt idx="18">
                  <c:v>0</c:v>
                </c:pt>
                <c:pt idx="19">
                  <c:v>2.604018672224425E-2</c:v>
                </c:pt>
              </c:numCache>
            </c:numRef>
          </c:val>
          <c:extLst>
            <c:ext xmlns:c16="http://schemas.microsoft.com/office/drawing/2014/chart" uri="{C3380CC4-5D6E-409C-BE32-E72D297353CC}">
              <c16:uniqueId val="{00000000-6A66-48F0-B7E9-06CA22479DE9}"/>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2.8351270021381931E-4</c:v>
                </c:pt>
                <c:pt idx="1">
                  <c:v>3.1110960213421041E-2</c:v>
                </c:pt>
                <c:pt idx="2">
                  <c:v>3.1945119313617632E-4</c:v>
                </c:pt>
                <c:pt idx="3">
                  <c:v>1.8154194823023358E-4</c:v>
                </c:pt>
                <c:pt idx="4">
                  <c:v>4.5320824550875612E-3</c:v>
                </c:pt>
                <c:pt idx="5">
                  <c:v>8.4441766487265396E-2</c:v>
                </c:pt>
                <c:pt idx="6">
                  <c:v>2.1303383616419817E-2</c:v>
                </c:pt>
                <c:pt idx="7">
                  <c:v>3.4595868151872551E-3</c:v>
                </c:pt>
                <c:pt idx="8">
                  <c:v>1.1362751618476262E-2</c:v>
                </c:pt>
                <c:pt idx="9">
                  <c:v>0</c:v>
                </c:pt>
                <c:pt idx="10">
                  <c:v>2.3373559703460816E-2</c:v>
                </c:pt>
                <c:pt idx="11">
                  <c:v>2.949334781326527E-3</c:v>
                </c:pt>
                <c:pt idx="12">
                  <c:v>5.5541421998194307E-3</c:v>
                </c:pt>
                <c:pt idx="13">
                  <c:v>1.9536065382222918E-2</c:v>
                </c:pt>
                <c:pt idx="14">
                  <c:v>3.1951083950693079E-3</c:v>
                </c:pt>
                <c:pt idx="15">
                  <c:v>0</c:v>
                </c:pt>
                <c:pt idx="16">
                  <c:v>6.5779334327885214E-2</c:v>
                </c:pt>
                <c:pt idx="17">
                  <c:v>1.9114262685385932E-2</c:v>
                </c:pt>
                <c:pt idx="18">
                  <c:v>0.27802142193670115</c:v>
                </c:pt>
                <c:pt idx="19">
                  <c:v>3.294232121973735E-2</c:v>
                </c:pt>
              </c:numCache>
            </c:numRef>
          </c:val>
          <c:extLst>
            <c:ext xmlns:c16="http://schemas.microsoft.com/office/drawing/2014/chart" uri="{C3380CC4-5D6E-409C-BE32-E72D297353CC}">
              <c16:uniqueId val="{00000001-6A66-48F0-B7E9-06CA22479DE9}"/>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0.92040720238073259</c:v>
                </c:pt>
                <c:pt idx="1">
                  <c:v>0.95231009251261212</c:v>
                </c:pt>
                <c:pt idx="2">
                  <c:v>0.99968054880686386</c:v>
                </c:pt>
                <c:pt idx="3">
                  <c:v>0.99981845805176972</c:v>
                </c:pt>
                <c:pt idx="4">
                  <c:v>0.90632914860806724</c:v>
                </c:pt>
                <c:pt idx="5">
                  <c:v>0.83906826958386793</c:v>
                </c:pt>
                <c:pt idx="6">
                  <c:v>0.97869661638358019</c:v>
                </c:pt>
                <c:pt idx="7">
                  <c:v>0.73598115521599661</c:v>
                </c:pt>
                <c:pt idx="8">
                  <c:v>0.98863724838152367</c:v>
                </c:pt>
                <c:pt idx="9">
                  <c:v>0.99060252032583818</c:v>
                </c:pt>
                <c:pt idx="10">
                  <c:v>0.97662644029653922</c:v>
                </c:pt>
                <c:pt idx="11">
                  <c:v>0.99705066521867347</c:v>
                </c:pt>
                <c:pt idx="12">
                  <c:v>0.94433901721081148</c:v>
                </c:pt>
                <c:pt idx="13">
                  <c:v>0.98046393461777714</c:v>
                </c:pt>
                <c:pt idx="14">
                  <c:v>0.99680489160493069</c:v>
                </c:pt>
                <c:pt idx="15">
                  <c:v>1</c:v>
                </c:pt>
                <c:pt idx="16">
                  <c:v>0.65798487154295582</c:v>
                </c:pt>
                <c:pt idx="17">
                  <c:v>0.48432872142900574</c:v>
                </c:pt>
                <c:pt idx="18">
                  <c:v>0.7219785780632989</c:v>
                </c:pt>
                <c:pt idx="19">
                  <c:v>0.94101749205801832</c:v>
                </c:pt>
              </c:numCache>
            </c:numRef>
          </c:val>
          <c:extLst>
            <c:ext xmlns:c16="http://schemas.microsoft.com/office/drawing/2014/chart" uri="{C3380CC4-5D6E-409C-BE32-E72D297353CC}">
              <c16:uniqueId val="{00000002-6A66-48F0-B7E9-06CA22479DE9}"/>
            </c:ext>
          </c:extLst>
        </c:ser>
        <c:dLbls>
          <c:showLegendKey val="0"/>
          <c:showVal val="0"/>
          <c:showCatName val="0"/>
          <c:showSerName val="0"/>
          <c:showPercent val="0"/>
          <c:showBubbleSize val="0"/>
        </c:dLbls>
        <c:gapWidth val="150"/>
        <c:overlap val="100"/>
        <c:axId val="281841951"/>
        <c:axId val="169766159"/>
      </c:barChart>
      <c:catAx>
        <c:axId val="281841951"/>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9766159"/>
        <c:crosses val="autoZero"/>
        <c:auto val="1"/>
        <c:lblAlgn val="ctr"/>
        <c:lblOffset val="100"/>
        <c:noMultiLvlLbl val="0"/>
      </c:catAx>
      <c:valAx>
        <c:axId val="16976615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81841951"/>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Graph'!$F$4:$F$5</c:f>
              <c:numCache>
                <c:formatCode>0.0%</c:formatCode>
                <c:ptCount val="2"/>
                <c:pt idx="0">
                  <c:v>8.548E-2</c:v>
                </c:pt>
                <c:pt idx="1">
                  <c:v>8.4000000000000005E-2</c:v>
                </c:pt>
              </c:numCache>
            </c:numRef>
          </c:val>
          <c:extLst>
            <c:ext xmlns:c16="http://schemas.microsoft.com/office/drawing/2014/chart" uri="{C3380CC4-5D6E-409C-BE32-E72D297353CC}">
              <c16:uniqueId val="{00000000-4552-43BA-98BC-8B4717A8BAA7}"/>
            </c:ext>
          </c:extLst>
        </c:ser>
        <c:ser>
          <c:idx val="1"/>
          <c:order val="1"/>
          <c:tx>
            <c:v>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Graph'!$E$4:$E$5</c:f>
              <c:numCache>
                <c:formatCode>0.0000</c:formatCode>
                <c:ptCount val="2"/>
                <c:pt idx="0">
                  <c:v>-3.0557160664116718E-4</c:v>
                </c:pt>
                <c:pt idx="1">
                  <c:v>0.15762886597938144</c:v>
                </c:pt>
              </c:numCache>
            </c:numRef>
          </c:val>
          <c:extLst>
            <c:ext xmlns:c16="http://schemas.microsoft.com/office/drawing/2014/chart" uri="{C3380CC4-5D6E-409C-BE32-E72D297353CC}">
              <c16:uniqueId val="{00000001-4552-43BA-98BC-8B4717A8BAA7}"/>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Graph'!$J$4:$J$5</c:f>
              <c:numCache>
                <c:formatCode>0.0%</c:formatCode>
                <c:ptCount val="2"/>
                <c:pt idx="0">
                  <c:v>0.99202013660576516</c:v>
                </c:pt>
                <c:pt idx="1">
                  <c:v>4.8250378295532599</c:v>
                </c:pt>
              </c:numCache>
            </c:numRef>
          </c:val>
          <c:extLst>
            <c:ext xmlns:c16="http://schemas.microsoft.com/office/drawing/2014/chart" uri="{C3380CC4-5D6E-409C-BE32-E72D297353CC}">
              <c16:uniqueId val="{00000002-4552-43BA-98BC-8B4717A8BAA7}"/>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Figures - Individual Bar Graph'!$C$4:$C$5</c:f>
              <c:numCache>
                <c:formatCode>0.0%</c:formatCode>
                <c:ptCount val="2"/>
                <c:pt idx="0">
                  <c:v>1.0771945649991239</c:v>
                </c:pt>
                <c:pt idx="1">
                  <c:v>5.0666666955326409</c:v>
                </c:pt>
              </c:numCache>
            </c:numRef>
          </c:val>
          <c:extLst>
            <c:ext xmlns:c16="http://schemas.microsoft.com/office/drawing/2014/chart" uri="{C3380CC4-5D6E-409C-BE32-E72D297353CC}">
              <c16:uniqueId val="{00000003-4552-43BA-98BC-8B4717A8BAA7}"/>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7"/>
          <c:min val="-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Economy Wide Rebound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Graph'!$F$4:$F$23</c:f>
              <c:numCache>
                <c:formatCode>0.0%</c:formatCode>
                <c:ptCount val="20"/>
                <c:pt idx="0">
                  <c:v>8.548E-2</c:v>
                </c:pt>
                <c:pt idx="1">
                  <c:v>8.4000000000000005E-2</c:v>
                </c:pt>
                <c:pt idx="2">
                  <c:v>0</c:v>
                </c:pt>
                <c:pt idx="3">
                  <c:v>0</c:v>
                </c:pt>
                <c:pt idx="4">
                  <c:v>0.14580000000000001</c:v>
                </c:pt>
                <c:pt idx="5">
                  <c:v>6.0400000000000002E-2</c:v>
                </c:pt>
                <c:pt idx="6">
                  <c:v>0</c:v>
                </c:pt>
                <c:pt idx="7">
                  <c:v>0.2</c:v>
                </c:pt>
                <c:pt idx="8">
                  <c:v>0</c:v>
                </c:pt>
                <c:pt idx="9">
                  <c:v>6.0400000000000002E-2</c:v>
                </c:pt>
                <c:pt idx="10">
                  <c:v>0</c:v>
                </c:pt>
                <c:pt idx="11">
                  <c:v>0</c:v>
                </c:pt>
                <c:pt idx="12">
                  <c:v>0.1</c:v>
                </c:pt>
                <c:pt idx="13">
                  <c:v>0</c:v>
                </c:pt>
                <c:pt idx="14">
                  <c:v>0</c:v>
                </c:pt>
                <c:pt idx="15">
                  <c:v>0</c:v>
                </c:pt>
                <c:pt idx="16">
                  <c:v>7.0999999999999994E-2</c:v>
                </c:pt>
                <c:pt idx="17">
                  <c:v>0.2</c:v>
                </c:pt>
                <c:pt idx="18">
                  <c:v>0</c:v>
                </c:pt>
                <c:pt idx="19">
                  <c:v>6.0400000000000002E-2</c:v>
                </c:pt>
              </c:numCache>
            </c:numRef>
          </c:val>
          <c:extLst>
            <c:ext xmlns:c16="http://schemas.microsoft.com/office/drawing/2014/chart" uri="{C3380CC4-5D6E-409C-BE32-E72D297353CC}">
              <c16:uniqueId val="{00000000-BE5E-4F8E-B64D-6D8B1F20D4AF}"/>
            </c:ext>
          </c:extLst>
        </c:ser>
        <c:ser>
          <c:idx val="1"/>
          <c:order val="1"/>
          <c:tx>
            <c:v>Re_ε</c:v>
          </c:tx>
          <c:spPr>
            <a:solidFill>
              <a:schemeClr val="bg1">
                <a:lumMod val="50000"/>
              </a:schemeClr>
            </a:solidFill>
            <a:ln>
              <a:noFill/>
            </a:ln>
            <a:effectLst/>
          </c:spPr>
          <c:invertIfNegative val="0"/>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Graph'!$E$4:$E$23</c:f>
              <c:numCache>
                <c:formatCode>0.0000</c:formatCode>
                <c:ptCount val="20"/>
                <c:pt idx="0">
                  <c:v>-3.0557160664116718E-4</c:v>
                </c:pt>
                <c:pt idx="1">
                  <c:v>0.15762886597938144</c:v>
                </c:pt>
                <c:pt idx="2">
                  <c:v>4.9614530894443343E-2</c:v>
                </c:pt>
                <c:pt idx="3">
                  <c:v>-5.8074074074074138E-5</c:v>
                </c:pt>
                <c:pt idx="4">
                  <c:v>7.4129094425785368E-3</c:v>
                </c:pt>
                <c:pt idx="5">
                  <c:v>6.667910970090056E-2</c:v>
                </c:pt>
                <c:pt idx="6">
                  <c:v>4.9504950495049506E-3</c:v>
                </c:pt>
                <c:pt idx="7">
                  <c:v>2.6555086487092322E-3</c:v>
                </c:pt>
                <c:pt idx="8">
                  <c:v>4.4642857142857144E-2</c:v>
                </c:pt>
                <c:pt idx="9">
                  <c:v>0</c:v>
                </c:pt>
                <c:pt idx="10">
                  <c:v>3.4769150796276169E-2</c:v>
                </c:pt>
                <c:pt idx="11">
                  <c:v>4.6676330038959409E-3</c:v>
                </c:pt>
                <c:pt idx="12">
                  <c:v>-1.1084598698481564E-2</c:v>
                </c:pt>
                <c:pt idx="13">
                  <c:v>1.3687659264652348E-2</c:v>
                </c:pt>
                <c:pt idx="14">
                  <c:v>4.7248378909800371E-3</c:v>
                </c:pt>
                <c:pt idx="15">
                  <c:v>0</c:v>
                </c:pt>
                <c:pt idx="16">
                  <c:v>1.6907051282051277E-2</c:v>
                </c:pt>
                <c:pt idx="17">
                  <c:v>7.6987182031032974E-3</c:v>
                </c:pt>
                <c:pt idx="18">
                  <c:v>-6.2295081967213069E-2</c:v>
                </c:pt>
                <c:pt idx="19">
                  <c:v>-7.6409444482687411E-2</c:v>
                </c:pt>
              </c:numCache>
            </c:numRef>
          </c:val>
          <c:extLst>
            <c:ext xmlns:c16="http://schemas.microsoft.com/office/drawing/2014/chart" uri="{C3380CC4-5D6E-409C-BE32-E72D297353CC}">
              <c16:uniqueId val="{00000001-BE5E-4F8E-B64D-6D8B1F20D4AF}"/>
            </c:ext>
          </c:extLst>
        </c:ser>
        <c:ser>
          <c:idx val="2"/>
          <c:order val="2"/>
          <c:tx>
            <c:v>Re_Respending</c:v>
          </c:tx>
          <c:spPr>
            <a:solidFill>
              <a:schemeClr val="tx1">
                <a:lumMod val="65000"/>
                <a:lumOff val="35000"/>
              </a:schemeClr>
            </a:solidFill>
            <a:ln>
              <a:noFill/>
            </a:ln>
            <a:effectLst/>
          </c:spPr>
          <c:invertIfNegative val="0"/>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Graph'!$J$4:$J$23</c:f>
              <c:numCache>
                <c:formatCode>0.0%</c:formatCode>
                <c:ptCount val="20"/>
                <c:pt idx="0">
                  <c:v>0.99202013660576516</c:v>
                </c:pt>
                <c:pt idx="1">
                  <c:v>4.8250378295532599</c:v>
                </c:pt>
                <c:pt idx="2">
                  <c:v>-155.2621575346854</c:v>
                </c:pt>
                <c:pt idx="3">
                  <c:v>0.31983534251757739</c:v>
                </c:pt>
                <c:pt idx="4">
                  <c:v>1.4824390267345882</c:v>
                </c:pt>
                <c:pt idx="5">
                  <c:v>-0.66256696800113801</c:v>
                </c:pt>
                <c:pt idx="6">
                  <c:v>-0.22743019801980174</c:v>
                </c:pt>
                <c:pt idx="7">
                  <c:v>0.56492420261964316</c:v>
                </c:pt>
                <c:pt idx="8">
                  <c:v>-3.884234464285711</c:v>
                </c:pt>
                <c:pt idx="9">
                  <c:v>6.3668551890766825</c:v>
                </c:pt>
                <c:pt idx="10">
                  <c:v>1.4527728084684077</c:v>
                </c:pt>
                <c:pt idx="11">
                  <c:v>1.5779377170054278</c:v>
                </c:pt>
                <c:pt idx="12">
                  <c:v>1.8846508901843799</c:v>
                </c:pt>
                <c:pt idx="13">
                  <c:v>-0.6869477551268045</c:v>
                </c:pt>
                <c:pt idx="14">
                  <c:v>1.4740474936741736</c:v>
                </c:pt>
                <c:pt idx="15">
                  <c:v>-0.27340691056910038</c:v>
                </c:pt>
                <c:pt idx="16">
                  <c:v>0.16911974071581226</c:v>
                </c:pt>
                <c:pt idx="17">
                  <c:v>0.19507476722092285</c:v>
                </c:pt>
                <c:pt idx="18">
                  <c:v>0.16177068078324211</c:v>
                </c:pt>
                <c:pt idx="19">
                  <c:v>2.1826823719260116</c:v>
                </c:pt>
              </c:numCache>
            </c:numRef>
          </c:val>
          <c:extLst>
            <c:ext xmlns:c16="http://schemas.microsoft.com/office/drawing/2014/chart" uri="{C3380CC4-5D6E-409C-BE32-E72D297353CC}">
              <c16:uniqueId val="{00000002-BE5E-4F8E-B64D-6D8B1F20D4AF}"/>
            </c:ext>
          </c:extLst>
        </c:ser>
        <c:ser>
          <c:idx val="3"/>
          <c:order val="3"/>
          <c:tx>
            <c:v>Re_EW</c:v>
          </c:tx>
          <c:spPr>
            <a:solidFill>
              <a:srgbClr val="C00000"/>
            </a:solidFill>
            <a:ln>
              <a:noFill/>
            </a:ln>
            <a:effectLst/>
          </c:spPr>
          <c:invertIfNegative val="0"/>
          <c:val>
            <c:numRef>
              <c:f>' Figures - Individual Bar Graph'!$C$4:$C$23</c:f>
              <c:numCache>
                <c:formatCode>0.0%</c:formatCode>
                <c:ptCount val="20"/>
                <c:pt idx="0">
                  <c:v>1.0771945649991239</c:v>
                </c:pt>
                <c:pt idx="1">
                  <c:v>5.0666666955326409</c:v>
                </c:pt>
                <c:pt idx="2">
                  <c:v>-155.21254300379096</c:v>
                </c:pt>
                <c:pt idx="3">
                  <c:v>0.31977726844350329</c:v>
                </c:pt>
                <c:pt idx="4">
                  <c:v>1.6356519361771666</c:v>
                </c:pt>
                <c:pt idx="5">
                  <c:v>-0.53548785830023748</c:v>
                </c:pt>
                <c:pt idx="6">
                  <c:v>-0.22247970297029679</c:v>
                </c:pt>
                <c:pt idx="7">
                  <c:v>0.76757971126835245</c:v>
                </c:pt>
                <c:pt idx="8">
                  <c:v>-3.8395916071428537</c:v>
                </c:pt>
                <c:pt idx="9">
                  <c:v>6.427255189076682</c:v>
                </c:pt>
                <c:pt idx="10">
                  <c:v>1.4875419592646839</c:v>
                </c:pt>
                <c:pt idx="11">
                  <c:v>1.5826053500093238</c:v>
                </c:pt>
                <c:pt idx="12">
                  <c:v>1.9735662914858982</c:v>
                </c:pt>
                <c:pt idx="13">
                  <c:v>-0.67326009586215219</c:v>
                </c:pt>
                <c:pt idx="14">
                  <c:v>1.478772331565154</c:v>
                </c:pt>
                <c:pt idx="15">
                  <c:v>-0.27340691056910038</c:v>
                </c:pt>
                <c:pt idx="16">
                  <c:v>0.25702679199786355</c:v>
                </c:pt>
                <c:pt idx="17">
                  <c:v>0.40277348542402613</c:v>
                </c:pt>
                <c:pt idx="18">
                  <c:v>9.9475598816029048E-2</c:v>
                </c:pt>
                <c:pt idx="19">
                  <c:v>2.1666729274433241</c:v>
                </c:pt>
              </c:numCache>
            </c:numRef>
          </c:val>
          <c:extLst>
            <c:ext xmlns:c16="http://schemas.microsoft.com/office/drawing/2014/chart" uri="{C3380CC4-5D6E-409C-BE32-E72D297353CC}">
              <c16:uniqueId val="{00000003-BE5E-4F8E-B64D-6D8B1F20D4AF}"/>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7"/>
          <c:min val="-5"/>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(Smart Power Strips and Lighting Control)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Graph'!$F$14:$F$15</c:f>
              <c:numCache>
                <c:formatCode>0.0%</c:formatCode>
                <c:ptCount val="2"/>
                <c:pt idx="0">
                  <c:v>0</c:v>
                </c:pt>
                <c:pt idx="1">
                  <c:v>0</c:v>
                </c:pt>
              </c:numCache>
            </c:numRef>
          </c:val>
          <c:extLst>
            <c:ext xmlns:c16="http://schemas.microsoft.com/office/drawing/2014/chart" uri="{C3380CC4-5D6E-409C-BE32-E72D297353CC}">
              <c16:uniqueId val="{00000000-87D6-4EC3-80C9-E91A57BC0CDE}"/>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Graph'!$E$14:$E$15</c:f>
              <c:numCache>
                <c:formatCode>0.0000</c:formatCode>
                <c:ptCount val="2"/>
                <c:pt idx="0">
                  <c:v>3.4769150796276169E-2</c:v>
                </c:pt>
                <c:pt idx="1">
                  <c:v>4.6676330038959409E-3</c:v>
                </c:pt>
              </c:numCache>
            </c:numRef>
          </c:val>
          <c:extLst>
            <c:ext xmlns:c16="http://schemas.microsoft.com/office/drawing/2014/chart" uri="{C3380CC4-5D6E-409C-BE32-E72D297353CC}">
              <c16:uniqueId val="{00000001-87D6-4EC3-80C9-E91A57BC0CDE}"/>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Graph'!$J$14:$J$15</c:f>
              <c:numCache>
                <c:formatCode>0.0%</c:formatCode>
                <c:ptCount val="2"/>
                <c:pt idx="0">
                  <c:v>1.4527728084684077</c:v>
                </c:pt>
                <c:pt idx="1">
                  <c:v>1.5779377170054278</c:v>
                </c:pt>
              </c:numCache>
            </c:numRef>
          </c:val>
          <c:extLst>
            <c:ext xmlns:c16="http://schemas.microsoft.com/office/drawing/2014/chart" uri="{C3380CC4-5D6E-409C-BE32-E72D297353CC}">
              <c16:uniqueId val="{00000002-87D6-4EC3-80C9-E91A57BC0CDE}"/>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Graph'!$C$14:$C$15</c:f>
              <c:numCache>
                <c:formatCode>0.0%</c:formatCode>
                <c:ptCount val="2"/>
                <c:pt idx="0">
                  <c:v>1.4875419592646839</c:v>
                </c:pt>
                <c:pt idx="1">
                  <c:v>1.5826053500093238</c:v>
                </c:pt>
              </c:numCache>
            </c:numRef>
          </c:val>
          <c:extLst>
            <c:ext xmlns:c16="http://schemas.microsoft.com/office/drawing/2014/chart" uri="{C3380CC4-5D6E-409C-BE32-E72D297353CC}">
              <c16:uniqueId val="{00000003-87D6-4EC3-80C9-E91A57BC0CDE}"/>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2"/>
          <c:min val="0"/>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Economy Wide Rebound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Graph'!$N$10:$N$11</c:f>
              <c:strCache>
                <c:ptCount val="2"/>
                <c:pt idx="0">
                  <c:v>Windows</c:v>
                </c:pt>
                <c:pt idx="1">
                  <c:v>HVAC</c:v>
                </c:pt>
              </c:strCache>
              <c:extLst/>
            </c:strRef>
          </c:cat>
          <c:val>
            <c:numRef>
              <c:f>' Figures - Individual Bar Graph'!$F$10:$F$11</c:f>
              <c:numCache>
                <c:formatCode>0.0%</c:formatCode>
                <c:ptCount val="2"/>
                <c:pt idx="0">
                  <c:v>0</c:v>
                </c:pt>
                <c:pt idx="1">
                  <c:v>0.2</c:v>
                </c:pt>
              </c:numCache>
              <c:extLst/>
            </c:numRef>
          </c:val>
          <c:extLst>
            <c:ext xmlns:c16="http://schemas.microsoft.com/office/drawing/2014/chart" uri="{C3380CC4-5D6E-409C-BE32-E72D297353CC}">
              <c16:uniqueId val="{00000000-F0DB-42FD-A300-589E35BFC0D2}"/>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Graph'!$N$10:$N$11</c:f>
              <c:strCache>
                <c:ptCount val="2"/>
                <c:pt idx="0">
                  <c:v>Windows</c:v>
                </c:pt>
                <c:pt idx="1">
                  <c:v>HVAC</c:v>
                </c:pt>
              </c:strCache>
              <c:extLst/>
            </c:strRef>
          </c:cat>
          <c:val>
            <c:numRef>
              <c:f>' Figures - Individual Bar Graph'!$E$10:$E$11</c:f>
              <c:numCache>
                <c:formatCode>0.0000</c:formatCode>
                <c:ptCount val="2"/>
                <c:pt idx="0">
                  <c:v>4.9504950495049506E-3</c:v>
                </c:pt>
                <c:pt idx="1">
                  <c:v>2.6555086487092322E-3</c:v>
                </c:pt>
              </c:numCache>
              <c:extLst/>
            </c:numRef>
          </c:val>
          <c:extLst>
            <c:ext xmlns:c16="http://schemas.microsoft.com/office/drawing/2014/chart" uri="{C3380CC4-5D6E-409C-BE32-E72D297353CC}">
              <c16:uniqueId val="{00000001-F0DB-42FD-A300-589E35BFC0D2}"/>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Graph'!$N$10:$N$11</c:f>
              <c:strCache>
                <c:ptCount val="2"/>
                <c:pt idx="0">
                  <c:v>Windows</c:v>
                </c:pt>
                <c:pt idx="1">
                  <c:v>HVAC</c:v>
                </c:pt>
              </c:strCache>
              <c:extLst/>
            </c:strRef>
          </c:cat>
          <c:val>
            <c:numRef>
              <c:f>' Figures - Individual Bar Graph'!$J$10:$J$11</c:f>
              <c:numCache>
                <c:formatCode>0.0%</c:formatCode>
                <c:ptCount val="2"/>
                <c:pt idx="0">
                  <c:v>-0.22743019801980174</c:v>
                </c:pt>
                <c:pt idx="1">
                  <c:v>0.56492420261964316</c:v>
                </c:pt>
              </c:numCache>
              <c:extLst/>
            </c:numRef>
          </c:val>
          <c:extLst>
            <c:ext xmlns:c16="http://schemas.microsoft.com/office/drawing/2014/chart" uri="{C3380CC4-5D6E-409C-BE32-E72D297353CC}">
              <c16:uniqueId val="{00000002-F0DB-42FD-A300-589E35BFC0D2}"/>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Windows</c:v>
              </c:pt>
              <c:pt idx="1">
                <c:v>HVAC</c:v>
              </c:pt>
              <c:extLst>
                <c:ext xmlns:c15="http://schemas.microsoft.com/office/drawing/2012/chart" uri="{02D57815-91ED-43cb-92C2-25804820EDAC}">
                  <c15:autoCat val="1"/>
                </c:ext>
              </c:extLst>
            </c:strLit>
          </c:cat>
          <c:val>
            <c:numRef>
              <c:f>' Figures - Individual Bar Graph'!$C$10:$C$11</c:f>
              <c:numCache>
                <c:formatCode>0.0%</c:formatCode>
                <c:ptCount val="2"/>
                <c:pt idx="0">
                  <c:v>-0.22247970297029679</c:v>
                </c:pt>
                <c:pt idx="1">
                  <c:v>0.76757971126835245</c:v>
                </c:pt>
              </c:numCache>
              <c:extLst/>
            </c:numRef>
          </c:val>
          <c:extLst>
            <c:ext xmlns:c16="http://schemas.microsoft.com/office/drawing/2014/chart" uri="{C3380CC4-5D6E-409C-BE32-E72D297353CC}">
              <c16:uniqueId val="{00000003-F0DB-42FD-A300-589E35BFC0D2}"/>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
          <c:min val="-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Graph'!$F$20:$F$21</c:f>
              <c:numCache>
                <c:formatCode>0.0%</c:formatCode>
                <c:ptCount val="2"/>
                <c:pt idx="0">
                  <c:v>7.0999999999999994E-2</c:v>
                </c:pt>
                <c:pt idx="1">
                  <c:v>0.2</c:v>
                </c:pt>
              </c:numCache>
            </c:numRef>
          </c:val>
          <c:extLst>
            <c:ext xmlns:c16="http://schemas.microsoft.com/office/drawing/2014/chart" uri="{C3380CC4-5D6E-409C-BE32-E72D297353CC}">
              <c16:uniqueId val="{00000000-2537-467A-B20A-17CCD1F4A5F3}"/>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Graph'!$E$20:$E$21</c:f>
              <c:numCache>
                <c:formatCode>0.0000</c:formatCode>
                <c:ptCount val="2"/>
                <c:pt idx="0">
                  <c:v>1.6907051282051277E-2</c:v>
                </c:pt>
                <c:pt idx="1">
                  <c:v>7.6987182031032974E-3</c:v>
                </c:pt>
              </c:numCache>
            </c:numRef>
          </c:val>
          <c:extLst>
            <c:ext xmlns:c16="http://schemas.microsoft.com/office/drawing/2014/chart" uri="{C3380CC4-5D6E-409C-BE32-E72D297353CC}">
              <c16:uniqueId val="{00000001-2537-467A-B20A-17CCD1F4A5F3}"/>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Graph'!$J$20:$J$21</c:f>
              <c:numCache>
                <c:formatCode>0.0%</c:formatCode>
                <c:ptCount val="2"/>
                <c:pt idx="0">
                  <c:v>0.16911974071581226</c:v>
                </c:pt>
                <c:pt idx="1">
                  <c:v>0.19507476722092285</c:v>
                </c:pt>
              </c:numCache>
            </c:numRef>
          </c:val>
          <c:extLst>
            <c:ext xmlns:c16="http://schemas.microsoft.com/office/drawing/2014/chart" uri="{C3380CC4-5D6E-409C-BE32-E72D297353CC}">
              <c16:uniqueId val="{00000002-2537-467A-B20A-17CCD1F4A5F3}"/>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Figures - Individual Bar Graph'!$C$20:$C$21</c:f>
              <c:numCache>
                <c:formatCode>0.0%</c:formatCode>
                <c:ptCount val="2"/>
                <c:pt idx="0">
                  <c:v>0.25702679199786355</c:v>
                </c:pt>
                <c:pt idx="1">
                  <c:v>0.40277348542402613</c:v>
                </c:pt>
              </c:numCache>
            </c:numRef>
          </c:val>
          <c:extLst>
            <c:ext xmlns:c16="http://schemas.microsoft.com/office/drawing/2014/chart" uri="{C3380CC4-5D6E-409C-BE32-E72D297353CC}">
              <c16:uniqueId val="{00000003-2537-467A-B20A-17CCD1F4A5F3}"/>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7"/>
          <c:min val="-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(Smart Power Strips and Lighting Control)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Graph'!$F$14:$F$15</c:f>
              <c:numCache>
                <c:formatCode>0.0%</c:formatCode>
                <c:ptCount val="2"/>
                <c:pt idx="0">
                  <c:v>0</c:v>
                </c:pt>
                <c:pt idx="1">
                  <c:v>0</c:v>
                </c:pt>
              </c:numCache>
            </c:numRef>
          </c:val>
          <c:extLst>
            <c:ext xmlns:c16="http://schemas.microsoft.com/office/drawing/2014/chart" uri="{C3380CC4-5D6E-409C-BE32-E72D297353CC}">
              <c16:uniqueId val="{00000000-7019-4D84-AA9A-6D85AE26132B}"/>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Graph'!$E$14:$E$15</c:f>
              <c:numCache>
                <c:formatCode>0.0000</c:formatCode>
                <c:ptCount val="2"/>
                <c:pt idx="0">
                  <c:v>3.4769150796276169E-2</c:v>
                </c:pt>
                <c:pt idx="1">
                  <c:v>4.6676330038959409E-3</c:v>
                </c:pt>
              </c:numCache>
            </c:numRef>
          </c:val>
          <c:extLst>
            <c:ext xmlns:c16="http://schemas.microsoft.com/office/drawing/2014/chart" uri="{C3380CC4-5D6E-409C-BE32-E72D297353CC}">
              <c16:uniqueId val="{00000001-7019-4D84-AA9A-6D85AE26132B}"/>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Graph'!$J$14:$J$15</c:f>
              <c:numCache>
                <c:formatCode>0.0%</c:formatCode>
                <c:ptCount val="2"/>
                <c:pt idx="0">
                  <c:v>1.4527728084684077</c:v>
                </c:pt>
                <c:pt idx="1">
                  <c:v>1.5779377170054278</c:v>
                </c:pt>
              </c:numCache>
            </c:numRef>
          </c:val>
          <c:extLst>
            <c:ext xmlns:c16="http://schemas.microsoft.com/office/drawing/2014/chart" uri="{C3380CC4-5D6E-409C-BE32-E72D297353CC}">
              <c16:uniqueId val="{00000002-7019-4D84-AA9A-6D85AE26132B}"/>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Graph'!$C$14:$C$15</c:f>
              <c:numCache>
                <c:formatCode>0.0%</c:formatCode>
                <c:ptCount val="2"/>
                <c:pt idx="0">
                  <c:v>1.4875419592646839</c:v>
                </c:pt>
                <c:pt idx="1">
                  <c:v>1.5826053500093238</c:v>
                </c:pt>
              </c:numCache>
            </c:numRef>
          </c:val>
          <c:extLst>
            <c:ext xmlns:c16="http://schemas.microsoft.com/office/drawing/2014/chart" uri="{C3380CC4-5D6E-409C-BE32-E72D297353CC}">
              <c16:uniqueId val="{00000003-7019-4D84-AA9A-6D85AE26132B}"/>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2"/>
          <c:min val="0"/>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(Lights</a:t>
            </a:r>
            <a:r>
              <a:rPr lang="en-US" b="1" baseline="0"/>
              <a:t> and Cars</a:t>
            </a:r>
            <a:r>
              <a:rPr lang="en-US" b="1"/>
              <a:t>)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Graph'!$F$8:$F$9</c:f>
              <c:numCache>
                <c:formatCode>0.0%</c:formatCode>
                <c:ptCount val="2"/>
                <c:pt idx="0">
                  <c:v>0.14580000000000001</c:v>
                </c:pt>
                <c:pt idx="1">
                  <c:v>6.0400000000000002E-2</c:v>
                </c:pt>
              </c:numCache>
            </c:numRef>
          </c:val>
          <c:extLst>
            <c:ext xmlns:c16="http://schemas.microsoft.com/office/drawing/2014/chart" uri="{C3380CC4-5D6E-409C-BE32-E72D297353CC}">
              <c16:uniqueId val="{00000000-9694-44BD-9B8E-6095F524BE5F}"/>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Graph'!$E$8:$E$9</c:f>
              <c:numCache>
                <c:formatCode>0.0000</c:formatCode>
                <c:ptCount val="2"/>
                <c:pt idx="0">
                  <c:v>7.4129094425785368E-3</c:v>
                </c:pt>
                <c:pt idx="1">
                  <c:v>6.667910970090056E-2</c:v>
                </c:pt>
              </c:numCache>
            </c:numRef>
          </c:val>
          <c:extLst>
            <c:ext xmlns:c16="http://schemas.microsoft.com/office/drawing/2014/chart" uri="{C3380CC4-5D6E-409C-BE32-E72D297353CC}">
              <c16:uniqueId val="{00000001-9694-44BD-9B8E-6095F524BE5F}"/>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Graph'!$J$8:$J$9</c:f>
              <c:numCache>
                <c:formatCode>0.0%</c:formatCode>
                <c:ptCount val="2"/>
                <c:pt idx="0">
                  <c:v>1.4824390267345882</c:v>
                </c:pt>
                <c:pt idx="1">
                  <c:v>-0.66256696800113801</c:v>
                </c:pt>
              </c:numCache>
            </c:numRef>
          </c:val>
          <c:extLst>
            <c:ext xmlns:c16="http://schemas.microsoft.com/office/drawing/2014/chart" uri="{C3380CC4-5D6E-409C-BE32-E72D297353CC}">
              <c16:uniqueId val="{00000002-9694-44BD-9B8E-6095F524BE5F}"/>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Graph'!$C$8:$C$9</c:f>
              <c:numCache>
                <c:formatCode>0.0%</c:formatCode>
                <c:ptCount val="2"/>
                <c:pt idx="0">
                  <c:v>1.6356519361771666</c:v>
                </c:pt>
                <c:pt idx="1">
                  <c:v>-0.53548785830023748</c:v>
                </c:pt>
              </c:numCache>
            </c:numRef>
          </c:val>
          <c:extLst>
            <c:ext xmlns:c16="http://schemas.microsoft.com/office/drawing/2014/chart" uri="{C3380CC4-5D6E-409C-BE32-E72D297353CC}">
              <c16:uniqueId val="{00000003-9694-44BD-9B8E-6095F524BE5F}"/>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2"/>
          <c:min val="-0.7500000000000001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Re_dev</c:v>
          </c:tx>
          <c:spPr>
            <a:solidFill>
              <a:schemeClr val="bg1">
                <a:lumMod val="75000"/>
              </a:schemeClr>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Wide'!$F$4:$F$23</c:f>
              <c:numCache>
                <c:formatCode>0.0%</c:formatCode>
                <c:ptCount val="20"/>
                <c:pt idx="0">
                  <c:v>8.548E-2</c:v>
                </c:pt>
                <c:pt idx="1">
                  <c:v>8.4000000000000005E-2</c:v>
                </c:pt>
                <c:pt idx="2">
                  <c:v>0</c:v>
                </c:pt>
                <c:pt idx="3">
                  <c:v>0</c:v>
                </c:pt>
                <c:pt idx="4">
                  <c:v>0.14580000000000001</c:v>
                </c:pt>
                <c:pt idx="5">
                  <c:v>6.0400000000000002E-2</c:v>
                </c:pt>
                <c:pt idx="6">
                  <c:v>0</c:v>
                </c:pt>
                <c:pt idx="7">
                  <c:v>0.2</c:v>
                </c:pt>
                <c:pt idx="8">
                  <c:v>0</c:v>
                </c:pt>
                <c:pt idx="9">
                  <c:v>6.0400000000000002E-2</c:v>
                </c:pt>
                <c:pt idx="10">
                  <c:v>0</c:v>
                </c:pt>
                <c:pt idx="11">
                  <c:v>0</c:v>
                </c:pt>
                <c:pt idx="12">
                  <c:v>0.1</c:v>
                </c:pt>
                <c:pt idx="13">
                  <c:v>0</c:v>
                </c:pt>
                <c:pt idx="14">
                  <c:v>0</c:v>
                </c:pt>
                <c:pt idx="15">
                  <c:v>0</c:v>
                </c:pt>
                <c:pt idx="16">
                  <c:v>7.0999999999999994E-2</c:v>
                </c:pt>
                <c:pt idx="17">
                  <c:v>0.2</c:v>
                </c:pt>
                <c:pt idx="18">
                  <c:v>0</c:v>
                </c:pt>
                <c:pt idx="19">
                  <c:v>6.0400000000000002E-2</c:v>
                </c:pt>
              </c:numCache>
            </c:numRef>
          </c:val>
          <c:extLst>
            <c:ext xmlns:c16="http://schemas.microsoft.com/office/drawing/2014/chart" uri="{C3380CC4-5D6E-409C-BE32-E72D297353CC}">
              <c16:uniqueId val="{00000000-CDE4-4DFB-902E-89CAA76AA719}"/>
            </c:ext>
          </c:extLst>
        </c:ser>
        <c:ser>
          <c:idx val="1"/>
          <c:order val="1"/>
          <c:tx>
            <c:v>ε</c:v>
          </c:tx>
          <c:spPr>
            <a:solidFill>
              <a:schemeClr val="bg1">
                <a:lumMod val="50000"/>
              </a:schemeClr>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Wide'!$E$4:$E$23</c:f>
              <c:numCache>
                <c:formatCode>0.0000</c:formatCode>
                <c:ptCount val="20"/>
                <c:pt idx="0">
                  <c:v>-3.0557160664116718E-4</c:v>
                </c:pt>
                <c:pt idx="1">
                  <c:v>0.15762886597938144</c:v>
                </c:pt>
                <c:pt idx="2">
                  <c:v>4.9614530894443343E-2</c:v>
                </c:pt>
                <c:pt idx="3">
                  <c:v>-5.8074074074074138E-5</c:v>
                </c:pt>
                <c:pt idx="4">
                  <c:v>7.4129094425785368E-3</c:v>
                </c:pt>
                <c:pt idx="5">
                  <c:v>6.667910970090056E-2</c:v>
                </c:pt>
                <c:pt idx="6">
                  <c:v>4.9504950495049506E-3</c:v>
                </c:pt>
                <c:pt idx="7">
                  <c:v>2.6555086487092322E-3</c:v>
                </c:pt>
                <c:pt idx="8">
                  <c:v>4.4642857142857144E-2</c:v>
                </c:pt>
                <c:pt idx="9">
                  <c:v>0</c:v>
                </c:pt>
                <c:pt idx="10">
                  <c:v>3.4769150796276169E-2</c:v>
                </c:pt>
                <c:pt idx="11">
                  <c:v>4.6676330038959409E-3</c:v>
                </c:pt>
                <c:pt idx="12">
                  <c:v>-1.1084598698481564E-2</c:v>
                </c:pt>
                <c:pt idx="13">
                  <c:v>1.3687659264652348E-2</c:v>
                </c:pt>
                <c:pt idx="14">
                  <c:v>4.7248378909800371E-3</c:v>
                </c:pt>
                <c:pt idx="15">
                  <c:v>0</c:v>
                </c:pt>
                <c:pt idx="16">
                  <c:v>1.6907051282051277E-2</c:v>
                </c:pt>
                <c:pt idx="17">
                  <c:v>7.6987182031032974E-3</c:v>
                </c:pt>
                <c:pt idx="18">
                  <c:v>-6.2295081967213069E-2</c:v>
                </c:pt>
                <c:pt idx="19">
                  <c:v>-7.6409444482687411E-2</c:v>
                </c:pt>
              </c:numCache>
            </c:numRef>
          </c:val>
          <c:extLst>
            <c:ext xmlns:c16="http://schemas.microsoft.com/office/drawing/2014/chart" uri="{C3380CC4-5D6E-409C-BE32-E72D297353CC}">
              <c16:uniqueId val="{00000001-CDE4-4DFB-902E-89CAA76AA719}"/>
            </c:ext>
          </c:extLst>
        </c:ser>
        <c:ser>
          <c:idx val="2"/>
          <c:order val="2"/>
          <c:tx>
            <c:v>Respending</c:v>
          </c:tx>
          <c:spPr>
            <a:solidFill>
              <a:schemeClr val="tx1">
                <a:lumMod val="65000"/>
                <a:lumOff val="35000"/>
              </a:schemeClr>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Wide'!$J$4:$J$23</c:f>
              <c:numCache>
                <c:formatCode>0.0%</c:formatCode>
                <c:ptCount val="20"/>
                <c:pt idx="0">
                  <c:v>0.99202013660576516</c:v>
                </c:pt>
                <c:pt idx="1">
                  <c:v>4.8250378295532599</c:v>
                </c:pt>
                <c:pt idx="2">
                  <c:v>-155.2621575346854</c:v>
                </c:pt>
                <c:pt idx="3">
                  <c:v>0.31983534251757739</c:v>
                </c:pt>
                <c:pt idx="4">
                  <c:v>1.4824390267345882</c:v>
                </c:pt>
                <c:pt idx="5">
                  <c:v>-0.66256696800113801</c:v>
                </c:pt>
                <c:pt idx="6">
                  <c:v>-0.22743019801980174</c:v>
                </c:pt>
                <c:pt idx="7">
                  <c:v>0.56492420261964316</c:v>
                </c:pt>
                <c:pt idx="8">
                  <c:v>-3.884234464285711</c:v>
                </c:pt>
                <c:pt idx="9">
                  <c:v>6.3668551890766825</c:v>
                </c:pt>
                <c:pt idx="10">
                  <c:v>1.4527728084684077</c:v>
                </c:pt>
                <c:pt idx="11">
                  <c:v>1.5779377170054278</c:v>
                </c:pt>
                <c:pt idx="12">
                  <c:v>1.8846508901843799</c:v>
                </c:pt>
                <c:pt idx="13">
                  <c:v>-0.6869477551268045</c:v>
                </c:pt>
                <c:pt idx="14">
                  <c:v>1.4740474936741736</c:v>
                </c:pt>
                <c:pt idx="15">
                  <c:v>-0.27340691056910038</c:v>
                </c:pt>
                <c:pt idx="16">
                  <c:v>0.16911974071581226</c:v>
                </c:pt>
                <c:pt idx="17">
                  <c:v>0.19507476722092285</c:v>
                </c:pt>
                <c:pt idx="18">
                  <c:v>0.16177068078324211</c:v>
                </c:pt>
                <c:pt idx="19">
                  <c:v>2.1826823719260116</c:v>
                </c:pt>
              </c:numCache>
            </c:numRef>
          </c:val>
          <c:extLst>
            <c:ext xmlns:c16="http://schemas.microsoft.com/office/drawing/2014/chart" uri="{C3380CC4-5D6E-409C-BE32-E72D297353CC}">
              <c16:uniqueId val="{00000002-CDE4-4DFB-902E-89CAA76AA719}"/>
            </c:ext>
          </c:extLst>
        </c:ser>
        <c:ser>
          <c:idx val="3"/>
          <c:order val="3"/>
          <c:tx>
            <c:v>Re_EW</c:v>
          </c:tx>
          <c:spPr>
            <a:solidFill>
              <a:srgbClr val="C00000"/>
            </a:solidFill>
            <a:ln>
              <a:noFill/>
            </a:ln>
            <a:effectLst/>
          </c:spPr>
          <c:invertIfNegative val="0"/>
          <c:val>
            <c:numRef>
              <c:f>' Figures - Economy Wide'!$C$4:$C$23</c:f>
              <c:numCache>
                <c:formatCode>0.0%</c:formatCode>
                <c:ptCount val="20"/>
                <c:pt idx="0">
                  <c:v>1.0771945649991239</c:v>
                </c:pt>
                <c:pt idx="1">
                  <c:v>5.0666666955326409</c:v>
                </c:pt>
                <c:pt idx="2">
                  <c:v>-155.21254300379096</c:v>
                </c:pt>
                <c:pt idx="3">
                  <c:v>0.31977726844350329</c:v>
                </c:pt>
                <c:pt idx="4">
                  <c:v>1.6356519361771666</c:v>
                </c:pt>
                <c:pt idx="5">
                  <c:v>-0.53548785830023748</c:v>
                </c:pt>
                <c:pt idx="6">
                  <c:v>-0.22247970297029679</c:v>
                </c:pt>
                <c:pt idx="7">
                  <c:v>0.76757971126835245</c:v>
                </c:pt>
                <c:pt idx="8">
                  <c:v>-3.8395916071428537</c:v>
                </c:pt>
                <c:pt idx="9">
                  <c:v>6.427255189076682</c:v>
                </c:pt>
                <c:pt idx="10">
                  <c:v>1.4875419592646839</c:v>
                </c:pt>
                <c:pt idx="11">
                  <c:v>1.5826053500093238</c:v>
                </c:pt>
                <c:pt idx="12">
                  <c:v>1.9735662914858982</c:v>
                </c:pt>
                <c:pt idx="13">
                  <c:v>-0.67326009586215219</c:v>
                </c:pt>
                <c:pt idx="14">
                  <c:v>1.478772331565154</c:v>
                </c:pt>
                <c:pt idx="15">
                  <c:v>-0.27340691056910038</c:v>
                </c:pt>
                <c:pt idx="16">
                  <c:v>0.25702679199786355</c:v>
                </c:pt>
                <c:pt idx="17">
                  <c:v>0.40277348542402613</c:v>
                </c:pt>
                <c:pt idx="18">
                  <c:v>9.9475598816029048E-2</c:v>
                </c:pt>
                <c:pt idx="19">
                  <c:v>2.1666729274433241</c:v>
                </c:pt>
              </c:numCache>
            </c:numRef>
          </c:val>
          <c:extLst>
            <c:ext xmlns:c16="http://schemas.microsoft.com/office/drawing/2014/chart" uri="{C3380CC4-5D6E-409C-BE32-E72D297353CC}">
              <c16:uniqueId val="{00000009-832D-460C-B22E-56C4DFCE0251}"/>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7"/>
          <c:min val="-5"/>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494610480710792E-2"/>
          <c:y val="4.1685918347592041E-2"/>
          <c:w val="0.90345585694350328"/>
          <c:h val="0.86157168228256575"/>
        </c:manualLayout>
      </c:layout>
      <c:scatterChart>
        <c:scatterStyle val="lineMarker"/>
        <c:varyColors val="0"/>
        <c:ser>
          <c:idx val="0"/>
          <c:order val="0"/>
          <c:spPr>
            <a:ln w="25400" cap="rnd">
              <a:noFill/>
              <a:round/>
            </a:ln>
            <a:effectLst/>
          </c:spPr>
          <c:marker>
            <c:symbol val="circle"/>
            <c:size val="5"/>
            <c:spPr>
              <a:solidFill>
                <a:schemeClr val="accent1"/>
              </a:solidFill>
              <a:ln w="53975">
                <a:solidFill>
                  <a:schemeClr val="accent1"/>
                </a:solidFill>
              </a:ln>
              <a:effectLst/>
            </c:spPr>
          </c:marker>
          <c:xVal>
            <c:numRef>
              <c:f>(' Figures - Economy Wide'!$E$4:$E$5,' Figures - Economy Wide'!$E$7:$E$23)</c:f>
              <c:numCache>
                <c:formatCode>0.0000</c:formatCode>
                <c:ptCount val="19"/>
                <c:pt idx="0">
                  <c:v>-3.0557160664116718E-4</c:v>
                </c:pt>
                <c:pt idx="1">
                  <c:v>0.15762886597938144</c:v>
                </c:pt>
                <c:pt idx="2">
                  <c:v>-5.8074074074074138E-5</c:v>
                </c:pt>
                <c:pt idx="3">
                  <c:v>7.4129094425785368E-3</c:v>
                </c:pt>
                <c:pt idx="4">
                  <c:v>6.667910970090056E-2</c:v>
                </c:pt>
                <c:pt idx="5">
                  <c:v>4.9504950495049506E-3</c:v>
                </c:pt>
                <c:pt idx="6">
                  <c:v>2.6555086487092322E-3</c:v>
                </c:pt>
                <c:pt idx="7">
                  <c:v>4.4642857142857144E-2</c:v>
                </c:pt>
                <c:pt idx="8">
                  <c:v>0</c:v>
                </c:pt>
                <c:pt idx="9">
                  <c:v>3.4769150796276169E-2</c:v>
                </c:pt>
                <c:pt idx="10">
                  <c:v>4.6676330038959409E-3</c:v>
                </c:pt>
                <c:pt idx="11">
                  <c:v>-1.1084598698481564E-2</c:v>
                </c:pt>
                <c:pt idx="12">
                  <c:v>1.3687659264652348E-2</c:v>
                </c:pt>
                <c:pt idx="13">
                  <c:v>4.7248378909800371E-3</c:v>
                </c:pt>
                <c:pt idx="14">
                  <c:v>0</c:v>
                </c:pt>
                <c:pt idx="15">
                  <c:v>1.6907051282051277E-2</c:v>
                </c:pt>
                <c:pt idx="16">
                  <c:v>7.6987182031032974E-3</c:v>
                </c:pt>
                <c:pt idx="17">
                  <c:v>-6.2295081967213069E-2</c:v>
                </c:pt>
                <c:pt idx="18">
                  <c:v>-7.6409444482687411E-2</c:v>
                </c:pt>
              </c:numCache>
            </c:numRef>
          </c:xVal>
          <c:yVal>
            <c:numRef>
              <c:f>(' Figures - Economy Wide'!$D$4:$D$5,' Figures - Economy Wide'!$D$7:$D$23)</c:f>
              <c:numCache>
                <c:formatCode>0.0000</c:formatCode>
                <c:ptCount val="19"/>
                <c:pt idx="0">
                  <c:v>-2.1562313231991053</c:v>
                </c:pt>
                <c:pt idx="1">
                  <c:v>-0.71606529209621994</c:v>
                </c:pt>
                <c:pt idx="2">
                  <c:v>9.9648535340202855E-3</c:v>
                </c:pt>
                <c:pt idx="3">
                  <c:v>-3.0141384437208974E-2</c:v>
                </c:pt>
                <c:pt idx="4">
                  <c:v>1.3644583155773151</c:v>
                </c:pt>
                <c:pt idx="5">
                  <c:v>1.6154247003647733</c:v>
                </c:pt>
                <c:pt idx="6">
                  <c:v>7.3440410493540886E-2</c:v>
                </c:pt>
                <c:pt idx="7">
                  <c:v>11.510714285714286</c:v>
                </c:pt>
                <c:pt idx="8">
                  <c:v>-3.1430233449524487</c:v>
                </c:pt>
                <c:pt idx="9">
                  <c:v>0.50860072775388676</c:v>
                </c:pt>
                <c:pt idx="10">
                  <c:v>5.8689362566205661E-2</c:v>
                </c:pt>
                <c:pt idx="11">
                  <c:v>-0.22427880496218858</c:v>
                </c:pt>
                <c:pt idx="12">
                  <c:v>2.8588763499575296</c:v>
                </c:pt>
                <c:pt idx="13">
                  <c:v>0.1206645414932114</c:v>
                </c:pt>
                <c:pt idx="14">
                  <c:v>1.0924796747967462</c:v>
                </c:pt>
                <c:pt idx="15">
                  <c:v>0.82811248763483891</c:v>
                </c:pt>
                <c:pt idx="16">
                  <c:v>0.67491206019045646</c:v>
                </c:pt>
                <c:pt idx="17">
                  <c:v>0.90349653157720378</c:v>
                </c:pt>
                <c:pt idx="18">
                  <c:v>-0.46000306016220166</c:v>
                </c:pt>
              </c:numCache>
            </c:numRef>
          </c:yVal>
          <c:smooth val="0"/>
          <c:extLst>
            <c:ext xmlns:c16="http://schemas.microsoft.com/office/drawing/2014/chart" uri="{C3380CC4-5D6E-409C-BE32-E72D297353CC}">
              <c16:uniqueId val="{00000000-0836-4A82-BA78-7CBBED5C6D8F}"/>
            </c:ext>
          </c:extLst>
        </c:ser>
        <c:dLbls>
          <c:showLegendKey val="0"/>
          <c:showVal val="0"/>
          <c:showCatName val="0"/>
          <c:showSerName val="0"/>
          <c:showPercent val="0"/>
          <c:showBubbleSize val="0"/>
        </c:dLbls>
        <c:axId val="275043567"/>
        <c:axId val="167884143"/>
      </c:scatterChart>
      <c:valAx>
        <c:axId val="275043567"/>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a:solidFill>
                      <a:sysClr val="windowText" lastClr="000000"/>
                    </a:solidFill>
                    <a:latin typeface="Times New Roman" panose="02020603050405020304" pitchFamily="18" charset="0"/>
                    <a:cs typeface="Times New Roman" panose="02020603050405020304" pitchFamily="18" charset="0"/>
                  </a:rPr>
                  <a:t>Epsilon</a:t>
                </a:r>
                <a:r>
                  <a:rPr lang="en-US" sz="1200" baseline="0">
                    <a:solidFill>
                      <a:sysClr val="windowText" lastClr="000000"/>
                    </a:solidFill>
                    <a:latin typeface="Times New Roman" panose="02020603050405020304" pitchFamily="18" charset="0"/>
                    <a:cs typeface="Times New Roman" panose="02020603050405020304" pitchFamily="18" charset="0"/>
                  </a:rPr>
                  <a:t> [-]</a:t>
                </a:r>
                <a:endParaRPr lang="en-US" sz="120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0.0" sourceLinked="0"/>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7884143"/>
        <c:crosses val="autoZero"/>
        <c:crossBetween val="midCat"/>
      </c:valAx>
      <c:valAx>
        <c:axId val="167884143"/>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a:solidFill>
                      <a:sysClr val="windowText" lastClr="000000"/>
                    </a:solidFill>
                    <a:latin typeface="Times New Roman" panose="02020603050405020304" pitchFamily="18" charset="0"/>
                    <a:cs typeface="Times New Roman" panose="02020603050405020304" pitchFamily="18" charset="0"/>
                  </a:rPr>
                  <a:t>Gamma [-]</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0.0000"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75043567"/>
        <c:crosses val="autoZero"/>
        <c:crossBetween val="midCat"/>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Percent Makeup of Economy Wide</a:t>
            </a:r>
            <a:r>
              <a:rPr lang="en-US" b="1" baseline="0">
                <a:solidFill>
                  <a:sysClr val="windowText" lastClr="000000"/>
                </a:solidFill>
                <a:latin typeface="Times New Roman" panose="02020603050405020304" pitchFamily="18" charset="0"/>
                <a:cs typeface="Times New Roman" panose="02020603050405020304" pitchFamily="18" charset="0"/>
              </a:rPr>
              <a:t> Rebound (Using Abs. Values)</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stack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7.9309284919053522E-2</c:v>
                </c:pt>
                <c:pt idx="1">
                  <c:v>1.657894727396695E-2</c:v>
                </c:pt>
                <c:pt idx="2">
                  <c:v>0</c:v>
                </c:pt>
                <c:pt idx="3">
                  <c:v>0</c:v>
                </c:pt>
                <c:pt idx="4">
                  <c:v>8.9138768936845247E-2</c:v>
                </c:pt>
                <c:pt idx="5">
                  <c:v>7.64899639288667E-2</c:v>
                </c:pt>
                <c:pt idx="6">
                  <c:v>0</c:v>
                </c:pt>
                <c:pt idx="7">
                  <c:v>0.26055925796881607</c:v>
                </c:pt>
                <c:pt idx="8">
                  <c:v>0</c:v>
                </c:pt>
                <c:pt idx="9">
                  <c:v>9.3974796741619435E-3</c:v>
                </c:pt>
                <c:pt idx="10">
                  <c:v>0</c:v>
                </c:pt>
                <c:pt idx="11">
                  <c:v>0</c:v>
                </c:pt>
                <c:pt idx="12">
                  <c:v>5.0106840589369026E-2</c:v>
                </c:pt>
                <c:pt idx="13">
                  <c:v>0</c:v>
                </c:pt>
                <c:pt idx="14">
                  <c:v>0</c:v>
                </c:pt>
                <c:pt idx="15">
                  <c:v>0</c:v>
                </c:pt>
                <c:pt idx="16">
                  <c:v>0.27623579412915894</c:v>
                </c:pt>
                <c:pt idx="17">
                  <c:v>0.49655701588560841</c:v>
                </c:pt>
                <c:pt idx="18">
                  <c:v>0</c:v>
                </c:pt>
                <c:pt idx="19">
                  <c:v>2.604018672224425E-2</c:v>
                </c:pt>
              </c:numCache>
            </c:numRef>
          </c:val>
          <c:extLst>
            <c:ext xmlns:c16="http://schemas.microsoft.com/office/drawing/2014/chart" uri="{C3380CC4-5D6E-409C-BE32-E72D297353CC}">
              <c16:uniqueId val="{00000000-09EC-4C8E-AD3F-ABA11E162CFB}"/>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2.8351270021381931E-4</c:v>
                </c:pt>
                <c:pt idx="1">
                  <c:v>3.1110960213421041E-2</c:v>
                </c:pt>
                <c:pt idx="2">
                  <c:v>3.1945119313617632E-4</c:v>
                </c:pt>
                <c:pt idx="3">
                  <c:v>1.8154194823023358E-4</c:v>
                </c:pt>
                <c:pt idx="4">
                  <c:v>4.5320824550875612E-3</c:v>
                </c:pt>
                <c:pt idx="5">
                  <c:v>8.4441766487265396E-2</c:v>
                </c:pt>
                <c:pt idx="6">
                  <c:v>2.1303383616419817E-2</c:v>
                </c:pt>
                <c:pt idx="7">
                  <c:v>3.4595868151872551E-3</c:v>
                </c:pt>
                <c:pt idx="8">
                  <c:v>1.1362751618476262E-2</c:v>
                </c:pt>
                <c:pt idx="9">
                  <c:v>0</c:v>
                </c:pt>
                <c:pt idx="10">
                  <c:v>2.3373559703460816E-2</c:v>
                </c:pt>
                <c:pt idx="11">
                  <c:v>2.949334781326527E-3</c:v>
                </c:pt>
                <c:pt idx="12">
                  <c:v>5.5541421998194307E-3</c:v>
                </c:pt>
                <c:pt idx="13">
                  <c:v>1.9536065382222918E-2</c:v>
                </c:pt>
                <c:pt idx="14">
                  <c:v>3.1951083950693079E-3</c:v>
                </c:pt>
                <c:pt idx="15">
                  <c:v>0</c:v>
                </c:pt>
                <c:pt idx="16">
                  <c:v>6.5779334327885214E-2</c:v>
                </c:pt>
                <c:pt idx="17">
                  <c:v>1.9114262685385932E-2</c:v>
                </c:pt>
                <c:pt idx="18">
                  <c:v>0.27802142193670115</c:v>
                </c:pt>
                <c:pt idx="19">
                  <c:v>3.294232121973735E-2</c:v>
                </c:pt>
              </c:numCache>
            </c:numRef>
          </c:val>
          <c:extLst>
            <c:ext xmlns:c16="http://schemas.microsoft.com/office/drawing/2014/chart" uri="{C3380CC4-5D6E-409C-BE32-E72D297353CC}">
              <c16:uniqueId val="{00000001-09EC-4C8E-AD3F-ABA11E162CFB}"/>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0.92040720238073259</c:v>
                </c:pt>
                <c:pt idx="1">
                  <c:v>0.95231009251261212</c:v>
                </c:pt>
                <c:pt idx="2">
                  <c:v>0.99968054880686386</c:v>
                </c:pt>
                <c:pt idx="3">
                  <c:v>0.99981845805176972</c:v>
                </c:pt>
                <c:pt idx="4">
                  <c:v>0.90632914860806724</c:v>
                </c:pt>
                <c:pt idx="5">
                  <c:v>0.83906826958386793</c:v>
                </c:pt>
                <c:pt idx="6">
                  <c:v>0.97869661638358019</c:v>
                </c:pt>
                <c:pt idx="7">
                  <c:v>0.73598115521599661</c:v>
                </c:pt>
                <c:pt idx="8">
                  <c:v>0.98863724838152367</c:v>
                </c:pt>
                <c:pt idx="9">
                  <c:v>0.99060252032583818</c:v>
                </c:pt>
                <c:pt idx="10">
                  <c:v>0.97662644029653922</c:v>
                </c:pt>
                <c:pt idx="11">
                  <c:v>0.99705066521867347</c:v>
                </c:pt>
                <c:pt idx="12">
                  <c:v>0.94433901721081148</c:v>
                </c:pt>
                <c:pt idx="13">
                  <c:v>0.98046393461777714</c:v>
                </c:pt>
                <c:pt idx="14">
                  <c:v>0.99680489160493069</c:v>
                </c:pt>
                <c:pt idx="15">
                  <c:v>1</c:v>
                </c:pt>
                <c:pt idx="16">
                  <c:v>0.65798487154295582</c:v>
                </c:pt>
                <c:pt idx="17">
                  <c:v>0.48432872142900574</c:v>
                </c:pt>
                <c:pt idx="18">
                  <c:v>0.7219785780632989</c:v>
                </c:pt>
                <c:pt idx="19">
                  <c:v>0.94101749205801832</c:v>
                </c:pt>
              </c:numCache>
            </c:numRef>
          </c:val>
          <c:extLst>
            <c:ext xmlns:c16="http://schemas.microsoft.com/office/drawing/2014/chart" uri="{C3380CC4-5D6E-409C-BE32-E72D297353CC}">
              <c16:uniqueId val="{00000002-09EC-4C8E-AD3F-ABA11E162CFB}"/>
            </c:ext>
          </c:extLst>
        </c:ser>
        <c:dLbls>
          <c:showLegendKey val="0"/>
          <c:showVal val="0"/>
          <c:showCatName val="0"/>
          <c:showSerName val="0"/>
          <c:showPercent val="0"/>
          <c:showBubbleSize val="0"/>
        </c:dLbls>
        <c:gapWidth val="150"/>
        <c:overlap val="100"/>
        <c:axId val="281841951"/>
        <c:axId val="169766159"/>
      </c:barChart>
      <c:catAx>
        <c:axId val="281841951"/>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9766159"/>
        <c:crosses val="autoZero"/>
        <c:auto val="1"/>
        <c:lblAlgn val="ctr"/>
        <c:lblOffset val="100"/>
        <c:noMultiLvlLbl val="0"/>
      </c:catAx>
      <c:valAx>
        <c:axId val="169766159"/>
        <c:scaling>
          <c:orientation val="minMax"/>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81841951"/>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Percent Makeup of Economy Wide Rebound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v>Re_dev</c:v>
          </c:tx>
          <c:spPr>
            <a:solidFill>
              <a:schemeClr val="accent1"/>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Wide'!$O$4:$O$23</c:f>
              <c:numCache>
                <c:formatCode>0.00%</c:formatCode>
                <c:ptCount val="20"/>
                <c:pt idx="0">
                  <c:v>7.9354280811906555E-2</c:v>
                </c:pt>
                <c:pt idx="1">
                  <c:v>1.657894727396695E-2</c:v>
                </c:pt>
                <c:pt idx="2">
                  <c:v>0</c:v>
                </c:pt>
                <c:pt idx="3">
                  <c:v>0</c:v>
                </c:pt>
                <c:pt idx="4">
                  <c:v>8.9138768936845247E-2</c:v>
                </c:pt>
                <c:pt idx="5">
                  <c:v>-0.11279434083103881</c:v>
                </c:pt>
                <c:pt idx="6">
                  <c:v>0</c:v>
                </c:pt>
                <c:pt idx="7">
                  <c:v>0.26055925796881607</c:v>
                </c:pt>
                <c:pt idx="8">
                  <c:v>0</c:v>
                </c:pt>
                <c:pt idx="9">
                  <c:v>9.3974796741619435E-3</c:v>
                </c:pt>
                <c:pt idx="10">
                  <c:v>0</c:v>
                </c:pt>
                <c:pt idx="11">
                  <c:v>0</c:v>
                </c:pt>
                <c:pt idx="12">
                  <c:v>5.0669693960322962E-2</c:v>
                </c:pt>
                <c:pt idx="13">
                  <c:v>0</c:v>
                </c:pt>
                <c:pt idx="14">
                  <c:v>0</c:v>
                </c:pt>
                <c:pt idx="15">
                  <c:v>0</c:v>
                </c:pt>
                <c:pt idx="16">
                  <c:v>0.27623579412915894</c:v>
                </c:pt>
                <c:pt idx="17">
                  <c:v>0.49655701588560841</c:v>
                </c:pt>
                <c:pt idx="18">
                  <c:v>0</c:v>
                </c:pt>
                <c:pt idx="19">
                  <c:v>2.7876842524299252E-2</c:v>
                </c:pt>
              </c:numCache>
            </c:numRef>
          </c:val>
          <c:extLst>
            <c:ext xmlns:c16="http://schemas.microsoft.com/office/drawing/2014/chart" uri="{C3380CC4-5D6E-409C-BE32-E72D297353CC}">
              <c16:uniqueId val="{00000000-5C95-44A6-9FDE-9C8B81A8E23B}"/>
            </c:ext>
          </c:extLst>
        </c:ser>
        <c:ser>
          <c:idx val="1"/>
          <c:order val="1"/>
          <c:tx>
            <c:v>e</c:v>
          </c:tx>
          <c:spPr>
            <a:solidFill>
              <a:schemeClr val="accent2"/>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Wide'!$P$4:$P$23</c:f>
              <c:numCache>
                <c:formatCode>0.00%</c:formatCode>
                <c:ptCount val="20"/>
                <c:pt idx="0" formatCode="0.0000%">
                  <c:v>-2.8367355032228158E-4</c:v>
                </c:pt>
                <c:pt idx="1">
                  <c:v>3.1110960213421041E-2</c:v>
                </c:pt>
                <c:pt idx="2">
                  <c:v>-3.1965542174791596E-4</c:v>
                </c:pt>
                <c:pt idx="3">
                  <c:v>-1.8160788712952056E-4</c:v>
                </c:pt>
                <c:pt idx="4">
                  <c:v>4.5320824550875612E-3</c:v>
                </c:pt>
                <c:pt idx="5">
                  <c:v>-0.12452030175353648</c:v>
                </c:pt>
                <c:pt idx="6">
                  <c:v>-2.2251445787690078E-2</c:v>
                </c:pt>
                <c:pt idx="7">
                  <c:v>3.4595868151872551E-3</c:v>
                </c:pt>
                <c:pt idx="8">
                  <c:v>-1.1626980603824459E-2</c:v>
                </c:pt>
                <c:pt idx="9">
                  <c:v>0</c:v>
                </c:pt>
                <c:pt idx="10">
                  <c:v>2.3373559703460816E-2</c:v>
                </c:pt>
                <c:pt idx="11">
                  <c:v>2.949334781326527E-3</c:v>
                </c:pt>
                <c:pt idx="12">
                  <c:v>-5.6165322372505504E-3</c:v>
                </c:pt>
                <c:pt idx="13">
                  <c:v>-2.0330418138215119E-2</c:v>
                </c:pt>
                <c:pt idx="14">
                  <c:v>3.1951083950693075E-3</c:v>
                </c:pt>
                <c:pt idx="15">
                  <c:v>0</c:v>
                </c:pt>
                <c:pt idx="16">
                  <c:v>6.5779334327885214E-2</c:v>
                </c:pt>
                <c:pt idx="17">
                  <c:v>1.9114262685385932E-2</c:v>
                </c:pt>
                <c:pt idx="18">
                  <c:v>-0.6262348023903036</c:v>
                </c:pt>
                <c:pt idx="19">
                  <c:v>-3.5265795549885154E-2</c:v>
                </c:pt>
              </c:numCache>
            </c:numRef>
          </c:val>
          <c:extLst>
            <c:ext xmlns:c16="http://schemas.microsoft.com/office/drawing/2014/chart" uri="{C3380CC4-5D6E-409C-BE32-E72D297353CC}">
              <c16:uniqueId val="{00000001-5C95-44A6-9FDE-9C8B81A8E23B}"/>
            </c:ext>
          </c:extLst>
        </c:ser>
        <c:ser>
          <c:idx val="2"/>
          <c:order val="2"/>
          <c:tx>
            <c:v>Respending</c:v>
          </c:tx>
          <c:spPr>
            <a:solidFill>
              <a:schemeClr val="accent3"/>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Wide'!$Q$4:$Q$23</c:f>
              <c:numCache>
                <c:formatCode>0.00%</c:formatCode>
                <c:ptCount val="20"/>
                <c:pt idx="0">
                  <c:v>0.92092939273841579</c:v>
                </c:pt>
                <c:pt idx="1">
                  <c:v>0.95231009251261212</c:v>
                </c:pt>
                <c:pt idx="2">
                  <c:v>1.0003196554217479</c:v>
                </c:pt>
                <c:pt idx="3">
                  <c:v>1.0001816078871295</c:v>
                </c:pt>
                <c:pt idx="4">
                  <c:v>0.90632914860806724</c:v>
                </c:pt>
                <c:pt idx="5">
                  <c:v>1.2373146425845751</c:v>
                </c:pt>
                <c:pt idx="6">
                  <c:v>1.0222514457876901</c:v>
                </c:pt>
                <c:pt idx="7">
                  <c:v>0.73598115521599661</c:v>
                </c:pt>
                <c:pt idx="8">
                  <c:v>1.0116269806038245</c:v>
                </c:pt>
                <c:pt idx="9">
                  <c:v>0.99060252032583818</c:v>
                </c:pt>
                <c:pt idx="10">
                  <c:v>0.97662644029653922</c:v>
                </c:pt>
                <c:pt idx="11">
                  <c:v>0.99705066521867347</c:v>
                </c:pt>
                <c:pt idx="12">
                  <c:v>0.95494683827692761</c:v>
                </c:pt>
                <c:pt idx="13">
                  <c:v>1.0203304181382151</c:v>
                </c:pt>
                <c:pt idx="14">
                  <c:v>0.99680489160493047</c:v>
                </c:pt>
                <c:pt idx="15">
                  <c:v>1</c:v>
                </c:pt>
                <c:pt idx="16">
                  <c:v>0.65798487154295582</c:v>
                </c:pt>
                <c:pt idx="17">
                  <c:v>0.48432872142900574</c:v>
                </c:pt>
                <c:pt idx="18">
                  <c:v>1.6262348023903035</c:v>
                </c:pt>
                <c:pt idx="19">
                  <c:v>1.007388953025586</c:v>
                </c:pt>
              </c:numCache>
            </c:numRef>
          </c:val>
          <c:extLst>
            <c:ext xmlns:c16="http://schemas.microsoft.com/office/drawing/2014/chart" uri="{C3380CC4-5D6E-409C-BE32-E72D297353CC}">
              <c16:uniqueId val="{00000002-5C95-44A6-9FDE-9C8B81A8E23B}"/>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7000000000000002"/>
          <c:min val="-0.70000000000000007"/>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11</xdr:col>
      <xdr:colOff>455339</xdr:colOff>
      <xdr:row>1</xdr:row>
      <xdr:rowOff>22300</xdr:rowOff>
    </xdr:from>
    <xdr:to>
      <xdr:col>37</xdr:col>
      <xdr:colOff>511098</xdr:colOff>
      <xdr:row>53</xdr:row>
      <xdr:rowOff>162622</xdr:rowOff>
    </xdr:to>
    <xdr:graphicFrame macro="">
      <xdr:nvGraphicFramePr>
        <xdr:cNvPr id="2" name="Chart 2">
          <a:extLst>
            <a:ext uri="{FF2B5EF4-FFF2-40B4-BE49-F238E27FC236}">
              <a16:creationId xmlns:a16="http://schemas.microsoft.com/office/drawing/2014/main" id="{0284AD21-090B-4902-98CB-2768C2E47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501800</xdr:colOff>
      <xdr:row>24</xdr:row>
      <xdr:rowOff>97805</xdr:rowOff>
    </xdr:from>
    <xdr:to>
      <xdr:col>11</xdr:col>
      <xdr:colOff>69695</xdr:colOff>
      <xdr:row>55</xdr:row>
      <xdr:rowOff>69695</xdr:rowOff>
    </xdr:to>
    <xdr:graphicFrame macro="">
      <xdr:nvGraphicFramePr>
        <xdr:cNvPr id="2" name="Chart 1">
          <a:extLst>
            <a:ext uri="{FF2B5EF4-FFF2-40B4-BE49-F238E27FC236}">
              <a16:creationId xmlns:a16="http://schemas.microsoft.com/office/drawing/2014/main" id="{61284436-2B81-4E13-9CC5-C4F6FBE66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338438</xdr:colOff>
      <xdr:row>24</xdr:row>
      <xdr:rowOff>18848</xdr:rowOff>
    </xdr:from>
    <xdr:to>
      <xdr:col>21</xdr:col>
      <xdr:colOff>304800</xdr:colOff>
      <xdr:row>55</xdr:row>
      <xdr:rowOff>133350</xdr:rowOff>
    </xdr:to>
    <xdr:graphicFrame macro="">
      <xdr:nvGraphicFramePr>
        <xdr:cNvPr id="3" name="Chart 2">
          <a:extLst>
            <a:ext uri="{FF2B5EF4-FFF2-40B4-BE49-F238E27FC236}">
              <a16:creationId xmlns:a16="http://schemas.microsoft.com/office/drawing/2014/main" id="{D1C7DCA3-F562-4049-9796-9EEBC1B6E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311300</xdr:colOff>
      <xdr:row>26</xdr:row>
      <xdr:rowOff>111412</xdr:rowOff>
    </xdr:from>
    <xdr:to>
      <xdr:col>11</xdr:col>
      <xdr:colOff>513713</xdr:colOff>
      <xdr:row>58</xdr:row>
      <xdr:rowOff>186174</xdr:rowOff>
    </xdr:to>
    <xdr:graphicFrame macro="">
      <xdr:nvGraphicFramePr>
        <xdr:cNvPr id="2" name="Chart 3">
          <a:extLst>
            <a:ext uri="{FF2B5EF4-FFF2-40B4-BE49-F238E27FC236}">
              <a16:creationId xmlns:a16="http://schemas.microsoft.com/office/drawing/2014/main" id="{15A0AAA2-D4EF-424A-B3C7-DDADB3E38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204107</xdr:colOff>
      <xdr:row>0</xdr:row>
      <xdr:rowOff>129267</xdr:rowOff>
    </xdr:from>
    <xdr:to>
      <xdr:col>31</xdr:col>
      <xdr:colOff>518779</xdr:colOff>
      <xdr:row>33</xdr:row>
      <xdr:rowOff>13529</xdr:rowOff>
    </xdr:to>
    <xdr:graphicFrame macro="">
      <xdr:nvGraphicFramePr>
        <xdr:cNvPr id="6" name="Chart 3">
          <a:extLst>
            <a:ext uri="{FF2B5EF4-FFF2-40B4-BE49-F238E27FC236}">
              <a16:creationId xmlns:a16="http://schemas.microsoft.com/office/drawing/2014/main" id="{030E8C7F-B876-4BF5-B45E-2E3F82C7A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372070</xdr:colOff>
      <xdr:row>63</xdr:row>
      <xdr:rowOff>74415</xdr:rowOff>
    </xdr:from>
    <xdr:to>
      <xdr:col>11</xdr:col>
      <xdr:colOff>574483</xdr:colOff>
      <xdr:row>95</xdr:row>
      <xdr:rowOff>149177</xdr:rowOff>
    </xdr:to>
    <xdr:graphicFrame macro="">
      <xdr:nvGraphicFramePr>
        <xdr:cNvPr id="8" name="Chart 3">
          <a:extLst>
            <a:ext uri="{FF2B5EF4-FFF2-40B4-BE49-F238E27FC236}">
              <a16:creationId xmlns:a16="http://schemas.microsoft.com/office/drawing/2014/main" id="{1C17668C-9922-4381-B895-E54A5C013A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1200746</xdr:colOff>
      <xdr:row>42</xdr:row>
      <xdr:rowOff>51197</xdr:rowOff>
    </xdr:from>
    <xdr:to>
      <xdr:col>23</xdr:col>
      <xdr:colOff>505767</xdr:colOff>
      <xdr:row>74</xdr:row>
      <xdr:rowOff>128936</xdr:rowOff>
    </xdr:to>
    <xdr:graphicFrame macro="">
      <xdr:nvGraphicFramePr>
        <xdr:cNvPr id="16" name="Chart 3">
          <a:extLst>
            <a:ext uri="{FF2B5EF4-FFF2-40B4-BE49-F238E27FC236}">
              <a16:creationId xmlns:a16="http://schemas.microsoft.com/office/drawing/2014/main" id="{8E59659A-BDDD-4A97-8E74-7AFC028B5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1339454</xdr:colOff>
      <xdr:row>77</xdr:row>
      <xdr:rowOff>178594</xdr:rowOff>
    </xdr:from>
    <xdr:to>
      <xdr:col>23</xdr:col>
      <xdr:colOff>723312</xdr:colOff>
      <xdr:row>110</xdr:row>
      <xdr:rowOff>59879</xdr:rowOff>
    </xdr:to>
    <xdr:graphicFrame macro="">
      <xdr:nvGraphicFramePr>
        <xdr:cNvPr id="17" name="Chart 3">
          <a:extLst>
            <a:ext uri="{FF2B5EF4-FFF2-40B4-BE49-F238E27FC236}">
              <a16:creationId xmlns:a16="http://schemas.microsoft.com/office/drawing/2014/main" id="{3964E541-2300-4D75-B6E1-87C48D6E3E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99</xdr:row>
      <xdr:rowOff>0</xdr:rowOff>
    </xdr:from>
    <xdr:to>
      <xdr:col>12</xdr:col>
      <xdr:colOff>142882</xdr:colOff>
      <xdr:row>131</xdr:row>
      <xdr:rowOff>74762</xdr:rowOff>
    </xdr:to>
    <xdr:graphicFrame macro="">
      <xdr:nvGraphicFramePr>
        <xdr:cNvPr id="7" name="Chart 3">
          <a:extLst>
            <a:ext uri="{FF2B5EF4-FFF2-40B4-BE49-F238E27FC236}">
              <a16:creationId xmlns:a16="http://schemas.microsoft.com/office/drawing/2014/main" id="{F3B19D6F-9838-41D3-9E15-86844B76E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30</xdr:col>
      <xdr:colOff>25400</xdr:colOff>
      <xdr:row>42</xdr:row>
      <xdr:rowOff>0</xdr:rowOff>
    </xdr:from>
    <xdr:to>
      <xdr:col>47</xdr:col>
      <xdr:colOff>244482</xdr:colOff>
      <xdr:row>74</xdr:row>
      <xdr:rowOff>74762</xdr:rowOff>
    </xdr:to>
    <xdr:graphicFrame macro="">
      <xdr:nvGraphicFramePr>
        <xdr:cNvPr id="9" name="Chart 3">
          <a:extLst>
            <a:ext uri="{FF2B5EF4-FFF2-40B4-BE49-F238E27FC236}">
              <a16:creationId xmlns:a16="http://schemas.microsoft.com/office/drawing/2014/main" id="{058A770E-945C-4AEB-8CAA-0734156E0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501800</xdr:colOff>
      <xdr:row>24</xdr:row>
      <xdr:rowOff>97804</xdr:rowOff>
    </xdr:from>
    <xdr:to>
      <xdr:col>12</xdr:col>
      <xdr:colOff>51070</xdr:colOff>
      <xdr:row>56</xdr:row>
      <xdr:rowOff>172566</xdr:rowOff>
    </xdr:to>
    <xdr:graphicFrame macro="">
      <xdr:nvGraphicFramePr>
        <xdr:cNvPr id="24" name="Chart 3">
          <a:extLst>
            <a:ext uri="{FF2B5EF4-FFF2-40B4-BE49-F238E27FC236}">
              <a16:creationId xmlns:a16="http://schemas.microsoft.com/office/drawing/2014/main" id="{A246CA7F-960F-41CE-AD11-A6CB3EF7E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548289</xdr:colOff>
      <xdr:row>58</xdr:row>
      <xdr:rowOff>98086</xdr:rowOff>
    </xdr:from>
    <xdr:to>
      <xdr:col>10</xdr:col>
      <xdr:colOff>605799</xdr:colOff>
      <xdr:row>88</xdr:row>
      <xdr:rowOff>179887</xdr:rowOff>
    </xdr:to>
    <xdr:graphicFrame macro="">
      <xdr:nvGraphicFramePr>
        <xdr:cNvPr id="28" name="Chart 6">
          <a:extLst>
            <a:ext uri="{FF2B5EF4-FFF2-40B4-BE49-F238E27FC236}">
              <a16:creationId xmlns:a16="http://schemas.microsoft.com/office/drawing/2014/main" id="{1E8B793D-DCEA-4CCF-A89E-7C81D6E1B5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1032600</xdr:colOff>
      <xdr:row>2</xdr:row>
      <xdr:rowOff>13091</xdr:rowOff>
    </xdr:from>
    <xdr:to>
      <xdr:col>34</xdr:col>
      <xdr:colOff>62593</xdr:colOff>
      <xdr:row>33</xdr:row>
      <xdr:rowOff>6210</xdr:rowOff>
    </xdr:to>
    <xdr:graphicFrame macro="">
      <xdr:nvGraphicFramePr>
        <xdr:cNvPr id="9" name="Chart 28">
          <a:extLst>
            <a:ext uri="{FF2B5EF4-FFF2-40B4-BE49-F238E27FC236}">
              <a16:creationId xmlns:a16="http://schemas.microsoft.com/office/drawing/2014/main" id="{9A7FC73E-8E82-458B-8911-1B2E469C2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353786</xdr:colOff>
      <xdr:row>24</xdr:row>
      <xdr:rowOff>68035</xdr:rowOff>
    </xdr:from>
    <xdr:to>
      <xdr:col>21</xdr:col>
      <xdr:colOff>733092</xdr:colOff>
      <xdr:row>56</xdr:row>
      <xdr:rowOff>142797</xdr:rowOff>
    </xdr:to>
    <xdr:graphicFrame macro="">
      <xdr:nvGraphicFramePr>
        <xdr:cNvPr id="10" name="Chart 4">
          <a:extLst>
            <a:ext uri="{FF2B5EF4-FFF2-40B4-BE49-F238E27FC236}">
              <a16:creationId xmlns:a16="http://schemas.microsoft.com/office/drawing/2014/main" id="{55501CF7-F6FD-4604-9971-432F56156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eia.gov/dnav/ng/ng_pri_sum_dcu_nus_m.ht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295B-78B2-4E3F-AA84-C991A0EA19DB}">
  <dimension ref="B2:E22"/>
  <sheetViews>
    <sheetView topLeftCell="B1" workbookViewId="0">
      <selection activeCell="H22" sqref="H22"/>
    </sheetView>
  </sheetViews>
  <sheetFormatPr defaultColWidth="8.85546875" defaultRowHeight="15"/>
  <cols>
    <col min="2" max="2" width="17.28515625" bestFit="1" customWidth="1"/>
    <col min="3" max="3" width="23.7109375" bestFit="1" customWidth="1"/>
    <col min="4" max="5" width="22.85546875" bestFit="1" customWidth="1"/>
  </cols>
  <sheetData>
    <row r="2" spans="2:5">
      <c r="B2" s="136" t="s">
        <v>0</v>
      </c>
      <c r="C2" s="136" t="s">
        <v>1</v>
      </c>
      <c r="D2" s="146" t="s">
        <v>2</v>
      </c>
      <c r="E2" s="146" t="s">
        <v>3</v>
      </c>
    </row>
    <row r="3" spans="2:5">
      <c r="B3" s="137" t="s">
        <v>4</v>
      </c>
      <c r="C3" s="137" t="s">
        <v>5</v>
      </c>
      <c r="D3" s="157">
        <v>36.200000000000003</v>
      </c>
      <c r="E3" s="157">
        <v>32.53</v>
      </c>
    </row>
    <row r="4" spans="2:5">
      <c r="B4" s="137" t="s">
        <v>4</v>
      </c>
      <c r="C4" s="137" t="s">
        <v>6</v>
      </c>
      <c r="D4" s="157">
        <v>1000</v>
      </c>
      <c r="E4" s="157">
        <v>1250</v>
      </c>
    </row>
    <row r="5" spans="2:5">
      <c r="B5" s="137" t="s">
        <v>7</v>
      </c>
      <c r="C5" s="137" t="s">
        <v>8</v>
      </c>
      <c r="D5" s="158">
        <v>45748.625966522217</v>
      </c>
      <c r="E5" s="158">
        <v>61985</v>
      </c>
    </row>
    <row r="6" spans="2:5">
      <c r="B6" s="137" t="s">
        <v>7</v>
      </c>
      <c r="C6" s="137" t="s">
        <v>9</v>
      </c>
      <c r="D6" s="157">
        <v>307000</v>
      </c>
      <c r="E6" s="157">
        <v>354000</v>
      </c>
    </row>
    <row r="7" spans="2:5">
      <c r="B7" s="137" t="s">
        <v>10</v>
      </c>
      <c r="C7" s="137" t="s">
        <v>11</v>
      </c>
      <c r="D7" s="157">
        <v>5288</v>
      </c>
      <c r="E7" s="157">
        <v>20180</v>
      </c>
    </row>
    <row r="8" spans="2:5">
      <c r="B8" s="137" t="s">
        <v>10</v>
      </c>
      <c r="C8" s="137" t="s">
        <v>12</v>
      </c>
      <c r="D8" s="157">
        <v>21096</v>
      </c>
      <c r="E8" s="157">
        <v>29288</v>
      </c>
    </row>
    <row r="9" spans="2:5">
      <c r="B9" s="137" t="s">
        <v>13</v>
      </c>
      <c r="C9" s="137" t="s">
        <v>14</v>
      </c>
      <c r="D9" s="157">
        <v>1324.14</v>
      </c>
      <c r="E9" s="157">
        <v>1948.43</v>
      </c>
    </row>
    <row r="10" spans="2:5">
      <c r="B10" s="137" t="s">
        <v>13</v>
      </c>
      <c r="C10" s="137" t="s">
        <v>15</v>
      </c>
      <c r="D10" s="157">
        <v>3778</v>
      </c>
      <c r="E10" s="157">
        <v>3984.81</v>
      </c>
    </row>
    <row r="11" spans="2:5">
      <c r="B11" s="137" t="s">
        <v>16</v>
      </c>
      <c r="C11" s="137" t="s">
        <v>14</v>
      </c>
      <c r="D11" s="157">
        <v>998.97</v>
      </c>
      <c r="E11" s="157">
        <v>1482.48</v>
      </c>
    </row>
    <row r="12" spans="2:5">
      <c r="B12" s="137" t="s">
        <v>16</v>
      </c>
      <c r="C12" s="137" t="s">
        <v>17</v>
      </c>
      <c r="D12" s="157">
        <v>32196</v>
      </c>
      <c r="E12" s="157">
        <v>23832</v>
      </c>
    </row>
    <row r="13" spans="2:5">
      <c r="B13" s="137" t="s">
        <v>18</v>
      </c>
      <c r="C13" s="137" t="s">
        <v>19</v>
      </c>
      <c r="D13" s="157">
        <v>28</v>
      </c>
      <c r="E13" s="157">
        <v>94</v>
      </c>
    </row>
    <row r="14" spans="2:5">
      <c r="B14" s="137" t="s">
        <v>18</v>
      </c>
      <c r="C14" s="137" t="s">
        <v>20</v>
      </c>
      <c r="D14" s="157">
        <v>12.24</v>
      </c>
      <c r="E14" s="157">
        <v>41.7</v>
      </c>
    </row>
    <row r="15" spans="2:5">
      <c r="B15" s="137" t="s">
        <v>21</v>
      </c>
      <c r="C15" s="137" t="s">
        <v>11</v>
      </c>
      <c r="D15" s="157">
        <v>1.99</v>
      </c>
      <c r="E15" s="157">
        <v>3.93</v>
      </c>
    </row>
    <row r="16" spans="2:5">
      <c r="B16" s="137" t="s">
        <v>21</v>
      </c>
      <c r="C16" s="137" t="s">
        <v>22</v>
      </c>
      <c r="D16" s="157">
        <v>22840</v>
      </c>
      <c r="E16" s="157">
        <v>27555</v>
      </c>
    </row>
    <row r="17" spans="2:5">
      <c r="B17" s="137" t="s">
        <v>23</v>
      </c>
      <c r="C17" s="137" t="s">
        <v>24</v>
      </c>
      <c r="D17" s="157">
        <v>10.74</v>
      </c>
      <c r="E17" s="157">
        <v>67.89</v>
      </c>
    </row>
    <row r="18" spans="2:5">
      <c r="B18" s="137" t="s">
        <v>23</v>
      </c>
      <c r="C18" s="137" t="s">
        <v>25</v>
      </c>
      <c r="D18" s="157">
        <v>674.1</v>
      </c>
      <c r="E18" s="157">
        <v>764.1</v>
      </c>
    </row>
    <row r="19" spans="2:5">
      <c r="B19" s="137" t="s">
        <v>26</v>
      </c>
      <c r="C19" s="137" t="s">
        <v>19</v>
      </c>
      <c r="D19" s="157">
        <v>8.98</v>
      </c>
      <c r="E19" s="157">
        <v>79.989999999999995</v>
      </c>
    </row>
    <row r="20" spans="2:5">
      <c r="B20" s="137" t="s">
        <v>26</v>
      </c>
      <c r="C20" s="137" t="s">
        <v>27</v>
      </c>
      <c r="D20" s="157">
        <v>22084</v>
      </c>
      <c r="E20" s="157">
        <v>27555</v>
      </c>
    </row>
    <row r="21" spans="2:5">
      <c r="B21" s="137" t="s">
        <v>28</v>
      </c>
      <c r="C21" s="137" t="s">
        <v>8</v>
      </c>
      <c r="D21" s="157">
        <v>94</v>
      </c>
      <c r="E21" s="157">
        <v>119</v>
      </c>
    </row>
    <row r="22" spans="2:5">
      <c r="B22" s="137" t="s">
        <v>28</v>
      </c>
      <c r="C22" s="137" t="s">
        <v>17</v>
      </c>
      <c r="D22" s="157">
        <f>2944*12</f>
        <v>35328</v>
      </c>
      <c r="E22" s="157">
        <f>2802.5*12</f>
        <v>33630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2DF08-4590-4ED6-B2DD-FE53AADDA00B}">
  <sheetPr>
    <tabColor rgb="FFFF0000"/>
  </sheetPr>
  <dimension ref="B1:K58"/>
  <sheetViews>
    <sheetView zoomScale="40" zoomScaleNormal="40" workbookViewId="0">
      <selection activeCell="F40" sqref="F40"/>
    </sheetView>
  </sheetViews>
  <sheetFormatPr defaultColWidth="9.140625" defaultRowHeight="15"/>
  <cols>
    <col min="1" max="2" width="9.140625" style="57"/>
    <col min="3" max="3" width="9.28515625" style="57" customWidth="1"/>
    <col min="4" max="16384" width="9.140625" style="57"/>
  </cols>
  <sheetData>
    <row r="1" spans="2:11">
      <c r="B1" s="64"/>
      <c r="C1" s="64"/>
      <c r="D1" s="64"/>
      <c r="E1" s="64"/>
      <c r="F1" s="64"/>
      <c r="G1" s="64"/>
      <c r="H1" s="64"/>
    </row>
    <row r="2" spans="2:11">
      <c r="B2" s="64"/>
      <c r="C2" s="64"/>
      <c r="D2" s="64"/>
      <c r="E2" s="64"/>
      <c r="F2" s="64"/>
      <c r="G2" s="64"/>
      <c r="H2" s="64"/>
      <c r="I2" s="64"/>
      <c r="J2" s="64"/>
      <c r="K2" s="64"/>
    </row>
    <row r="3" spans="2:11">
      <c r="B3" s="144"/>
      <c r="C3" s="58"/>
      <c r="D3" s="58"/>
      <c r="E3" s="58"/>
      <c r="F3" s="58"/>
      <c r="G3" s="64"/>
      <c r="H3" s="64"/>
      <c r="I3" s="64"/>
      <c r="J3" s="64"/>
      <c r="K3" s="64"/>
    </row>
    <row r="4" spans="2:11">
      <c r="B4" s="144"/>
      <c r="C4" s="58" t="s">
        <v>5</v>
      </c>
      <c r="D4" s="145">
        <f>'Team 1'!$C$16</f>
        <v>8.548</v>
      </c>
      <c r="E4" s="58"/>
      <c r="F4" s="58"/>
      <c r="G4" s="64"/>
      <c r="H4" s="64"/>
      <c r="I4" s="64"/>
      <c r="J4" s="64"/>
      <c r="K4" s="64"/>
    </row>
    <row r="5" spans="2:11">
      <c r="B5" s="144"/>
      <c r="C5" s="58" t="s">
        <v>6</v>
      </c>
      <c r="D5" s="145">
        <f>'Team 1'!$J$16</f>
        <v>8.4</v>
      </c>
      <c r="E5" s="58"/>
      <c r="F5" s="58"/>
      <c r="G5" s="64"/>
      <c r="H5" s="64"/>
      <c r="I5" s="64"/>
      <c r="J5" s="64"/>
      <c r="K5" s="64"/>
    </row>
    <row r="6" spans="2:11">
      <c r="B6" s="144"/>
      <c r="C6" s="58" t="s">
        <v>8</v>
      </c>
      <c r="D6" s="145">
        <f>'Team 2'!$C$16</f>
        <v>0</v>
      </c>
      <c r="E6" s="58"/>
      <c r="F6" s="58"/>
      <c r="G6" s="64"/>
      <c r="H6" s="64"/>
      <c r="I6" s="64"/>
      <c r="J6" s="64"/>
      <c r="K6" s="64"/>
    </row>
    <row r="7" spans="2:11">
      <c r="B7" s="144"/>
      <c r="C7" s="58" t="s">
        <v>9</v>
      </c>
      <c r="D7" s="145">
        <f>'Team 2'!$J$16</f>
        <v>0</v>
      </c>
      <c r="E7" s="58"/>
      <c r="F7" s="58"/>
      <c r="G7" s="64"/>
      <c r="H7" s="64"/>
      <c r="I7" s="64"/>
      <c r="J7" s="64"/>
      <c r="K7" s="64"/>
    </row>
    <row r="8" spans="2:11">
      <c r="B8" s="144"/>
      <c r="C8" s="58" t="s">
        <v>11</v>
      </c>
      <c r="D8" s="145">
        <f>'Team 3'!$C$16</f>
        <v>14.58</v>
      </c>
      <c r="E8" s="58"/>
      <c r="F8" s="58"/>
      <c r="G8" s="64"/>
      <c r="H8" s="64"/>
      <c r="I8" s="64"/>
      <c r="J8" s="64"/>
      <c r="K8" s="64"/>
    </row>
    <row r="9" spans="2:11">
      <c r="B9" s="144"/>
      <c r="C9" s="58" t="s">
        <v>29</v>
      </c>
      <c r="D9" s="145">
        <f>'Team 3'!$J$16</f>
        <v>6.04</v>
      </c>
      <c r="E9" s="58"/>
      <c r="F9" s="58"/>
      <c r="G9" s="64"/>
      <c r="H9" s="64"/>
      <c r="I9" s="64"/>
      <c r="J9" s="64"/>
      <c r="K9" s="64"/>
    </row>
    <row r="10" spans="2:11">
      <c r="B10" s="144"/>
      <c r="C10" s="58" t="s">
        <v>14</v>
      </c>
      <c r="D10" s="145">
        <f>'Team 4'!$C$16</f>
        <v>0</v>
      </c>
      <c r="E10" s="58"/>
      <c r="F10" s="58"/>
      <c r="G10" s="64"/>
      <c r="H10" s="64"/>
      <c r="I10" s="64"/>
      <c r="J10" s="64"/>
      <c r="K10" s="64"/>
    </row>
    <row r="11" spans="2:11">
      <c r="B11" s="144"/>
      <c r="C11" s="58" t="s">
        <v>15</v>
      </c>
      <c r="D11" s="145">
        <f>'Team 4'!$J$16</f>
        <v>20</v>
      </c>
      <c r="E11" s="58"/>
      <c r="F11" s="58"/>
      <c r="G11" s="64"/>
      <c r="H11" s="64"/>
      <c r="I11" s="64"/>
      <c r="J11" s="64"/>
      <c r="K11" s="64"/>
    </row>
    <row r="12" spans="2:11">
      <c r="B12" s="144"/>
      <c r="C12" s="58" t="s">
        <v>14</v>
      </c>
      <c r="D12" s="145">
        <f>'Team 5'!$C$16</f>
        <v>0</v>
      </c>
      <c r="E12" s="58"/>
      <c r="F12" s="58"/>
      <c r="G12" s="64"/>
      <c r="H12" s="64"/>
      <c r="I12" s="64"/>
      <c r="J12" s="64"/>
      <c r="K12" s="64"/>
    </row>
    <row r="13" spans="2:11">
      <c r="B13" s="144"/>
      <c r="C13" s="58" t="s">
        <v>30</v>
      </c>
      <c r="D13" s="145">
        <f>'Team 5'!$J$16</f>
        <v>6.04</v>
      </c>
      <c r="E13" s="58"/>
      <c r="F13" s="58"/>
      <c r="G13" s="64"/>
      <c r="H13" s="64"/>
      <c r="I13" s="64"/>
      <c r="J13" s="64"/>
      <c r="K13" s="64"/>
    </row>
    <row r="14" spans="2:11">
      <c r="B14" s="144"/>
      <c r="C14" s="58" t="s">
        <v>19</v>
      </c>
      <c r="D14" s="145">
        <f>'Team 6'!$C$16</f>
        <v>0</v>
      </c>
      <c r="E14" s="58"/>
      <c r="F14" s="58"/>
      <c r="G14" s="64"/>
      <c r="H14" s="64"/>
      <c r="I14" s="64"/>
      <c r="J14" s="64"/>
      <c r="K14" s="64"/>
    </row>
    <row r="15" spans="2:11">
      <c r="B15" s="144"/>
      <c r="C15" s="58" t="s">
        <v>20</v>
      </c>
      <c r="D15" s="145">
        <f>'Team 6'!$J$16</f>
        <v>0</v>
      </c>
      <c r="E15" s="58"/>
      <c r="F15" s="58"/>
      <c r="G15" s="64"/>
      <c r="H15" s="64"/>
      <c r="I15" s="64"/>
      <c r="J15" s="64"/>
      <c r="K15" s="64"/>
    </row>
    <row r="16" spans="2:11">
      <c r="B16" s="144"/>
      <c r="C16" s="58" t="s">
        <v>11</v>
      </c>
      <c r="D16" s="145">
        <v>10</v>
      </c>
      <c r="E16" s="58"/>
      <c r="F16" s="58"/>
      <c r="G16" s="64"/>
      <c r="H16" s="64"/>
      <c r="I16" s="64"/>
      <c r="J16" s="64"/>
      <c r="K16" s="64"/>
    </row>
    <row r="17" spans="2:11">
      <c r="B17" s="144"/>
      <c r="C17" s="58" t="s">
        <v>22</v>
      </c>
      <c r="D17" s="145">
        <f>'Team A'!$J$16</f>
        <v>0</v>
      </c>
      <c r="E17" s="58"/>
      <c r="F17" s="58"/>
      <c r="G17" s="64"/>
      <c r="H17" s="64"/>
      <c r="I17" s="64"/>
      <c r="J17" s="64"/>
      <c r="K17" s="64"/>
    </row>
    <row r="18" spans="2:11">
      <c r="B18" s="144"/>
      <c r="C18" s="58" t="s">
        <v>24</v>
      </c>
      <c r="D18" s="145">
        <f>'Team B'!$C$16</f>
        <v>0</v>
      </c>
      <c r="E18" s="58"/>
      <c r="F18" s="58"/>
      <c r="G18" s="64"/>
      <c r="H18" s="64"/>
      <c r="I18" s="64"/>
      <c r="J18" s="64"/>
      <c r="K18" s="64"/>
    </row>
    <row r="19" spans="2:11">
      <c r="B19" s="144"/>
      <c r="C19" s="58" t="s">
        <v>25</v>
      </c>
      <c r="D19" s="145">
        <f>'Team B'!$J$16</f>
        <v>0</v>
      </c>
      <c r="E19" s="58"/>
      <c r="F19" s="58"/>
      <c r="G19" s="64"/>
      <c r="H19" s="64"/>
      <c r="I19" s="64"/>
      <c r="J19" s="64"/>
      <c r="K19" s="64"/>
    </row>
    <row r="20" spans="2:11">
      <c r="B20" s="144"/>
      <c r="C20" s="58" t="s">
        <v>19</v>
      </c>
      <c r="D20" s="145">
        <f>'Team C'!$C$16</f>
        <v>7.1</v>
      </c>
      <c r="E20" s="58"/>
      <c r="F20" s="58"/>
      <c r="G20" s="64"/>
      <c r="H20" s="64"/>
      <c r="I20" s="64"/>
      <c r="J20" s="64"/>
      <c r="K20" s="64"/>
    </row>
    <row r="21" spans="2:11">
      <c r="B21" s="144"/>
      <c r="C21" s="58" t="s">
        <v>31</v>
      </c>
      <c r="D21" s="145">
        <f>'Team C'!$J$16</f>
        <v>20</v>
      </c>
      <c r="E21" s="58"/>
      <c r="F21" s="58"/>
      <c r="G21" s="64"/>
      <c r="H21" s="64"/>
      <c r="I21" s="64"/>
      <c r="J21" s="64"/>
      <c r="K21" s="64"/>
    </row>
    <row r="22" spans="2:11">
      <c r="B22" s="144"/>
      <c r="C22" s="58" t="s">
        <v>8</v>
      </c>
      <c r="D22" s="145">
        <f>'Team D'!$C$16</f>
        <v>0</v>
      </c>
      <c r="E22" s="58"/>
      <c r="F22" s="58"/>
      <c r="G22" s="64"/>
      <c r="H22" s="64"/>
      <c r="I22" s="64"/>
      <c r="J22" s="64"/>
      <c r="K22" s="64"/>
    </row>
    <row r="23" spans="2:11">
      <c r="B23" s="144"/>
      <c r="C23" s="58" t="s">
        <v>30</v>
      </c>
      <c r="D23" s="145">
        <f>'Team D'!$J$16</f>
        <v>6.04</v>
      </c>
      <c r="E23" s="58"/>
      <c r="F23" s="58"/>
      <c r="G23" s="64"/>
      <c r="H23" s="64"/>
      <c r="I23" s="64"/>
      <c r="J23" s="64"/>
      <c r="K23" s="64"/>
    </row>
    <row r="24" spans="2:11">
      <c r="B24" s="58"/>
      <c r="C24" s="64"/>
      <c r="D24" s="64"/>
      <c r="E24" s="64"/>
      <c r="F24" s="64"/>
      <c r="G24" s="64"/>
      <c r="H24" s="64"/>
      <c r="I24" s="64"/>
      <c r="J24" s="64"/>
      <c r="K24" s="64"/>
    </row>
    <row r="25" spans="2:11">
      <c r="B25" s="58"/>
      <c r="C25" s="64"/>
      <c r="D25" s="64"/>
      <c r="E25" s="64"/>
      <c r="F25" s="64"/>
      <c r="G25" s="64"/>
      <c r="H25" s="64"/>
      <c r="I25" s="64"/>
      <c r="J25" s="64"/>
      <c r="K25" s="64"/>
    </row>
    <row r="26" spans="2:11">
      <c r="B26" s="64"/>
      <c r="C26" s="64"/>
      <c r="D26" s="64"/>
      <c r="E26" s="64"/>
      <c r="F26" s="64"/>
      <c r="G26" s="64"/>
      <c r="H26" s="64"/>
      <c r="I26" s="64"/>
      <c r="J26" s="64"/>
      <c r="K26" s="64"/>
    </row>
    <row r="27" spans="2:11">
      <c r="B27" s="64"/>
      <c r="C27" s="64"/>
      <c r="D27" s="64"/>
      <c r="E27" s="64"/>
      <c r="F27" s="64"/>
      <c r="G27" s="64"/>
      <c r="H27" s="64"/>
      <c r="I27" s="64"/>
      <c r="J27" s="64"/>
      <c r="K27" s="64"/>
    </row>
    <row r="28" spans="2:11">
      <c r="B28" s="64"/>
      <c r="C28" s="64"/>
      <c r="D28" s="64"/>
      <c r="E28" s="64"/>
      <c r="F28" s="64"/>
      <c r="G28" s="64"/>
      <c r="H28" s="64"/>
      <c r="I28" s="64"/>
      <c r="J28" s="64"/>
      <c r="K28" s="64"/>
    </row>
    <row r="29" spans="2:11">
      <c r="B29" s="64"/>
      <c r="C29" s="64"/>
      <c r="D29" s="64"/>
      <c r="E29" s="64"/>
      <c r="F29" s="64"/>
      <c r="G29" s="64"/>
      <c r="H29" s="64"/>
      <c r="I29" s="64"/>
      <c r="J29" s="64"/>
      <c r="K29" s="64"/>
    </row>
    <row r="30" spans="2:11">
      <c r="B30" s="64"/>
      <c r="C30" s="64"/>
      <c r="D30" s="64"/>
      <c r="E30" s="64"/>
      <c r="F30" s="64"/>
      <c r="G30" s="64"/>
      <c r="H30" s="64"/>
      <c r="I30" s="64"/>
      <c r="J30" s="64"/>
      <c r="K30" s="64"/>
    </row>
    <row r="31" spans="2:11">
      <c r="B31" s="64"/>
      <c r="C31" s="64"/>
      <c r="D31" s="64"/>
      <c r="E31" s="64"/>
      <c r="F31" s="64"/>
      <c r="G31" s="64"/>
      <c r="H31" s="64"/>
      <c r="I31" s="64"/>
      <c r="J31" s="64"/>
      <c r="K31" s="64"/>
    </row>
    <row r="32" spans="2:11">
      <c r="B32" s="64"/>
      <c r="C32" s="64"/>
      <c r="D32" s="64"/>
      <c r="E32" s="64"/>
      <c r="F32" s="64"/>
      <c r="G32" s="64"/>
      <c r="H32" s="64"/>
      <c r="I32" s="64"/>
      <c r="J32" s="64"/>
      <c r="K32" s="64"/>
    </row>
    <row r="33" spans="2:11">
      <c r="B33" s="64"/>
      <c r="C33" s="64"/>
      <c r="D33" s="64"/>
      <c r="E33" s="64"/>
      <c r="F33" s="64"/>
      <c r="G33" s="64"/>
      <c r="H33" s="64"/>
      <c r="I33" s="64"/>
      <c r="J33" s="64"/>
      <c r="K33" s="64"/>
    </row>
    <row r="34" spans="2:11">
      <c r="B34" s="64"/>
      <c r="C34" s="64"/>
      <c r="D34" s="64"/>
      <c r="E34" s="64"/>
      <c r="F34" s="64"/>
      <c r="G34" s="64"/>
      <c r="H34" s="64"/>
      <c r="I34" s="64"/>
      <c r="J34" s="64"/>
      <c r="K34" s="64"/>
    </row>
    <row r="35" spans="2:11">
      <c r="B35" s="64"/>
      <c r="C35" s="64"/>
      <c r="D35" s="64"/>
      <c r="E35" s="64"/>
      <c r="F35" s="64"/>
      <c r="G35" s="64"/>
      <c r="H35" s="64"/>
      <c r="I35" s="64"/>
      <c r="J35" s="64"/>
      <c r="K35" s="64"/>
    </row>
    <row r="36" spans="2:11">
      <c r="B36" s="64"/>
      <c r="C36" s="64"/>
      <c r="D36" s="64"/>
      <c r="E36" s="64"/>
      <c r="F36" s="64"/>
      <c r="G36" s="64"/>
      <c r="H36" s="64"/>
      <c r="I36" s="64"/>
      <c r="J36" s="64"/>
      <c r="K36" s="64"/>
    </row>
    <row r="37" spans="2:11">
      <c r="B37" s="64"/>
      <c r="C37" s="64"/>
      <c r="D37" s="64"/>
      <c r="E37" s="64"/>
      <c r="F37" s="64"/>
      <c r="G37" s="64"/>
      <c r="H37" s="64"/>
      <c r="I37" s="64"/>
      <c r="J37" s="64"/>
      <c r="K37" s="64"/>
    </row>
    <row r="38" spans="2:11">
      <c r="B38" s="64"/>
      <c r="C38" s="64"/>
      <c r="D38" s="64"/>
      <c r="E38" s="64"/>
      <c r="F38" s="64"/>
      <c r="G38" s="64"/>
      <c r="H38" s="64"/>
      <c r="I38" s="64"/>
      <c r="J38" s="64"/>
      <c r="K38" s="64"/>
    </row>
    <row r="39" spans="2:11">
      <c r="B39" s="64"/>
      <c r="C39" s="64"/>
      <c r="D39" s="64"/>
      <c r="E39" s="64"/>
      <c r="F39" s="64"/>
      <c r="G39" s="64"/>
      <c r="H39" s="64"/>
      <c r="I39" s="64"/>
      <c r="J39" s="64"/>
      <c r="K39" s="64"/>
    </row>
    <row r="40" spans="2:11">
      <c r="B40" s="64"/>
      <c r="C40" s="64"/>
      <c r="D40" s="64"/>
      <c r="E40" s="64"/>
      <c r="F40" s="64"/>
      <c r="G40" s="64"/>
      <c r="H40" s="64"/>
      <c r="I40" s="64"/>
      <c r="J40" s="64"/>
      <c r="K40" s="64"/>
    </row>
    <row r="41" spans="2:11">
      <c r="B41" s="64"/>
      <c r="C41" s="64"/>
      <c r="D41" s="64"/>
      <c r="E41" s="64"/>
      <c r="F41" s="64"/>
      <c r="G41" s="64"/>
      <c r="H41" s="64"/>
      <c r="I41" s="64"/>
      <c r="J41" s="64"/>
      <c r="K41" s="64"/>
    </row>
    <row r="42" spans="2:11">
      <c r="B42" s="64"/>
      <c r="C42" s="64"/>
      <c r="D42" s="64"/>
      <c r="E42" s="64"/>
      <c r="F42" s="64"/>
      <c r="G42" s="64"/>
      <c r="H42" s="64"/>
      <c r="I42" s="64"/>
      <c r="J42" s="64"/>
      <c r="K42" s="64"/>
    </row>
    <row r="43" spans="2:11">
      <c r="B43" s="64"/>
      <c r="C43" s="64"/>
      <c r="D43" s="64"/>
      <c r="E43" s="64"/>
      <c r="F43" s="64"/>
      <c r="G43" s="64"/>
      <c r="H43" s="64"/>
      <c r="I43" s="64"/>
      <c r="J43" s="64"/>
      <c r="K43" s="64"/>
    </row>
    <row r="44" spans="2:11">
      <c r="B44" s="64"/>
      <c r="C44" s="64"/>
      <c r="D44" s="64"/>
      <c r="E44" s="64"/>
      <c r="F44" s="64"/>
      <c r="G44" s="64"/>
      <c r="H44" s="64"/>
      <c r="I44" s="64"/>
      <c r="J44" s="64"/>
      <c r="K44" s="64"/>
    </row>
    <row r="45" spans="2:11">
      <c r="C45" s="64"/>
      <c r="D45" s="64"/>
      <c r="E45" s="64"/>
      <c r="F45" s="64"/>
      <c r="G45" s="64"/>
      <c r="H45" s="64"/>
      <c r="I45" s="64"/>
      <c r="J45" s="64"/>
      <c r="K45" s="64"/>
    </row>
    <row r="46" spans="2:11">
      <c r="C46" s="64"/>
      <c r="D46" s="64"/>
      <c r="E46" s="64"/>
      <c r="F46" s="64"/>
      <c r="G46" s="64"/>
      <c r="H46" s="64"/>
      <c r="I46" s="64"/>
      <c r="J46" s="64"/>
      <c r="K46" s="64"/>
    </row>
    <row r="47" spans="2:11">
      <c r="C47" s="64"/>
      <c r="D47" s="64"/>
      <c r="E47" s="64"/>
      <c r="F47" s="64"/>
      <c r="G47" s="64"/>
      <c r="H47" s="64"/>
      <c r="I47" s="64"/>
      <c r="J47" s="64"/>
      <c r="K47" s="64"/>
    </row>
    <row r="48" spans="2:11">
      <c r="C48" s="64"/>
      <c r="D48" s="64"/>
      <c r="E48" s="64"/>
      <c r="F48" s="64"/>
      <c r="G48" s="64"/>
      <c r="H48" s="64"/>
      <c r="I48" s="64"/>
      <c r="J48" s="64"/>
      <c r="K48" s="64"/>
    </row>
    <row r="49" spans="3:11">
      <c r="C49" s="64"/>
      <c r="D49" s="64"/>
      <c r="E49" s="64"/>
      <c r="F49" s="64"/>
      <c r="G49" s="64"/>
      <c r="H49" s="64"/>
      <c r="I49" s="64"/>
      <c r="J49" s="64"/>
      <c r="K49" s="64"/>
    </row>
    <row r="50" spans="3:11">
      <c r="C50" s="64"/>
      <c r="D50" s="64"/>
      <c r="E50" s="64"/>
      <c r="F50" s="64"/>
      <c r="G50" s="64"/>
      <c r="H50" s="64"/>
      <c r="I50" s="64"/>
      <c r="J50" s="64"/>
      <c r="K50" s="64"/>
    </row>
    <row r="51" spans="3:11">
      <c r="C51" s="64"/>
      <c r="D51" s="64"/>
      <c r="E51" s="64"/>
      <c r="F51" s="64"/>
      <c r="G51" s="64"/>
      <c r="H51" s="64"/>
      <c r="I51" s="64"/>
      <c r="J51" s="64"/>
      <c r="K51" s="64"/>
    </row>
    <row r="52" spans="3:11">
      <c r="C52" s="64"/>
      <c r="D52" s="64"/>
      <c r="E52" s="64"/>
      <c r="F52" s="64"/>
      <c r="G52" s="64"/>
      <c r="H52" s="64"/>
      <c r="I52" s="64"/>
      <c r="J52" s="64"/>
      <c r="K52" s="64"/>
    </row>
    <row r="53" spans="3:11">
      <c r="C53" s="64"/>
      <c r="D53" s="64"/>
      <c r="E53" s="64"/>
      <c r="F53" s="64"/>
      <c r="G53" s="64"/>
      <c r="H53" s="64"/>
      <c r="I53" s="64"/>
      <c r="J53" s="64"/>
      <c r="K53" s="64"/>
    </row>
    <row r="54" spans="3:11">
      <c r="C54" s="64"/>
      <c r="D54" s="64"/>
      <c r="E54" s="64"/>
      <c r="F54" s="64"/>
      <c r="G54" s="64"/>
      <c r="H54" s="64"/>
      <c r="I54" s="64"/>
      <c r="J54" s="64"/>
      <c r="K54" s="64"/>
    </row>
    <row r="55" spans="3:11">
      <c r="C55" s="64"/>
      <c r="D55" s="64"/>
      <c r="E55" s="64"/>
      <c r="F55" s="64"/>
      <c r="G55" s="64"/>
      <c r="H55" s="64"/>
      <c r="I55" s="64"/>
      <c r="J55" s="64"/>
      <c r="K55" s="64"/>
    </row>
    <row r="56" spans="3:11">
      <c r="C56" s="64"/>
      <c r="D56" s="64"/>
      <c r="E56" s="64"/>
      <c r="F56" s="64"/>
      <c r="G56" s="64"/>
      <c r="H56" s="64"/>
      <c r="I56" s="64"/>
      <c r="J56" s="64"/>
      <c r="K56" s="64"/>
    </row>
    <row r="57" spans="3:11">
      <c r="C57" s="64"/>
      <c r="D57" s="64"/>
      <c r="E57" s="64"/>
      <c r="F57" s="64"/>
      <c r="G57" s="64"/>
      <c r="H57" s="64"/>
      <c r="I57" s="64"/>
      <c r="J57" s="64"/>
      <c r="K57" s="64"/>
    </row>
    <row r="58" spans="3:11">
      <c r="C58" s="64"/>
      <c r="D58" s="64"/>
      <c r="E58" s="64"/>
      <c r="F58" s="64"/>
      <c r="G58" s="64"/>
      <c r="H58" s="64"/>
      <c r="I58" s="64"/>
      <c r="J58" s="64"/>
      <c r="K58" s="64"/>
    </row>
  </sheetData>
  <sheetProtection sheet="1" objects="1" scenarios="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5DA51-8C00-45A2-8C8D-CB8DAB34CEFC}">
  <sheetPr>
    <tabColor rgb="FFFF0000"/>
  </sheetPr>
  <dimension ref="A3:S26"/>
  <sheetViews>
    <sheetView zoomScale="68" zoomScaleNormal="68" workbookViewId="0">
      <selection activeCell="M12" sqref="M12"/>
    </sheetView>
  </sheetViews>
  <sheetFormatPr defaultColWidth="8.85546875" defaultRowHeight="15"/>
  <cols>
    <col min="2" max="2" width="27" bestFit="1" customWidth="1"/>
    <col min="3" max="3" width="9.7109375" bestFit="1" customWidth="1"/>
    <col min="5" max="5" width="13.140625" style="132" customWidth="1"/>
    <col min="6" max="6" width="11.140625" bestFit="1" customWidth="1"/>
    <col min="8" max="8" width="8.85546875" style="118"/>
    <col min="9" max="9" width="12.7109375" customWidth="1"/>
    <col min="10" max="10" width="11.42578125" bestFit="1" customWidth="1"/>
    <col min="11" max="11" width="9.7109375" bestFit="1" customWidth="1"/>
    <col min="12" max="12" width="9.7109375" customWidth="1"/>
    <col min="13" max="13" width="27" bestFit="1" customWidth="1"/>
    <col min="14" max="14" width="10.42578125" customWidth="1"/>
    <col min="15" max="15" width="8.7109375" bestFit="1" customWidth="1"/>
    <col min="16" max="16" width="13.140625" bestFit="1" customWidth="1"/>
    <col min="18" max="18" width="10.7109375" customWidth="1"/>
  </cols>
  <sheetData>
    <row r="3" spans="1:19">
      <c r="B3" s="119"/>
      <c r="C3" s="125" t="s">
        <v>32</v>
      </c>
      <c r="D3" s="125" t="s">
        <v>33</v>
      </c>
      <c r="E3" s="130" t="s">
        <v>34</v>
      </c>
      <c r="F3" s="125" t="s">
        <v>35</v>
      </c>
      <c r="G3" s="125" t="s">
        <v>36</v>
      </c>
      <c r="H3" s="120" t="s">
        <v>37</v>
      </c>
      <c r="I3" s="120" t="s">
        <v>38</v>
      </c>
      <c r="J3" s="125" t="s">
        <v>39</v>
      </c>
      <c r="P3" s="125" t="s">
        <v>40</v>
      </c>
      <c r="Q3" s="125" t="s">
        <v>41</v>
      </c>
      <c r="R3" s="125" t="s">
        <v>42</v>
      </c>
      <c r="S3" s="118"/>
    </row>
    <row r="4" spans="1:19" ht="15.75">
      <c r="A4" s="216">
        <v>1</v>
      </c>
      <c r="B4" s="121" t="s">
        <v>5</v>
      </c>
      <c r="C4" s="126">
        <f>'Summary Page'!S53/100</f>
        <v>1.0771945649991239</v>
      </c>
      <c r="D4" s="127">
        <f>'Summary Page'!S29</f>
        <v>-2.1562313231991053</v>
      </c>
      <c r="E4" s="131">
        <f>ABS('Summary Page'!S6)</f>
        <v>3.0557160664116718E-4</v>
      </c>
      <c r="F4" s="127">
        <f>ABS('Summary Page'!F78/100)</f>
        <v>8.548E-2</v>
      </c>
      <c r="G4" s="127">
        <f>'Summary Page'!$E$110</f>
        <v>18.999999999999982</v>
      </c>
      <c r="H4" s="124">
        <f>'Summary Page'!$E$111</f>
        <v>3.89</v>
      </c>
      <c r="I4" s="123">
        <f>'Team 1'!D18</f>
        <v>4.3709177868852499E-3</v>
      </c>
      <c r="J4">
        <f t="shared" ref="J4:J23" si="0">ABS((1-F4-D4)*G4*H4*I4)</f>
        <v>0.99202013660576516</v>
      </c>
      <c r="K4" s="128">
        <f>SUM(E4,F4,J4)</f>
        <v>1.0778057082124064</v>
      </c>
      <c r="L4" s="128"/>
      <c r="O4" s="121" t="s">
        <v>5</v>
      </c>
      <c r="P4" s="129">
        <f t="shared" ref="P4:P23" si="1">F4/K4</f>
        <v>7.9309284919053522E-2</v>
      </c>
      <c r="Q4" s="129">
        <f t="shared" ref="Q4:Q23" si="2">E4/K4</f>
        <v>2.8351270021381931E-4</v>
      </c>
      <c r="R4" s="129">
        <f t="shared" ref="R4:R23" si="3">J4/K4</f>
        <v>0.92040720238073259</v>
      </c>
      <c r="S4" s="129">
        <f>SUM(P4:R4)</f>
        <v>0.99999999999999989</v>
      </c>
    </row>
    <row r="5" spans="1:19" ht="15.75">
      <c r="A5" s="216"/>
      <c r="B5" s="122" t="s">
        <v>6</v>
      </c>
      <c r="C5" s="126">
        <f>'Summary Page'!S54/100</f>
        <v>5.0666666955326409</v>
      </c>
      <c r="D5" s="127">
        <f>'Summary Page'!S30</f>
        <v>-0.71606529209621994</v>
      </c>
      <c r="E5" s="131">
        <f>ABS('Summary Page'!S7)</f>
        <v>0.15762886597938144</v>
      </c>
      <c r="F5" s="127">
        <f>ABS('Summary Page'!F79/100)</f>
        <v>8.4000000000000005E-2</v>
      </c>
      <c r="G5" s="127">
        <f>'Summary Page'!$E$110</f>
        <v>18.999999999999982</v>
      </c>
      <c r="H5" s="124">
        <f>'Summary Page'!$E$111</f>
        <v>3.89</v>
      </c>
      <c r="I5" s="123">
        <f>'Team 1'!K18</f>
        <v>0.04</v>
      </c>
      <c r="J5">
        <f t="shared" si="0"/>
        <v>4.8250378295532599</v>
      </c>
      <c r="K5" s="128">
        <f t="shared" ref="K5:K23" si="4">SUM(E5,F5,J5)</f>
        <v>5.0666666955326409</v>
      </c>
      <c r="L5" s="128"/>
      <c r="O5" s="122" t="s">
        <v>6</v>
      </c>
      <c r="P5" s="129">
        <f t="shared" si="1"/>
        <v>1.657894727396695E-2</v>
      </c>
      <c r="Q5" s="129">
        <f t="shared" si="2"/>
        <v>3.1110960213421041E-2</v>
      </c>
      <c r="R5" s="129">
        <f t="shared" si="3"/>
        <v>0.95231009251261212</v>
      </c>
      <c r="S5" s="129">
        <f t="shared" ref="S5:S23" si="5">SUM(P5:R5)</f>
        <v>1</v>
      </c>
    </row>
    <row r="6" spans="1:19" ht="15.75">
      <c r="A6" s="216">
        <v>2</v>
      </c>
      <c r="B6" s="122" t="s">
        <v>8</v>
      </c>
      <c r="C6" s="126">
        <f>'Summary Page'!S55/100</f>
        <v>-155.21254300379096</v>
      </c>
      <c r="D6" s="127">
        <f>'Summary Page'!S31</f>
        <v>53.517303996308193</v>
      </c>
      <c r="E6" s="131">
        <f>ABS('Summary Page'!S8)</f>
        <v>4.9614530894443343E-2</v>
      </c>
      <c r="F6" s="127">
        <f>ABS('Summary Page'!F80/100)</f>
        <v>0</v>
      </c>
      <c r="G6" s="127">
        <f>'Summary Page'!$E$110</f>
        <v>18.999999999999982</v>
      </c>
      <c r="H6" s="124">
        <f>'Summary Page'!$E$111</f>
        <v>3.89</v>
      </c>
      <c r="I6" s="123">
        <f>'Team 2'!D18</f>
        <v>0.04</v>
      </c>
      <c r="J6">
        <f t="shared" si="0"/>
        <v>155.2621575346854</v>
      </c>
      <c r="K6" s="128">
        <f t="shared" si="4"/>
        <v>155.31177206557985</v>
      </c>
      <c r="L6" s="128"/>
      <c r="O6" s="122" t="s">
        <v>8</v>
      </c>
      <c r="P6" s="129">
        <f t="shared" si="1"/>
        <v>0</v>
      </c>
      <c r="Q6" s="129">
        <f t="shared" si="2"/>
        <v>3.1945119313617632E-4</v>
      </c>
      <c r="R6" s="129">
        <f t="shared" si="3"/>
        <v>0.99968054880686386</v>
      </c>
      <c r="S6" s="129">
        <f t="shared" si="5"/>
        <v>1</v>
      </c>
    </row>
    <row r="7" spans="1:19" ht="15.75">
      <c r="A7" s="216"/>
      <c r="B7" s="122" t="s">
        <v>9</v>
      </c>
      <c r="C7" s="126">
        <f>'Summary Page'!S56/100</f>
        <v>0.31977726844350329</v>
      </c>
      <c r="D7" s="127">
        <f>'Summary Page'!S32</f>
        <v>9.9648535340202855E-3</v>
      </c>
      <c r="E7" s="131">
        <f>ABS('Summary Page'!S9)</f>
        <v>5.8074074074074138E-5</v>
      </c>
      <c r="F7" s="127">
        <f>ABS('Summary Page'!F81/100)</f>
        <v>0</v>
      </c>
      <c r="G7" s="127">
        <f>'Summary Page'!$E$110</f>
        <v>18.999999999999982</v>
      </c>
      <c r="H7" s="124">
        <f>'Summary Page'!$E$111</f>
        <v>3.89</v>
      </c>
      <c r="I7" s="123">
        <f>'Team 2'!K18</f>
        <v>4.3709177868852499E-3</v>
      </c>
      <c r="J7">
        <f t="shared" si="0"/>
        <v>0.31983534251757739</v>
      </c>
      <c r="K7" s="128">
        <f t="shared" si="4"/>
        <v>0.31989341659165149</v>
      </c>
      <c r="L7" s="128"/>
      <c r="O7" s="122" t="s">
        <v>9</v>
      </c>
      <c r="P7" s="129">
        <f t="shared" si="1"/>
        <v>0</v>
      </c>
      <c r="Q7" s="129">
        <f t="shared" si="2"/>
        <v>1.8154194823023358E-4</v>
      </c>
      <c r="R7" s="129">
        <f t="shared" si="3"/>
        <v>0.99981845805176972</v>
      </c>
      <c r="S7" s="129">
        <f t="shared" si="5"/>
        <v>1</v>
      </c>
    </row>
    <row r="8" spans="1:19" ht="15.75">
      <c r="A8" s="216">
        <v>3</v>
      </c>
      <c r="B8" s="122" t="s">
        <v>11</v>
      </c>
      <c r="C8" s="126">
        <f>'Summary Page'!S57/100</f>
        <v>1.6356519361771666</v>
      </c>
      <c r="D8" s="127">
        <f>'Summary Page'!S33</f>
        <v>-3.0141384437208974E-2</v>
      </c>
      <c r="E8" s="131">
        <f>ABS('Summary Page'!S10)</f>
        <v>7.4129094425785368E-3</v>
      </c>
      <c r="F8" s="127">
        <f>ABS('Summary Page'!F82/100)</f>
        <v>0.14580000000000001</v>
      </c>
      <c r="G8" s="127">
        <f>'Summary Page'!$E$110</f>
        <v>18.999999999999982</v>
      </c>
      <c r="H8" s="124">
        <f>'Summary Page'!$E$111</f>
        <v>3.89</v>
      </c>
      <c r="I8" s="123">
        <f>'Team 3'!D18</f>
        <v>2.2680555555555554E-2</v>
      </c>
      <c r="J8">
        <f t="shared" si="0"/>
        <v>1.4824390267345882</v>
      </c>
      <c r="K8" s="128">
        <f t="shared" si="4"/>
        <v>1.6356519361771666</v>
      </c>
      <c r="L8" s="128"/>
      <c r="O8" s="122" t="s">
        <v>11</v>
      </c>
      <c r="P8" s="129">
        <f t="shared" si="1"/>
        <v>8.9138768936845247E-2</v>
      </c>
      <c r="Q8" s="129">
        <f t="shared" si="2"/>
        <v>4.5320824550875612E-3</v>
      </c>
      <c r="R8" s="129">
        <f t="shared" si="3"/>
        <v>0.90632914860806724</v>
      </c>
      <c r="S8" s="129">
        <f t="shared" si="5"/>
        <v>1</v>
      </c>
    </row>
    <row r="9" spans="1:19" ht="15.75">
      <c r="A9" s="216"/>
      <c r="B9" s="122" t="s">
        <v>29</v>
      </c>
      <c r="C9" s="126">
        <f>'Summary Page'!S58/100</f>
        <v>-0.53548785830023748</v>
      </c>
      <c r="D9" s="127">
        <f>'Summary Page'!S34</f>
        <v>1.3644583155773151</v>
      </c>
      <c r="E9" s="131">
        <f>ABS('Summary Page'!S11)</f>
        <v>6.667910970090056E-2</v>
      </c>
      <c r="F9" s="127">
        <f>ABS('Summary Page'!F83/100)</f>
        <v>6.0400000000000002E-2</v>
      </c>
      <c r="G9" s="127">
        <f>'Summary Page'!$E$110</f>
        <v>18.999999999999982</v>
      </c>
      <c r="H9" s="124">
        <f>'Summary Page'!$E$111</f>
        <v>3.89</v>
      </c>
      <c r="I9" s="123">
        <f>'Team 3'!K18</f>
        <v>2.1100000000000001E-2</v>
      </c>
      <c r="J9">
        <f t="shared" si="0"/>
        <v>0.66256696800113801</v>
      </c>
      <c r="K9" s="128">
        <f t="shared" si="4"/>
        <v>0.78964607770203854</v>
      </c>
      <c r="L9" s="128"/>
      <c r="O9" s="122" t="s">
        <v>29</v>
      </c>
      <c r="P9" s="129">
        <f t="shared" si="1"/>
        <v>7.64899639288667E-2</v>
      </c>
      <c r="Q9" s="129">
        <f t="shared" si="2"/>
        <v>8.4441766487265396E-2</v>
      </c>
      <c r="R9" s="129">
        <f t="shared" si="3"/>
        <v>0.83906826958386793</v>
      </c>
      <c r="S9" s="129">
        <f t="shared" si="5"/>
        <v>1</v>
      </c>
    </row>
    <row r="10" spans="1:19" ht="15.75">
      <c r="A10" s="216">
        <v>4</v>
      </c>
      <c r="B10" s="122" t="s">
        <v>14</v>
      </c>
      <c r="C10" s="126">
        <f>'Summary Page'!S59/100</f>
        <v>-0.22247970297029679</v>
      </c>
      <c r="D10" s="127">
        <f>'Summary Page'!S35</f>
        <v>1.6154247003647733</v>
      </c>
      <c r="E10" s="131">
        <f>ABS('Summary Page'!S12)</f>
        <v>4.9504950495049506E-3</v>
      </c>
      <c r="F10" s="127">
        <f>ABS('Summary Page'!F84/100)</f>
        <v>0</v>
      </c>
      <c r="G10" s="127">
        <f>'Summary Page'!$E$110</f>
        <v>18.999999999999982</v>
      </c>
      <c r="H10" s="124">
        <f>'Summary Page'!$E$111</f>
        <v>3.89</v>
      </c>
      <c r="I10" s="123">
        <f>'Team 4'!D18</f>
        <v>5.0000000000000001E-3</v>
      </c>
      <c r="J10">
        <f t="shared" si="0"/>
        <v>0.22743019801980174</v>
      </c>
      <c r="K10" s="128">
        <f t="shared" si="4"/>
        <v>0.2323806930693067</v>
      </c>
      <c r="L10" s="128"/>
      <c r="O10" s="122" t="s">
        <v>14</v>
      </c>
      <c r="P10" s="129">
        <f t="shared" si="1"/>
        <v>0</v>
      </c>
      <c r="Q10" s="129">
        <f t="shared" si="2"/>
        <v>2.1303383616419817E-2</v>
      </c>
      <c r="R10" s="129">
        <f t="shared" si="3"/>
        <v>0.97869661638358019</v>
      </c>
      <c r="S10" s="129">
        <f t="shared" si="5"/>
        <v>1</v>
      </c>
    </row>
    <row r="11" spans="1:19" ht="15.75">
      <c r="A11" s="216"/>
      <c r="B11" s="122" t="s">
        <v>15</v>
      </c>
      <c r="C11" s="126">
        <f>'Summary Page'!S60/100</f>
        <v>0.76757971126835245</v>
      </c>
      <c r="D11" s="127">
        <f>'Summary Page'!S36</f>
        <v>7.3440410493540886E-2</v>
      </c>
      <c r="E11" s="131">
        <f>ABS('Summary Page'!S13)</f>
        <v>2.6555086487092322E-3</v>
      </c>
      <c r="F11" s="127">
        <f>ABS('Summary Page'!F85/100)</f>
        <v>0.2</v>
      </c>
      <c r="G11" s="127">
        <f>'Summary Page'!$E$110</f>
        <v>18.999999999999982</v>
      </c>
      <c r="H11" s="124">
        <f>'Summary Page'!$E$111</f>
        <v>3.89</v>
      </c>
      <c r="I11" s="123">
        <f>'Team 4'!K18</f>
        <v>1.052E-2</v>
      </c>
      <c r="J11">
        <f t="shared" si="0"/>
        <v>0.56492420261964316</v>
      </c>
      <c r="K11" s="128">
        <f t="shared" si="4"/>
        <v>0.76757971126835245</v>
      </c>
      <c r="L11" s="128"/>
      <c r="O11" s="122" t="s">
        <v>15</v>
      </c>
      <c r="P11" s="129">
        <f t="shared" si="1"/>
        <v>0.26055925796881607</v>
      </c>
      <c r="Q11" s="129">
        <f t="shared" si="2"/>
        <v>3.4595868151872551E-3</v>
      </c>
      <c r="R11" s="129">
        <f t="shared" si="3"/>
        <v>0.73598115521599661</v>
      </c>
      <c r="S11" s="129">
        <f t="shared" si="5"/>
        <v>1</v>
      </c>
    </row>
    <row r="12" spans="1:19" ht="15.75">
      <c r="A12" s="216">
        <v>5</v>
      </c>
      <c r="B12" s="122" t="s">
        <v>14</v>
      </c>
      <c r="C12" s="126">
        <f>'Summary Page'!S61/100</f>
        <v>-3.8395916071428537</v>
      </c>
      <c r="D12" s="127">
        <f>'Summary Page'!S37</f>
        <v>11.510714285714286</v>
      </c>
      <c r="E12" s="131">
        <f>ABS('Summary Page'!S14)</f>
        <v>4.4642857142857144E-2</v>
      </c>
      <c r="F12" s="127">
        <f>ABS('Summary Page'!F86/100)</f>
        <v>0</v>
      </c>
      <c r="G12" s="127">
        <f>'Summary Page'!$E$110</f>
        <v>18.999999999999982</v>
      </c>
      <c r="H12" s="124">
        <f>'Summary Page'!$E$111</f>
        <v>3.89</v>
      </c>
      <c r="I12" s="123">
        <f>'Team 5'!D18</f>
        <v>5.0000000000000001E-3</v>
      </c>
      <c r="J12">
        <f t="shared" si="0"/>
        <v>3.884234464285711</v>
      </c>
      <c r="K12" s="128">
        <f t="shared" si="4"/>
        <v>3.9288773214285682</v>
      </c>
      <c r="L12" s="128"/>
      <c r="O12" s="122" t="s">
        <v>14</v>
      </c>
      <c r="P12" s="129">
        <f t="shared" si="1"/>
        <v>0</v>
      </c>
      <c r="Q12" s="129">
        <f t="shared" si="2"/>
        <v>1.1362751618476262E-2</v>
      </c>
      <c r="R12" s="129">
        <f t="shared" si="3"/>
        <v>0.98863724838152367</v>
      </c>
      <c r="S12" s="129">
        <f t="shared" si="5"/>
        <v>0.99999999999999989</v>
      </c>
    </row>
    <row r="13" spans="1:19" ht="15.75">
      <c r="A13" s="216"/>
      <c r="B13" s="122" t="s">
        <v>30</v>
      </c>
      <c r="C13" s="126">
        <f>'Summary Page'!S62/100</f>
        <v>6.427255189076682</v>
      </c>
      <c r="D13" s="127">
        <f>'Summary Page'!S38</f>
        <v>-3.1430233449524487</v>
      </c>
      <c r="E13" s="131">
        <f>ABS('Summary Page'!S15)</f>
        <v>0</v>
      </c>
      <c r="F13" s="127">
        <f>ABS('Summary Page'!F87/100)</f>
        <v>6.0400000000000002E-2</v>
      </c>
      <c r="G13" s="127">
        <f>'Summary Page'!$E$110</f>
        <v>18.999999999999982</v>
      </c>
      <c r="H13" s="124">
        <f>'Summary Page'!$E$111</f>
        <v>3.89</v>
      </c>
      <c r="I13" s="123">
        <f>'Team 5'!K18</f>
        <v>2.1100000000000001E-2</v>
      </c>
      <c r="J13">
        <f t="shared" si="0"/>
        <v>6.3668551890766825</v>
      </c>
      <c r="K13" s="128">
        <f t="shared" si="4"/>
        <v>6.427255189076682</v>
      </c>
      <c r="L13" s="128"/>
      <c r="O13" s="122" t="s">
        <v>30</v>
      </c>
      <c r="P13" s="129">
        <f t="shared" si="1"/>
        <v>9.3974796741619435E-3</v>
      </c>
      <c r="Q13" s="129">
        <f t="shared" si="2"/>
        <v>0</v>
      </c>
      <c r="R13" s="129">
        <f t="shared" si="3"/>
        <v>0.99060252032583818</v>
      </c>
      <c r="S13" s="129">
        <f t="shared" si="5"/>
        <v>1.0000000000000002</v>
      </c>
    </row>
    <row r="14" spans="1:19" ht="15.75">
      <c r="A14" s="216">
        <v>6</v>
      </c>
      <c r="B14" s="122" t="s">
        <v>19</v>
      </c>
      <c r="C14" s="126">
        <f>'Summary Page'!S63/100</f>
        <v>1.4875419592646839</v>
      </c>
      <c r="D14" s="127">
        <f>'Summary Page'!S39</f>
        <v>0.50860072775388676</v>
      </c>
      <c r="E14" s="131">
        <f>ABS('Summary Page'!S16)</f>
        <v>3.4769150796276169E-2</v>
      </c>
      <c r="F14" s="127">
        <f>ABS('Summary Page'!F88/100)</f>
        <v>0</v>
      </c>
      <c r="G14" s="127">
        <f>'Summary Page'!$E$110</f>
        <v>18.999999999999982</v>
      </c>
      <c r="H14" s="124">
        <f>'Summary Page'!$E$111</f>
        <v>3.89</v>
      </c>
      <c r="I14" s="123">
        <f>'Team 6'!D18</f>
        <v>0.04</v>
      </c>
      <c r="J14">
        <f t="shared" si="0"/>
        <v>1.4527728084684077</v>
      </c>
      <c r="K14" s="128">
        <f t="shared" si="4"/>
        <v>1.4875419592646839</v>
      </c>
      <c r="L14" s="128"/>
      <c r="O14" s="122" t="s">
        <v>19</v>
      </c>
      <c r="P14" s="129">
        <f t="shared" si="1"/>
        <v>0</v>
      </c>
      <c r="Q14" s="129">
        <f t="shared" si="2"/>
        <v>2.3373559703460816E-2</v>
      </c>
      <c r="R14" s="129">
        <f t="shared" si="3"/>
        <v>0.97662644029653922</v>
      </c>
      <c r="S14" s="129">
        <f t="shared" si="5"/>
        <v>1</v>
      </c>
    </row>
    <row r="15" spans="1:19" ht="15.75">
      <c r="A15" s="216"/>
      <c r="B15" s="122" t="s">
        <v>20</v>
      </c>
      <c r="C15" s="126">
        <f>'Summary Page'!S64/100</f>
        <v>1.5826053500093238</v>
      </c>
      <c r="D15" s="127">
        <f>'Summary Page'!S40</f>
        <v>5.8689362566205661E-2</v>
      </c>
      <c r="E15" s="131">
        <f>ABS('Summary Page'!S17)</f>
        <v>4.6676330038959409E-3</v>
      </c>
      <c r="F15" s="127">
        <f>ABS('Summary Page'!F89/100)</f>
        <v>0</v>
      </c>
      <c r="G15" s="127">
        <f>'Summary Page'!$E$110</f>
        <v>18.999999999999982</v>
      </c>
      <c r="H15" s="124">
        <f>'Summary Page'!$E$111</f>
        <v>3.89</v>
      </c>
      <c r="I15" s="123">
        <f>'Team 6'!K18</f>
        <v>2.2680555555555554E-2</v>
      </c>
      <c r="J15">
        <f t="shared" si="0"/>
        <v>1.5779377170054278</v>
      </c>
      <c r="K15" s="128">
        <f t="shared" si="4"/>
        <v>1.5826053500093238</v>
      </c>
      <c r="L15" s="128"/>
      <c r="O15" s="122" t="s">
        <v>20</v>
      </c>
      <c r="P15" s="129">
        <f t="shared" si="1"/>
        <v>0</v>
      </c>
      <c r="Q15" s="129">
        <f t="shared" si="2"/>
        <v>2.949334781326527E-3</v>
      </c>
      <c r="R15" s="129">
        <f t="shared" si="3"/>
        <v>0.99705066521867347</v>
      </c>
      <c r="S15" s="129">
        <f t="shared" si="5"/>
        <v>1</v>
      </c>
    </row>
    <row r="16" spans="1:19" ht="15.75">
      <c r="A16" s="216" t="s">
        <v>43</v>
      </c>
      <c r="B16" s="122" t="s">
        <v>11</v>
      </c>
      <c r="C16" s="126">
        <f>'Summary Page'!S65/100</f>
        <v>1.9735662914858982</v>
      </c>
      <c r="D16" s="127">
        <f>'Summary Page'!S41</f>
        <v>-0.22427880496218858</v>
      </c>
      <c r="E16" s="131">
        <f>ABS('Summary Page'!S18)</f>
        <v>1.1084598698481564E-2</v>
      </c>
      <c r="F16" s="127">
        <f>ABS('Summary Page'!F90/100)</f>
        <v>0.1</v>
      </c>
      <c r="G16" s="127">
        <f>'Summary Page'!$E$110</f>
        <v>18.999999999999982</v>
      </c>
      <c r="H16" s="124">
        <f>'Summary Page'!$E$111</f>
        <v>3.89</v>
      </c>
      <c r="I16" s="123">
        <f>'Team A'!D18</f>
        <v>2.2680555555555554E-2</v>
      </c>
      <c r="J16">
        <f t="shared" si="0"/>
        <v>1.8846508901843799</v>
      </c>
      <c r="K16" s="128">
        <f t="shared" si="4"/>
        <v>1.9957354888828616</v>
      </c>
      <c r="L16" s="128"/>
      <c r="O16" s="122" t="s">
        <v>11</v>
      </c>
      <c r="P16" s="129">
        <f t="shared" si="1"/>
        <v>5.0106840589369026E-2</v>
      </c>
      <c r="Q16" s="129">
        <f t="shared" si="2"/>
        <v>5.5541421998194307E-3</v>
      </c>
      <c r="R16" s="129">
        <f t="shared" si="3"/>
        <v>0.94433901721081148</v>
      </c>
      <c r="S16" s="129">
        <f t="shared" si="5"/>
        <v>0.99999999999999989</v>
      </c>
    </row>
    <row r="17" spans="1:19" ht="15.75">
      <c r="A17" s="216"/>
      <c r="B17" s="122" t="s">
        <v>22</v>
      </c>
      <c r="C17" s="126">
        <f>'Summary Page'!S66/100</f>
        <v>-0.67326009586215219</v>
      </c>
      <c r="D17" s="127">
        <f>'Summary Page'!S42</f>
        <v>2.8588763499575296</v>
      </c>
      <c r="E17" s="131">
        <f>ABS('Summary Page'!S19)</f>
        <v>1.3687659264652348E-2</v>
      </c>
      <c r="F17" s="127">
        <f>ABS('Summary Page'!F91/100)</f>
        <v>0</v>
      </c>
      <c r="G17" s="127">
        <f>'Summary Page'!$E$110</f>
        <v>18.999999999999982</v>
      </c>
      <c r="H17" s="124">
        <f>'Summary Page'!$E$111</f>
        <v>3.89</v>
      </c>
      <c r="I17" s="123">
        <f>'Team A'!K18</f>
        <v>5.0000000000000001E-3</v>
      </c>
      <c r="J17">
        <f t="shared" si="0"/>
        <v>0.6869477551268045</v>
      </c>
      <c r="K17" s="128">
        <f t="shared" si="4"/>
        <v>0.70063541439145682</v>
      </c>
      <c r="L17" s="128"/>
      <c r="O17" s="122" t="s">
        <v>22</v>
      </c>
      <c r="P17" s="129">
        <f t="shared" si="1"/>
        <v>0</v>
      </c>
      <c r="Q17" s="129">
        <f t="shared" si="2"/>
        <v>1.9536065382222918E-2</v>
      </c>
      <c r="R17" s="129">
        <f t="shared" si="3"/>
        <v>0.98046393461777714</v>
      </c>
      <c r="S17" s="129">
        <f t="shared" si="5"/>
        <v>1</v>
      </c>
    </row>
    <row r="18" spans="1:19" ht="15.75">
      <c r="A18" s="216" t="s">
        <v>44</v>
      </c>
      <c r="B18" s="122" t="s">
        <v>24</v>
      </c>
      <c r="C18" s="126">
        <f>'Summary Page'!S67/100</f>
        <v>1.478772331565154</v>
      </c>
      <c r="D18" s="127">
        <f>'Summary Page'!S43</f>
        <v>0.1206645414932114</v>
      </c>
      <c r="E18" s="131">
        <f>ABS('Summary Page'!S20)</f>
        <v>4.7248378909800371E-3</v>
      </c>
      <c r="F18" s="127">
        <f>ABS('Summary Page'!F92/100)</f>
        <v>0</v>
      </c>
      <c r="G18" s="127">
        <f>'Summary Page'!$E$110</f>
        <v>18.999999999999982</v>
      </c>
      <c r="H18" s="124">
        <f>'Summary Page'!$E$111</f>
        <v>3.89</v>
      </c>
      <c r="I18" s="123">
        <f>'Team B'!D18</f>
        <v>2.2680555555555554E-2</v>
      </c>
      <c r="J18">
        <f t="shared" si="0"/>
        <v>1.4740474936741736</v>
      </c>
      <c r="K18" s="128">
        <f t="shared" si="4"/>
        <v>1.4787723315651538</v>
      </c>
      <c r="L18" s="128"/>
      <c r="O18" s="122" t="s">
        <v>24</v>
      </c>
      <c r="P18" s="129">
        <f t="shared" si="1"/>
        <v>0</v>
      </c>
      <c r="Q18" s="129">
        <f t="shared" si="2"/>
        <v>3.1951083950693079E-3</v>
      </c>
      <c r="R18" s="129">
        <f t="shared" si="3"/>
        <v>0.99680489160493069</v>
      </c>
      <c r="S18" s="129">
        <f t="shared" si="5"/>
        <v>1</v>
      </c>
    </row>
    <row r="19" spans="1:19" ht="15.75">
      <c r="A19" s="216"/>
      <c r="B19" s="122" t="s">
        <v>25</v>
      </c>
      <c r="C19" s="126">
        <f>'Summary Page'!S68/100</f>
        <v>-0.27340691056910038</v>
      </c>
      <c r="D19" s="127">
        <f>'Summary Page'!S44</f>
        <v>1.0924796747967462</v>
      </c>
      <c r="E19" s="131">
        <f>ABS('Summary Page'!S21)</f>
        <v>0</v>
      </c>
      <c r="F19" s="127">
        <f>ABS('Summary Page'!F93/100)</f>
        <v>0</v>
      </c>
      <c r="G19" s="127">
        <f>'Summary Page'!$E$110</f>
        <v>18.999999999999982</v>
      </c>
      <c r="H19" s="124">
        <f>'Summary Page'!$E$111</f>
        <v>3.89</v>
      </c>
      <c r="I19" s="123">
        <f>'Team B'!K18</f>
        <v>0.04</v>
      </c>
      <c r="J19">
        <f t="shared" si="0"/>
        <v>0.27340691056910038</v>
      </c>
      <c r="K19" s="128">
        <f t="shared" si="4"/>
        <v>0.27340691056910038</v>
      </c>
      <c r="L19" s="128"/>
      <c r="O19" s="122" t="s">
        <v>25</v>
      </c>
      <c r="P19" s="129">
        <f t="shared" si="1"/>
        <v>0</v>
      </c>
      <c r="Q19" s="129">
        <f t="shared" si="2"/>
        <v>0</v>
      </c>
      <c r="R19" s="129">
        <f t="shared" si="3"/>
        <v>1</v>
      </c>
      <c r="S19" s="129">
        <f t="shared" si="5"/>
        <v>1</v>
      </c>
    </row>
    <row r="20" spans="1:19" ht="15.75">
      <c r="A20" s="216" t="s">
        <v>45</v>
      </c>
      <c r="B20" s="122" t="s">
        <v>19</v>
      </c>
      <c r="C20" s="126">
        <f>'Summary Page'!S69/100</f>
        <v>0.25702679199786355</v>
      </c>
      <c r="D20" s="127">
        <f>'Summary Page'!S45</f>
        <v>0.82811248763483891</v>
      </c>
      <c r="E20" s="131">
        <f>ABS('Summary Page'!S22)</f>
        <v>1.6907051282051277E-2</v>
      </c>
      <c r="F20" s="127">
        <f>ABS('Summary Page'!F94/100)</f>
        <v>7.0999999999999994E-2</v>
      </c>
      <c r="G20" s="127">
        <f>'Summary Page'!$E$110</f>
        <v>18.999999999999982</v>
      </c>
      <c r="H20" s="124">
        <f>'Summary Page'!$E$111</f>
        <v>3.89</v>
      </c>
      <c r="I20" s="123">
        <f>'Team C'!D18</f>
        <v>2.2680555555555554E-2</v>
      </c>
      <c r="J20">
        <f t="shared" si="0"/>
        <v>0.16911974071581226</v>
      </c>
      <c r="K20" s="128">
        <f t="shared" si="4"/>
        <v>0.25702679199786355</v>
      </c>
      <c r="L20" s="128"/>
      <c r="O20" s="122" t="s">
        <v>19</v>
      </c>
      <c r="P20" s="129">
        <f t="shared" si="1"/>
        <v>0.27623579412915894</v>
      </c>
      <c r="Q20" s="129">
        <f t="shared" si="2"/>
        <v>6.5779334327885214E-2</v>
      </c>
      <c r="R20" s="129">
        <f t="shared" si="3"/>
        <v>0.65798487154295582</v>
      </c>
      <c r="S20" s="129">
        <f t="shared" si="5"/>
        <v>1</v>
      </c>
    </row>
    <row r="21" spans="1:19" ht="15.75">
      <c r="A21" s="216"/>
      <c r="B21" s="122" t="s">
        <v>27</v>
      </c>
      <c r="C21" s="126">
        <f>'Summary Page'!S70/100</f>
        <v>0.40277348542402613</v>
      </c>
      <c r="D21" s="127">
        <f>'Summary Page'!S46</f>
        <v>0.67491206019045646</v>
      </c>
      <c r="E21" s="131">
        <f>ABS('Summary Page'!S23)</f>
        <v>7.6987182031032974E-3</v>
      </c>
      <c r="F21" s="127">
        <f>ABS('Summary Page'!F95/100)</f>
        <v>0.2</v>
      </c>
      <c r="G21" s="127">
        <f>'Summary Page'!$E$110</f>
        <v>18.999999999999982</v>
      </c>
      <c r="H21" s="124">
        <f>'Summary Page'!$E$111</f>
        <v>3.89</v>
      </c>
      <c r="I21" s="123">
        <f>'Team C'!K18</f>
        <v>2.1100000000000001E-2</v>
      </c>
      <c r="J21">
        <f t="shared" si="0"/>
        <v>0.19507476722092285</v>
      </c>
      <c r="K21" s="128">
        <f t="shared" si="4"/>
        <v>0.40277348542402613</v>
      </c>
      <c r="L21" s="128"/>
      <c r="O21" s="122" t="s">
        <v>27</v>
      </c>
      <c r="P21" s="129">
        <f t="shared" si="1"/>
        <v>0.49655701588560841</v>
      </c>
      <c r="Q21" s="129">
        <f t="shared" si="2"/>
        <v>1.9114262685385932E-2</v>
      </c>
      <c r="R21" s="129">
        <f t="shared" si="3"/>
        <v>0.48432872142900574</v>
      </c>
      <c r="S21" s="129">
        <f t="shared" si="5"/>
        <v>1</v>
      </c>
    </row>
    <row r="22" spans="1:19" ht="15.75">
      <c r="A22" s="216" t="s">
        <v>46</v>
      </c>
      <c r="B22" s="122" t="s">
        <v>8</v>
      </c>
      <c r="C22" s="126">
        <f>'Summary Page'!S71/100</f>
        <v>9.9475598816029048E-2</v>
      </c>
      <c r="D22" s="127">
        <f>'Summary Page'!S47</f>
        <v>0.90349653157720378</v>
      </c>
      <c r="E22" s="131">
        <f>ABS('Summary Page'!S24)</f>
        <v>6.2295081967213069E-2</v>
      </c>
      <c r="F22" s="127">
        <f>ABS('Summary Page'!F96/100)</f>
        <v>0</v>
      </c>
      <c r="G22" s="127">
        <f>'Summary Page'!$E$110</f>
        <v>18.999999999999982</v>
      </c>
      <c r="H22" s="124">
        <f>'Summary Page'!$E$111</f>
        <v>3.89</v>
      </c>
      <c r="I22" s="123">
        <f>'Team D'!D18</f>
        <v>2.2680555555555554E-2</v>
      </c>
      <c r="J22">
        <f t="shared" si="0"/>
        <v>0.16177068078324211</v>
      </c>
      <c r="K22" s="128">
        <f t="shared" si="4"/>
        <v>0.22406576275045517</v>
      </c>
      <c r="L22" s="128"/>
      <c r="O22" s="122" t="s">
        <v>8</v>
      </c>
      <c r="P22" s="129">
        <f t="shared" si="1"/>
        <v>0</v>
      </c>
      <c r="Q22" s="129">
        <f t="shared" si="2"/>
        <v>0.27802142193670115</v>
      </c>
      <c r="R22" s="129">
        <f t="shared" si="3"/>
        <v>0.7219785780632989</v>
      </c>
      <c r="S22" s="129">
        <f t="shared" si="5"/>
        <v>1</v>
      </c>
    </row>
    <row r="23" spans="1:19" ht="15.75">
      <c r="A23" s="216"/>
      <c r="B23" s="122" t="s">
        <v>30</v>
      </c>
      <c r="C23" s="126">
        <f>'Summary Page'!S72/100</f>
        <v>2.1666729274433241</v>
      </c>
      <c r="D23" s="127">
        <f>'Summary Page'!S48</f>
        <v>-0.46000306016220166</v>
      </c>
      <c r="E23" s="131">
        <f>ABS('Summary Page'!S25)</f>
        <v>7.6409444482687411E-2</v>
      </c>
      <c r="F23" s="127">
        <f>ABS('Summary Page'!F97/100)</f>
        <v>6.0400000000000002E-2</v>
      </c>
      <c r="G23" s="127">
        <f>'Summary Page'!$E$110</f>
        <v>18.999999999999982</v>
      </c>
      <c r="H23" s="124">
        <f>'Summary Page'!$E$111</f>
        <v>3.89</v>
      </c>
      <c r="I23" s="123">
        <f>'Team D'!K18</f>
        <v>2.1100000000000001E-2</v>
      </c>
      <c r="J23">
        <f t="shared" si="0"/>
        <v>2.1826823719260116</v>
      </c>
      <c r="K23" s="128">
        <f t="shared" si="4"/>
        <v>2.3194918164086991</v>
      </c>
      <c r="L23" s="128"/>
      <c r="O23" s="122" t="s">
        <v>30</v>
      </c>
      <c r="P23" s="129">
        <f t="shared" si="1"/>
        <v>2.604018672224425E-2</v>
      </c>
      <c r="Q23" s="129">
        <f t="shared" si="2"/>
        <v>3.294232121973735E-2</v>
      </c>
      <c r="R23" s="129">
        <f t="shared" si="3"/>
        <v>0.94101749205801832</v>
      </c>
      <c r="S23" s="129">
        <f t="shared" si="5"/>
        <v>0.99999999999999989</v>
      </c>
    </row>
    <row r="24" spans="1:19">
      <c r="C24" s="117"/>
    </row>
    <row r="25" spans="1:19">
      <c r="C25" s="117"/>
    </row>
    <row r="26" spans="1:19">
      <c r="C26" s="117"/>
    </row>
  </sheetData>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310E-10F8-491E-9225-3AD7CC221F3E}">
  <sheetPr>
    <tabColor rgb="FFFF0000"/>
  </sheetPr>
  <dimension ref="A3:AO81"/>
  <sheetViews>
    <sheetView showGridLines="0" zoomScale="71" zoomScaleNormal="71" workbookViewId="0">
      <selection activeCell="AD52" sqref="AD52"/>
    </sheetView>
  </sheetViews>
  <sheetFormatPr defaultColWidth="8.85546875" defaultRowHeight="15"/>
  <cols>
    <col min="2" max="2" width="27" bestFit="1" customWidth="1"/>
    <col min="3" max="3" width="12.85546875" bestFit="1" customWidth="1"/>
    <col min="4" max="4" width="15.85546875" bestFit="1" customWidth="1"/>
    <col min="5" max="5" width="10.5703125" style="132" bestFit="1" customWidth="1"/>
    <col min="6" max="6" width="14" bestFit="1" customWidth="1"/>
    <col min="7" max="7" width="9.42578125" bestFit="1" customWidth="1"/>
    <col min="8" max="8" width="8.85546875" style="118"/>
    <col min="9" max="9" width="14.5703125" customWidth="1"/>
    <col min="10" max="10" width="20" bestFit="1" customWidth="1"/>
    <col min="11" max="11" width="9.7109375" bestFit="1" customWidth="1"/>
    <col min="12" max="13" width="9.7109375" customWidth="1"/>
    <col min="14" max="14" width="27" bestFit="1" customWidth="1"/>
    <col min="15" max="15" width="10.42578125" customWidth="1"/>
    <col min="16" max="16" width="14.42578125" customWidth="1"/>
    <col min="17" max="17" width="13.140625" bestFit="1" customWidth="1"/>
    <col min="18" max="18" width="9.42578125" bestFit="1" customWidth="1"/>
    <col min="21" max="21" width="29.7109375" bestFit="1" customWidth="1"/>
    <col min="22" max="22" width="23.28515625" style="118" customWidth="1"/>
    <col min="23" max="23" width="18.42578125" style="118" customWidth="1"/>
    <col min="24" max="24" width="15.28515625" style="118" bestFit="1" customWidth="1"/>
  </cols>
  <sheetData>
    <row r="3" spans="1:24">
      <c r="A3" s="149"/>
      <c r="B3" s="149"/>
      <c r="C3" s="150" t="s">
        <v>32</v>
      </c>
      <c r="D3" s="150" t="s">
        <v>33</v>
      </c>
      <c r="E3" s="151" t="s">
        <v>34</v>
      </c>
      <c r="F3" s="150" t="s">
        <v>35</v>
      </c>
      <c r="G3" s="150" t="s">
        <v>36</v>
      </c>
      <c r="H3" s="136" t="s">
        <v>37</v>
      </c>
      <c r="I3" s="136" t="s">
        <v>38</v>
      </c>
      <c r="J3" s="150" t="s">
        <v>47</v>
      </c>
      <c r="K3" s="119"/>
      <c r="L3" s="119"/>
      <c r="M3" s="119"/>
      <c r="N3" s="149"/>
      <c r="O3" s="150" t="s">
        <v>40</v>
      </c>
      <c r="P3" s="150" t="s">
        <v>48</v>
      </c>
      <c r="Q3" s="150" t="s">
        <v>49</v>
      </c>
      <c r="R3" s="137"/>
      <c r="S3" s="119"/>
      <c r="T3" s="119"/>
      <c r="U3" s="119"/>
      <c r="V3" s="134"/>
      <c r="W3" s="134"/>
      <c r="X3" s="134"/>
    </row>
    <row r="4" spans="1:24" ht="15.75">
      <c r="A4" s="217">
        <v>1</v>
      </c>
      <c r="B4" s="152" t="s">
        <v>5</v>
      </c>
      <c r="C4" s="161">
        <f>'Summary Page'!S53/100</f>
        <v>1.0771945649991239</v>
      </c>
      <c r="D4" s="169">
        <f>'Summary Page'!S29</f>
        <v>-2.1562313231991053</v>
      </c>
      <c r="E4" s="169">
        <f>'Summary Page'!S6</f>
        <v>-3.0557160664116718E-4</v>
      </c>
      <c r="F4" s="161">
        <f>'Summary Page'!F78/100</f>
        <v>8.548E-2</v>
      </c>
      <c r="G4" s="170">
        <f>'Summary Page'!$E$110</f>
        <v>18.999999999999982</v>
      </c>
      <c r="H4" s="171">
        <f>'Summary Page'!$E$111</f>
        <v>3.89</v>
      </c>
      <c r="I4" s="153">
        <f>'Team 1'!D18</f>
        <v>4.3709177868852499E-3</v>
      </c>
      <c r="J4" s="162">
        <f>(1-F4-D4)*G4*H4*I4</f>
        <v>0.99202013660576516</v>
      </c>
      <c r="K4" s="156"/>
      <c r="L4" s="156"/>
      <c r="M4" s="156"/>
      <c r="N4" s="152" t="s">
        <v>5</v>
      </c>
      <c r="O4" s="154">
        <f>F4/C4</f>
        <v>7.9354280811906555E-2</v>
      </c>
      <c r="P4" s="155">
        <f>E4/C4</f>
        <v>-2.8367355032228158E-4</v>
      </c>
      <c r="Q4" s="154">
        <f>J4/C4</f>
        <v>0.92092939273841579</v>
      </c>
      <c r="R4" s="154">
        <f>SUM(O4:Q4)</f>
        <v>1</v>
      </c>
      <c r="S4" s="119"/>
      <c r="T4" s="119"/>
      <c r="U4" s="121"/>
      <c r="V4" s="133"/>
      <c r="W4" s="135"/>
      <c r="X4" s="133"/>
    </row>
    <row r="5" spans="1:24" ht="15.75">
      <c r="A5" s="217"/>
      <c r="B5" s="211" t="s">
        <v>6</v>
      </c>
      <c r="C5" s="161">
        <f>'Summary Page'!S54/100</f>
        <v>5.0666666955326409</v>
      </c>
      <c r="D5" s="169">
        <f>'Summary Page'!S30</f>
        <v>-0.71606529209621994</v>
      </c>
      <c r="E5" s="169">
        <f>'Summary Page'!S7</f>
        <v>0.15762886597938144</v>
      </c>
      <c r="F5" s="161">
        <f>'Summary Page'!F79/100</f>
        <v>8.4000000000000005E-2</v>
      </c>
      <c r="G5" s="170">
        <f>'Summary Page'!$E$110</f>
        <v>18.999999999999982</v>
      </c>
      <c r="H5" s="171">
        <f>'Summary Page'!$E$111</f>
        <v>3.89</v>
      </c>
      <c r="I5" s="153">
        <f>'Team 1'!K18</f>
        <v>0.04</v>
      </c>
      <c r="J5" s="162">
        <f>(1-F5-D5)*G5*H5*I5</f>
        <v>4.8250378295532599</v>
      </c>
      <c r="K5" s="156"/>
      <c r="L5" s="156"/>
      <c r="M5" s="156"/>
      <c r="N5" s="211" t="s">
        <v>6</v>
      </c>
      <c r="O5" s="154">
        <f t="shared" ref="O5:O23" si="0">F5/C5</f>
        <v>1.657894727396695E-2</v>
      </c>
      <c r="P5" s="154">
        <f t="shared" ref="P5:P23" si="1">E5/C5</f>
        <v>3.1110960213421041E-2</v>
      </c>
      <c r="Q5" s="154">
        <f t="shared" ref="Q5:Q23" si="2">J5/C5</f>
        <v>0.95231009251261212</v>
      </c>
      <c r="R5" s="154">
        <f t="shared" ref="R5:R23" si="3">SUM(O5:Q5)</f>
        <v>1</v>
      </c>
      <c r="S5" s="119"/>
      <c r="T5" s="119"/>
      <c r="U5" s="148"/>
      <c r="V5" s="133"/>
      <c r="W5" s="135"/>
      <c r="X5" s="133"/>
    </row>
    <row r="6" spans="1:24" ht="15.75">
      <c r="A6" s="217">
        <v>2</v>
      </c>
      <c r="B6" s="211" t="s">
        <v>8</v>
      </c>
      <c r="C6" s="161">
        <f>'Summary Page'!S55/100</f>
        <v>-155.21254300379096</v>
      </c>
      <c r="D6" s="169">
        <f>'Summary Page'!S31</f>
        <v>53.517303996308193</v>
      </c>
      <c r="E6" s="169">
        <f>'Summary Page'!S8</f>
        <v>4.9614530894443343E-2</v>
      </c>
      <c r="F6" s="161">
        <f>'Summary Page'!F80/100</f>
        <v>0</v>
      </c>
      <c r="G6" s="170">
        <f>'Summary Page'!$E$110</f>
        <v>18.999999999999982</v>
      </c>
      <c r="H6" s="171">
        <f>'Summary Page'!$E$111</f>
        <v>3.89</v>
      </c>
      <c r="I6" s="153">
        <f>'Team 2'!D18</f>
        <v>0.04</v>
      </c>
      <c r="J6" s="162">
        <f t="shared" ref="J6:J23" si="4">(1-F6-D6)*G6*H6*I6</f>
        <v>-155.2621575346854</v>
      </c>
      <c r="K6" s="156"/>
      <c r="L6" s="156"/>
      <c r="M6" s="156"/>
      <c r="N6" s="211" t="s">
        <v>8</v>
      </c>
      <c r="O6" s="154">
        <f t="shared" si="0"/>
        <v>0</v>
      </c>
      <c r="P6" s="154">
        <f t="shared" si="1"/>
        <v>-3.1965542174791596E-4</v>
      </c>
      <c r="Q6" s="154">
        <f t="shared" si="2"/>
        <v>1.0003196554217479</v>
      </c>
      <c r="R6" s="154">
        <f t="shared" si="3"/>
        <v>1</v>
      </c>
      <c r="S6" s="119"/>
      <c r="T6" s="119"/>
      <c r="U6" s="122"/>
      <c r="V6" s="133"/>
      <c r="W6" s="135"/>
      <c r="X6" s="133"/>
    </row>
    <row r="7" spans="1:24" ht="15.75">
      <c r="A7" s="217"/>
      <c r="B7" s="211" t="s">
        <v>9</v>
      </c>
      <c r="C7" s="161">
        <f>'Summary Page'!S56/100</f>
        <v>0.31977726844350329</v>
      </c>
      <c r="D7" s="169">
        <f>'Summary Page'!S32</f>
        <v>9.9648535340202855E-3</v>
      </c>
      <c r="E7" s="169">
        <f>'Summary Page'!S9</f>
        <v>-5.8074074074074138E-5</v>
      </c>
      <c r="F7" s="161">
        <f>'Summary Page'!F81/100</f>
        <v>0</v>
      </c>
      <c r="G7" s="170">
        <f>'Summary Page'!$E$110</f>
        <v>18.999999999999982</v>
      </c>
      <c r="H7" s="171">
        <f>'Summary Page'!$E$111</f>
        <v>3.89</v>
      </c>
      <c r="I7" s="153">
        <f>'Team 2'!K18</f>
        <v>4.3709177868852499E-3</v>
      </c>
      <c r="J7" s="162">
        <f>(1-F7-D7)*G7*H7*I7</f>
        <v>0.31983534251757739</v>
      </c>
      <c r="K7" s="156"/>
      <c r="L7" s="156"/>
      <c r="M7" s="156"/>
      <c r="N7" s="211" t="s">
        <v>9</v>
      </c>
      <c r="O7" s="154">
        <f t="shared" si="0"/>
        <v>0</v>
      </c>
      <c r="P7" s="154">
        <f t="shared" si="1"/>
        <v>-1.8160788712952056E-4</v>
      </c>
      <c r="Q7" s="154">
        <f t="shared" si="2"/>
        <v>1.0001816078871295</v>
      </c>
      <c r="R7" s="154">
        <f t="shared" si="3"/>
        <v>1</v>
      </c>
      <c r="S7" s="119"/>
      <c r="T7" s="119"/>
      <c r="U7" s="122"/>
      <c r="V7" s="133"/>
      <c r="W7" s="135"/>
      <c r="X7" s="133"/>
    </row>
    <row r="8" spans="1:24" ht="15.75">
      <c r="A8" s="217">
        <v>3</v>
      </c>
      <c r="B8" s="211" t="s">
        <v>11</v>
      </c>
      <c r="C8" s="161">
        <f>'Summary Page'!S57/100</f>
        <v>1.6356519361771666</v>
      </c>
      <c r="D8" s="169">
        <f>'Summary Page'!S33</f>
        <v>-3.0141384437208974E-2</v>
      </c>
      <c r="E8" s="169">
        <f>'Summary Page'!S10</f>
        <v>7.4129094425785368E-3</v>
      </c>
      <c r="F8" s="161">
        <f>'Summary Page'!F82/100</f>
        <v>0.14580000000000001</v>
      </c>
      <c r="G8" s="170">
        <f>'Summary Page'!$E$110</f>
        <v>18.999999999999982</v>
      </c>
      <c r="H8" s="171">
        <f>'Summary Page'!$E$111</f>
        <v>3.89</v>
      </c>
      <c r="I8" s="153">
        <f>'Team 3'!D18</f>
        <v>2.2680555555555554E-2</v>
      </c>
      <c r="J8" s="162">
        <f t="shared" si="4"/>
        <v>1.4824390267345882</v>
      </c>
      <c r="K8" s="156"/>
      <c r="L8" s="156"/>
      <c r="M8" s="156"/>
      <c r="N8" s="211" t="s">
        <v>11</v>
      </c>
      <c r="O8" s="154">
        <f t="shared" si="0"/>
        <v>8.9138768936845247E-2</v>
      </c>
      <c r="P8" s="154">
        <f t="shared" si="1"/>
        <v>4.5320824550875612E-3</v>
      </c>
      <c r="Q8" s="154">
        <f t="shared" si="2"/>
        <v>0.90632914860806724</v>
      </c>
      <c r="R8" s="154">
        <f t="shared" si="3"/>
        <v>1</v>
      </c>
      <c r="S8" s="119"/>
      <c r="T8" s="119"/>
      <c r="U8" s="122"/>
      <c r="V8" s="133"/>
      <c r="W8" s="135"/>
      <c r="X8" s="133"/>
    </row>
    <row r="9" spans="1:24" ht="15.75">
      <c r="A9" s="217"/>
      <c r="B9" s="211" t="s">
        <v>29</v>
      </c>
      <c r="C9" s="161">
        <f>'Summary Page'!S58/100</f>
        <v>-0.53548785830023748</v>
      </c>
      <c r="D9" s="169">
        <f>'Summary Page'!S34</f>
        <v>1.3644583155773151</v>
      </c>
      <c r="E9" s="169">
        <f>'Summary Page'!S11</f>
        <v>6.667910970090056E-2</v>
      </c>
      <c r="F9" s="161">
        <f>'Summary Page'!F83/100</f>
        <v>6.0400000000000002E-2</v>
      </c>
      <c r="G9" s="170">
        <f>'Summary Page'!$E$110</f>
        <v>18.999999999999982</v>
      </c>
      <c r="H9" s="171">
        <f>'Summary Page'!$E$111</f>
        <v>3.89</v>
      </c>
      <c r="I9" s="153">
        <f>'Team 3'!K18</f>
        <v>2.1100000000000001E-2</v>
      </c>
      <c r="J9" s="162">
        <f t="shared" si="4"/>
        <v>-0.66256696800113801</v>
      </c>
      <c r="K9" s="156"/>
      <c r="L9" s="156"/>
      <c r="M9" s="156"/>
      <c r="N9" s="211" t="s">
        <v>29</v>
      </c>
      <c r="O9" s="154">
        <f t="shared" si="0"/>
        <v>-0.11279434083103881</v>
      </c>
      <c r="P9" s="154">
        <f t="shared" si="1"/>
        <v>-0.12452030175353648</v>
      </c>
      <c r="Q9" s="154">
        <f t="shared" si="2"/>
        <v>1.2373146425845751</v>
      </c>
      <c r="R9" s="154">
        <f t="shared" si="3"/>
        <v>0.99999999999999978</v>
      </c>
      <c r="S9" s="119"/>
      <c r="T9" s="119"/>
      <c r="U9" s="122"/>
      <c r="V9" s="133"/>
      <c r="W9" s="135"/>
      <c r="X9" s="133"/>
    </row>
    <row r="10" spans="1:24" ht="15.75">
      <c r="A10" s="217">
        <v>4</v>
      </c>
      <c r="B10" s="211" t="s">
        <v>14</v>
      </c>
      <c r="C10" s="161">
        <f>'Summary Page'!S59/100</f>
        <v>-0.22247970297029679</v>
      </c>
      <c r="D10" s="169">
        <f>'Summary Page'!S35</f>
        <v>1.6154247003647733</v>
      </c>
      <c r="E10" s="169">
        <f>'Summary Page'!S12</f>
        <v>4.9504950495049506E-3</v>
      </c>
      <c r="F10" s="161">
        <f>'Summary Page'!F84/100</f>
        <v>0</v>
      </c>
      <c r="G10" s="170">
        <f>'Summary Page'!$E$110</f>
        <v>18.999999999999982</v>
      </c>
      <c r="H10" s="171">
        <f>'Summary Page'!$E$111</f>
        <v>3.89</v>
      </c>
      <c r="I10" s="153">
        <f>'Team 4'!D18</f>
        <v>5.0000000000000001E-3</v>
      </c>
      <c r="J10" s="162">
        <f t="shared" si="4"/>
        <v>-0.22743019801980174</v>
      </c>
      <c r="K10" s="156"/>
      <c r="L10" s="156"/>
      <c r="M10" s="156"/>
      <c r="N10" s="211" t="s">
        <v>14</v>
      </c>
      <c r="O10" s="154">
        <f t="shared" si="0"/>
        <v>0</v>
      </c>
      <c r="P10" s="154">
        <f t="shared" si="1"/>
        <v>-2.2251445787690078E-2</v>
      </c>
      <c r="Q10" s="154">
        <f t="shared" si="2"/>
        <v>1.0222514457876901</v>
      </c>
      <c r="R10" s="154">
        <f t="shared" si="3"/>
        <v>1</v>
      </c>
      <c r="S10" s="119"/>
      <c r="T10" s="119"/>
      <c r="U10" s="122"/>
      <c r="V10" s="133"/>
      <c r="W10" s="135"/>
      <c r="X10" s="133"/>
    </row>
    <row r="11" spans="1:24" ht="15.75">
      <c r="A11" s="217"/>
      <c r="B11" s="211" t="s">
        <v>15</v>
      </c>
      <c r="C11" s="161">
        <f>'Summary Page'!S60/100</f>
        <v>0.76757971126835245</v>
      </c>
      <c r="D11" s="169">
        <f>'Summary Page'!S36</f>
        <v>7.3440410493540886E-2</v>
      </c>
      <c r="E11" s="169">
        <f>'Summary Page'!S13</f>
        <v>2.6555086487092322E-3</v>
      </c>
      <c r="F11" s="161">
        <f>'Summary Page'!F85/100</f>
        <v>0.2</v>
      </c>
      <c r="G11" s="170">
        <f>'Summary Page'!$E$110</f>
        <v>18.999999999999982</v>
      </c>
      <c r="H11" s="171">
        <f>'Summary Page'!$E$111</f>
        <v>3.89</v>
      </c>
      <c r="I11" s="153">
        <f>'Team 4'!K18</f>
        <v>1.052E-2</v>
      </c>
      <c r="J11" s="162">
        <f t="shared" si="4"/>
        <v>0.56492420261964316</v>
      </c>
      <c r="K11" s="156"/>
      <c r="L11" s="156"/>
      <c r="M11" s="156"/>
      <c r="N11" s="211" t="s">
        <v>15</v>
      </c>
      <c r="O11" s="154">
        <f t="shared" si="0"/>
        <v>0.26055925796881607</v>
      </c>
      <c r="P11" s="154">
        <f t="shared" si="1"/>
        <v>3.4595868151872551E-3</v>
      </c>
      <c r="Q11" s="154">
        <f t="shared" si="2"/>
        <v>0.73598115521599661</v>
      </c>
      <c r="R11" s="154">
        <f t="shared" si="3"/>
        <v>1</v>
      </c>
      <c r="S11" s="119"/>
      <c r="T11" s="119"/>
      <c r="U11" s="122"/>
      <c r="V11" s="133"/>
      <c r="W11" s="135"/>
      <c r="X11" s="133"/>
    </row>
    <row r="12" spans="1:24" ht="15.75">
      <c r="A12" s="217">
        <v>5</v>
      </c>
      <c r="B12" s="211" t="s">
        <v>14</v>
      </c>
      <c r="C12" s="161">
        <f>'Summary Page'!S61/100</f>
        <v>-3.8395916071428537</v>
      </c>
      <c r="D12" s="169">
        <f>'Summary Page'!S37</f>
        <v>11.510714285714286</v>
      </c>
      <c r="E12" s="169">
        <f>'Summary Page'!S14</f>
        <v>4.4642857142857144E-2</v>
      </c>
      <c r="F12" s="161">
        <f>'Summary Page'!F86/100</f>
        <v>0</v>
      </c>
      <c r="G12" s="170">
        <f>'Summary Page'!$E$110</f>
        <v>18.999999999999982</v>
      </c>
      <c r="H12" s="171">
        <f>'Summary Page'!$E$111</f>
        <v>3.89</v>
      </c>
      <c r="I12" s="153">
        <f>'Team 5'!D18</f>
        <v>5.0000000000000001E-3</v>
      </c>
      <c r="J12" s="162">
        <f t="shared" si="4"/>
        <v>-3.884234464285711</v>
      </c>
      <c r="K12" s="156"/>
      <c r="L12" s="156"/>
      <c r="M12" s="156"/>
      <c r="N12" s="211" t="s">
        <v>14</v>
      </c>
      <c r="O12" s="154">
        <f t="shared" si="0"/>
        <v>0</v>
      </c>
      <c r="P12" s="154">
        <f>E12/C12</f>
        <v>-1.1626980603824459E-2</v>
      </c>
      <c r="Q12" s="154">
        <f t="shared" si="2"/>
        <v>1.0116269806038245</v>
      </c>
      <c r="R12" s="154">
        <f t="shared" si="3"/>
        <v>1</v>
      </c>
      <c r="S12" s="119"/>
      <c r="T12" s="119"/>
      <c r="U12" s="122"/>
      <c r="V12" s="133"/>
      <c r="W12" s="135"/>
      <c r="X12" s="133"/>
    </row>
    <row r="13" spans="1:24" ht="15.75">
      <c r="A13" s="217"/>
      <c r="B13" s="211" t="s">
        <v>30</v>
      </c>
      <c r="C13" s="161">
        <f>'Summary Page'!S62/100</f>
        <v>6.427255189076682</v>
      </c>
      <c r="D13" s="169">
        <f>'Summary Page'!S38</f>
        <v>-3.1430233449524487</v>
      </c>
      <c r="E13" s="169">
        <f>'Summary Page'!S15</f>
        <v>0</v>
      </c>
      <c r="F13" s="161">
        <f>'Summary Page'!F87/100</f>
        <v>6.0400000000000002E-2</v>
      </c>
      <c r="G13" s="170">
        <f>'Summary Page'!$E$110</f>
        <v>18.999999999999982</v>
      </c>
      <c r="H13" s="171">
        <f>'Summary Page'!$E$111</f>
        <v>3.89</v>
      </c>
      <c r="I13" s="153">
        <f>'Team 5'!K18</f>
        <v>2.1100000000000001E-2</v>
      </c>
      <c r="J13" s="162">
        <f t="shared" si="4"/>
        <v>6.3668551890766825</v>
      </c>
      <c r="K13" s="156"/>
      <c r="L13" s="156"/>
      <c r="M13" s="156"/>
      <c r="N13" s="211" t="s">
        <v>30</v>
      </c>
      <c r="O13" s="154">
        <f t="shared" si="0"/>
        <v>9.3974796741619435E-3</v>
      </c>
      <c r="P13" s="154">
        <f t="shared" si="1"/>
        <v>0</v>
      </c>
      <c r="Q13" s="154">
        <f t="shared" si="2"/>
        <v>0.99060252032583818</v>
      </c>
      <c r="R13" s="154">
        <f t="shared" si="3"/>
        <v>1.0000000000000002</v>
      </c>
      <c r="S13" s="119"/>
      <c r="T13" s="119"/>
      <c r="U13" s="122"/>
      <c r="V13" s="133"/>
      <c r="W13" s="135"/>
      <c r="X13" s="133"/>
    </row>
    <row r="14" spans="1:24" ht="15.75">
      <c r="A14" s="217">
        <v>6</v>
      </c>
      <c r="B14" s="211" t="s">
        <v>19</v>
      </c>
      <c r="C14" s="161">
        <f>'Summary Page'!S63/100</f>
        <v>1.4875419592646839</v>
      </c>
      <c r="D14" s="169">
        <f>'Summary Page'!S39</f>
        <v>0.50860072775388676</v>
      </c>
      <c r="E14" s="169">
        <f>'Summary Page'!S16</f>
        <v>3.4769150796276169E-2</v>
      </c>
      <c r="F14" s="161">
        <f>'Summary Page'!F88/100</f>
        <v>0</v>
      </c>
      <c r="G14" s="170">
        <f>'Summary Page'!$E$110</f>
        <v>18.999999999999982</v>
      </c>
      <c r="H14" s="171">
        <f>'Summary Page'!$E$111</f>
        <v>3.89</v>
      </c>
      <c r="I14" s="153">
        <f>'Team 6'!D18</f>
        <v>0.04</v>
      </c>
      <c r="J14" s="162">
        <f t="shared" si="4"/>
        <v>1.4527728084684077</v>
      </c>
      <c r="K14" s="156"/>
      <c r="L14" s="156"/>
      <c r="M14" s="156"/>
      <c r="N14" s="211" t="s">
        <v>19</v>
      </c>
      <c r="O14" s="154">
        <f t="shared" si="0"/>
        <v>0</v>
      </c>
      <c r="P14" s="154">
        <f t="shared" si="1"/>
        <v>2.3373559703460816E-2</v>
      </c>
      <c r="Q14" s="154">
        <f t="shared" si="2"/>
        <v>0.97662644029653922</v>
      </c>
      <c r="R14" s="154">
        <f t="shared" si="3"/>
        <v>1</v>
      </c>
      <c r="S14" s="119"/>
      <c r="T14" s="119"/>
      <c r="U14" s="122"/>
      <c r="V14" s="133"/>
      <c r="W14" s="135"/>
      <c r="X14" s="133"/>
    </row>
    <row r="15" spans="1:24" ht="15.75">
      <c r="A15" s="217"/>
      <c r="B15" s="211" t="s">
        <v>20</v>
      </c>
      <c r="C15" s="161">
        <f>'Summary Page'!S64/100</f>
        <v>1.5826053500093238</v>
      </c>
      <c r="D15" s="169">
        <f>'Summary Page'!S40</f>
        <v>5.8689362566205661E-2</v>
      </c>
      <c r="E15" s="169">
        <f>'Summary Page'!S17</f>
        <v>4.6676330038959409E-3</v>
      </c>
      <c r="F15" s="161">
        <f>'Summary Page'!F89/100</f>
        <v>0</v>
      </c>
      <c r="G15" s="170">
        <f>'Summary Page'!$E$110</f>
        <v>18.999999999999982</v>
      </c>
      <c r="H15" s="171">
        <f>'Summary Page'!$E$111</f>
        <v>3.89</v>
      </c>
      <c r="I15" s="153">
        <f>'Team 6'!K18</f>
        <v>2.2680555555555554E-2</v>
      </c>
      <c r="J15" s="162">
        <f t="shared" si="4"/>
        <v>1.5779377170054278</v>
      </c>
      <c r="K15" s="156"/>
      <c r="L15" s="156"/>
      <c r="M15" s="156"/>
      <c r="N15" s="211" t="s">
        <v>20</v>
      </c>
      <c r="O15" s="154">
        <f t="shared" si="0"/>
        <v>0</v>
      </c>
      <c r="P15" s="154">
        <f t="shared" si="1"/>
        <v>2.949334781326527E-3</v>
      </c>
      <c r="Q15" s="154">
        <f t="shared" si="2"/>
        <v>0.99705066521867347</v>
      </c>
      <c r="R15" s="154">
        <f t="shared" si="3"/>
        <v>1</v>
      </c>
      <c r="S15" s="119"/>
      <c r="T15" s="119"/>
      <c r="U15" s="122"/>
      <c r="V15" s="133"/>
      <c r="W15" s="135"/>
      <c r="X15" s="133"/>
    </row>
    <row r="16" spans="1:24" ht="15.75">
      <c r="A16" s="217" t="s">
        <v>43</v>
      </c>
      <c r="B16" s="211" t="s">
        <v>11</v>
      </c>
      <c r="C16" s="161">
        <f>'Summary Page'!S65/100</f>
        <v>1.9735662914858982</v>
      </c>
      <c r="D16" s="169">
        <f>'Summary Page'!S41</f>
        <v>-0.22427880496218858</v>
      </c>
      <c r="E16" s="169">
        <f>'Summary Page'!S18</f>
        <v>-1.1084598698481564E-2</v>
      </c>
      <c r="F16" s="161">
        <f>'Summary Page'!F90/100</f>
        <v>0.1</v>
      </c>
      <c r="G16" s="170">
        <f>'Summary Page'!$E$110</f>
        <v>18.999999999999982</v>
      </c>
      <c r="H16" s="171">
        <f>'Summary Page'!$E$111</f>
        <v>3.89</v>
      </c>
      <c r="I16" s="153">
        <f>'Team A'!D18</f>
        <v>2.2680555555555554E-2</v>
      </c>
      <c r="J16" s="162">
        <f t="shared" si="4"/>
        <v>1.8846508901843799</v>
      </c>
      <c r="K16" s="156"/>
      <c r="L16" s="156"/>
      <c r="M16" s="156"/>
      <c r="N16" s="211" t="s">
        <v>11</v>
      </c>
      <c r="O16" s="154">
        <f t="shared" si="0"/>
        <v>5.0669693960322962E-2</v>
      </c>
      <c r="P16" s="154">
        <f t="shared" si="1"/>
        <v>-5.6165322372505504E-3</v>
      </c>
      <c r="Q16" s="154">
        <f t="shared" si="2"/>
        <v>0.95494683827692761</v>
      </c>
      <c r="R16" s="154">
        <f t="shared" si="3"/>
        <v>1</v>
      </c>
      <c r="S16" s="119"/>
      <c r="T16" s="119"/>
      <c r="U16" s="122"/>
      <c r="V16" s="133"/>
      <c r="W16" s="135"/>
      <c r="X16" s="133"/>
    </row>
    <row r="17" spans="1:24" ht="15.75">
      <c r="A17" s="217"/>
      <c r="B17" s="211" t="s">
        <v>22</v>
      </c>
      <c r="C17" s="161">
        <f>'Summary Page'!S66/100</f>
        <v>-0.67326009586215219</v>
      </c>
      <c r="D17" s="169">
        <f>'Summary Page'!S42</f>
        <v>2.8588763499575296</v>
      </c>
      <c r="E17" s="169">
        <f>'Summary Page'!S19</f>
        <v>1.3687659264652348E-2</v>
      </c>
      <c r="F17" s="161">
        <f>'Summary Page'!F91/100</f>
        <v>0</v>
      </c>
      <c r="G17" s="170">
        <f>'Summary Page'!$E$110</f>
        <v>18.999999999999982</v>
      </c>
      <c r="H17" s="171">
        <f>'Summary Page'!$E$111</f>
        <v>3.89</v>
      </c>
      <c r="I17" s="153">
        <f>'Team A'!K18</f>
        <v>5.0000000000000001E-3</v>
      </c>
      <c r="J17" s="162">
        <f t="shared" si="4"/>
        <v>-0.6869477551268045</v>
      </c>
      <c r="K17" s="156"/>
      <c r="L17" s="156"/>
      <c r="M17" s="156"/>
      <c r="N17" s="211" t="s">
        <v>22</v>
      </c>
      <c r="O17" s="154">
        <f t="shared" si="0"/>
        <v>0</v>
      </c>
      <c r="P17" s="154">
        <f t="shared" si="1"/>
        <v>-2.0330418138215119E-2</v>
      </c>
      <c r="Q17" s="154">
        <f t="shared" si="2"/>
        <v>1.0203304181382151</v>
      </c>
      <c r="R17" s="154">
        <f t="shared" si="3"/>
        <v>1</v>
      </c>
      <c r="S17" s="119"/>
      <c r="T17" s="119"/>
      <c r="U17" s="122"/>
      <c r="V17" s="133"/>
      <c r="W17" s="135"/>
      <c r="X17" s="133"/>
    </row>
    <row r="18" spans="1:24" ht="15.75">
      <c r="A18" s="217" t="s">
        <v>44</v>
      </c>
      <c r="B18" s="211" t="s">
        <v>24</v>
      </c>
      <c r="C18" s="161">
        <f>'Summary Page'!S67/100</f>
        <v>1.478772331565154</v>
      </c>
      <c r="D18" s="169">
        <f>'Summary Page'!S43</f>
        <v>0.1206645414932114</v>
      </c>
      <c r="E18" s="169">
        <f>'Summary Page'!S20</f>
        <v>4.7248378909800371E-3</v>
      </c>
      <c r="F18" s="161">
        <f>'Summary Page'!F92/100</f>
        <v>0</v>
      </c>
      <c r="G18" s="170">
        <f>'Summary Page'!$E$110</f>
        <v>18.999999999999982</v>
      </c>
      <c r="H18" s="171">
        <f>'Summary Page'!$E$111</f>
        <v>3.89</v>
      </c>
      <c r="I18" s="153">
        <f>'Team B'!D18</f>
        <v>2.2680555555555554E-2</v>
      </c>
      <c r="J18" s="162">
        <f t="shared" si="4"/>
        <v>1.4740474936741736</v>
      </c>
      <c r="K18" s="156"/>
      <c r="L18" s="156"/>
      <c r="M18" s="156"/>
      <c r="N18" s="211" t="s">
        <v>24</v>
      </c>
      <c r="O18" s="154">
        <f t="shared" si="0"/>
        <v>0</v>
      </c>
      <c r="P18" s="154">
        <f t="shared" si="1"/>
        <v>3.1951083950693075E-3</v>
      </c>
      <c r="Q18" s="154">
        <f t="shared" si="2"/>
        <v>0.99680489160493047</v>
      </c>
      <c r="R18" s="154">
        <f t="shared" si="3"/>
        <v>0.99999999999999978</v>
      </c>
      <c r="S18" s="119"/>
      <c r="T18" s="119"/>
      <c r="U18" s="122"/>
      <c r="V18" s="133"/>
      <c r="W18" s="135"/>
      <c r="X18" s="133"/>
    </row>
    <row r="19" spans="1:24" ht="15.75">
      <c r="A19" s="217"/>
      <c r="B19" s="211" t="s">
        <v>25</v>
      </c>
      <c r="C19" s="161">
        <f>'Summary Page'!S68/100</f>
        <v>-0.27340691056910038</v>
      </c>
      <c r="D19" s="169">
        <f>'Summary Page'!S44</f>
        <v>1.0924796747967462</v>
      </c>
      <c r="E19" s="169">
        <f>'Summary Page'!S21</f>
        <v>0</v>
      </c>
      <c r="F19" s="161">
        <f>'Summary Page'!F93/100</f>
        <v>0</v>
      </c>
      <c r="G19" s="170">
        <f>'Summary Page'!$E$110</f>
        <v>18.999999999999982</v>
      </c>
      <c r="H19" s="171">
        <f>'Summary Page'!$E$111</f>
        <v>3.89</v>
      </c>
      <c r="I19" s="153">
        <f>'Team B'!K18</f>
        <v>0.04</v>
      </c>
      <c r="J19" s="162">
        <f t="shared" si="4"/>
        <v>-0.27340691056910038</v>
      </c>
      <c r="K19" s="156"/>
      <c r="L19" s="156"/>
      <c r="M19" s="156"/>
      <c r="N19" s="211" t="s">
        <v>25</v>
      </c>
      <c r="O19" s="154">
        <f t="shared" si="0"/>
        <v>0</v>
      </c>
      <c r="P19" s="154">
        <f t="shared" si="1"/>
        <v>0</v>
      </c>
      <c r="Q19" s="154">
        <f t="shared" si="2"/>
        <v>1</v>
      </c>
      <c r="R19" s="154">
        <f t="shared" si="3"/>
        <v>1</v>
      </c>
      <c r="S19" s="119"/>
      <c r="T19" s="119"/>
      <c r="U19" s="122"/>
      <c r="V19" s="133"/>
      <c r="W19" s="135"/>
      <c r="X19" s="133"/>
    </row>
    <row r="20" spans="1:24" ht="15.75">
      <c r="A20" s="217" t="s">
        <v>45</v>
      </c>
      <c r="B20" s="211" t="s">
        <v>19</v>
      </c>
      <c r="C20" s="161">
        <f>'Summary Page'!S69/100</f>
        <v>0.25702679199786355</v>
      </c>
      <c r="D20" s="169">
        <f>'Summary Page'!S45</f>
        <v>0.82811248763483891</v>
      </c>
      <c r="E20" s="169">
        <f>'Summary Page'!S22</f>
        <v>1.6907051282051277E-2</v>
      </c>
      <c r="F20" s="161">
        <f>'Summary Page'!F94/100</f>
        <v>7.0999999999999994E-2</v>
      </c>
      <c r="G20" s="170">
        <f>'Summary Page'!$E$110</f>
        <v>18.999999999999982</v>
      </c>
      <c r="H20" s="171">
        <f>'Summary Page'!$E$111</f>
        <v>3.89</v>
      </c>
      <c r="I20" s="153">
        <f>'Team C'!D18</f>
        <v>2.2680555555555554E-2</v>
      </c>
      <c r="J20" s="162">
        <f t="shared" si="4"/>
        <v>0.16911974071581226</v>
      </c>
      <c r="K20" s="156"/>
      <c r="L20" s="156"/>
      <c r="M20" s="156"/>
      <c r="N20" s="211" t="s">
        <v>19</v>
      </c>
      <c r="O20" s="154">
        <f t="shared" si="0"/>
        <v>0.27623579412915894</v>
      </c>
      <c r="P20" s="154">
        <f t="shared" si="1"/>
        <v>6.5779334327885214E-2</v>
      </c>
      <c r="Q20" s="154">
        <f t="shared" si="2"/>
        <v>0.65798487154295582</v>
      </c>
      <c r="R20" s="154">
        <f t="shared" si="3"/>
        <v>1</v>
      </c>
      <c r="S20" s="119"/>
      <c r="T20" s="119"/>
      <c r="U20" s="122"/>
      <c r="V20" s="133"/>
      <c r="W20" s="135"/>
      <c r="X20" s="133"/>
    </row>
    <row r="21" spans="1:24" ht="15.75">
      <c r="A21" s="217"/>
      <c r="B21" s="211" t="s">
        <v>27</v>
      </c>
      <c r="C21" s="161">
        <f>'Summary Page'!S70/100</f>
        <v>0.40277348542402613</v>
      </c>
      <c r="D21" s="169">
        <f>'Summary Page'!S46</f>
        <v>0.67491206019045646</v>
      </c>
      <c r="E21" s="169">
        <f>'Summary Page'!S23</f>
        <v>7.6987182031032974E-3</v>
      </c>
      <c r="F21" s="161">
        <f>'Summary Page'!F95/100</f>
        <v>0.2</v>
      </c>
      <c r="G21" s="170">
        <f>'Summary Page'!$E$110</f>
        <v>18.999999999999982</v>
      </c>
      <c r="H21" s="171">
        <f>'Summary Page'!$E$111</f>
        <v>3.89</v>
      </c>
      <c r="I21" s="153">
        <f>'Team C'!K18</f>
        <v>2.1100000000000001E-2</v>
      </c>
      <c r="J21" s="162">
        <f t="shared" si="4"/>
        <v>0.19507476722092285</v>
      </c>
      <c r="K21" s="156"/>
      <c r="L21" s="156"/>
      <c r="M21" s="156"/>
      <c r="N21" s="211" t="s">
        <v>27</v>
      </c>
      <c r="O21" s="154">
        <f t="shared" si="0"/>
        <v>0.49655701588560841</v>
      </c>
      <c r="P21" s="154">
        <f t="shared" si="1"/>
        <v>1.9114262685385932E-2</v>
      </c>
      <c r="Q21" s="154">
        <f t="shared" si="2"/>
        <v>0.48432872142900574</v>
      </c>
      <c r="R21" s="154">
        <f t="shared" si="3"/>
        <v>1</v>
      </c>
      <c r="S21" s="119"/>
      <c r="T21" s="119"/>
      <c r="U21" s="122"/>
      <c r="V21" s="133"/>
      <c r="W21" s="135"/>
      <c r="X21" s="133"/>
    </row>
    <row r="22" spans="1:24" ht="15.75">
      <c r="A22" s="217" t="s">
        <v>46</v>
      </c>
      <c r="B22" s="211" t="s">
        <v>8</v>
      </c>
      <c r="C22" s="161">
        <f>'Summary Page'!S71/100</f>
        <v>9.9475598816029048E-2</v>
      </c>
      <c r="D22" s="169">
        <f>'Summary Page'!S47</f>
        <v>0.90349653157720378</v>
      </c>
      <c r="E22" s="169">
        <f>'Summary Page'!S24</f>
        <v>-6.2295081967213069E-2</v>
      </c>
      <c r="F22" s="161">
        <f>'Summary Page'!F96/100</f>
        <v>0</v>
      </c>
      <c r="G22" s="170">
        <f>'Summary Page'!$E$110</f>
        <v>18.999999999999982</v>
      </c>
      <c r="H22" s="171">
        <f>'Summary Page'!$E$111</f>
        <v>3.89</v>
      </c>
      <c r="I22" s="153">
        <f>'Team D'!D18</f>
        <v>2.2680555555555554E-2</v>
      </c>
      <c r="J22" s="162">
        <f t="shared" si="4"/>
        <v>0.16177068078324211</v>
      </c>
      <c r="K22" s="156"/>
      <c r="L22" s="156"/>
      <c r="M22" s="156"/>
      <c r="N22" s="211" t="s">
        <v>8</v>
      </c>
      <c r="O22" s="154">
        <f t="shared" si="0"/>
        <v>0</v>
      </c>
      <c r="P22" s="154">
        <f t="shared" si="1"/>
        <v>-0.6262348023903036</v>
      </c>
      <c r="Q22" s="154">
        <f t="shared" si="2"/>
        <v>1.6262348023903035</v>
      </c>
      <c r="R22" s="154">
        <f t="shared" si="3"/>
        <v>0.99999999999999989</v>
      </c>
      <c r="S22" s="119"/>
      <c r="T22" s="119"/>
      <c r="U22" s="122"/>
      <c r="V22" s="133"/>
      <c r="W22" s="135"/>
      <c r="X22" s="133"/>
    </row>
    <row r="23" spans="1:24" ht="15.75">
      <c r="A23" s="217"/>
      <c r="B23" s="211" t="s">
        <v>30</v>
      </c>
      <c r="C23" s="161">
        <f>'Summary Page'!S72/100</f>
        <v>2.1666729274433241</v>
      </c>
      <c r="D23" s="169">
        <f>'Summary Page'!S48</f>
        <v>-0.46000306016220166</v>
      </c>
      <c r="E23" s="169">
        <f>'Summary Page'!S25</f>
        <v>-7.6409444482687411E-2</v>
      </c>
      <c r="F23" s="161">
        <f>'Summary Page'!F97/100</f>
        <v>6.0400000000000002E-2</v>
      </c>
      <c r="G23" s="170">
        <f>'Summary Page'!$E$110</f>
        <v>18.999999999999982</v>
      </c>
      <c r="H23" s="171">
        <f>'Summary Page'!$E$111</f>
        <v>3.89</v>
      </c>
      <c r="I23" s="153">
        <f>'Team D'!K18</f>
        <v>2.1100000000000001E-2</v>
      </c>
      <c r="J23" s="162">
        <f t="shared" si="4"/>
        <v>2.1826823719260116</v>
      </c>
      <c r="K23" s="156"/>
      <c r="L23" s="156"/>
      <c r="M23" s="156"/>
      <c r="N23" s="211" t="s">
        <v>30</v>
      </c>
      <c r="O23" s="154">
        <f t="shared" si="0"/>
        <v>2.7876842524299252E-2</v>
      </c>
      <c r="P23" s="154">
        <f t="shared" si="1"/>
        <v>-3.5265795549885154E-2</v>
      </c>
      <c r="Q23" s="154">
        <f t="shared" si="2"/>
        <v>1.007388953025586</v>
      </c>
      <c r="R23" s="154">
        <f t="shared" si="3"/>
        <v>1</v>
      </c>
      <c r="S23" s="119"/>
      <c r="T23" s="119"/>
      <c r="U23" s="122"/>
      <c r="V23" s="133"/>
      <c r="W23" s="135"/>
      <c r="X23" s="133"/>
    </row>
    <row r="24" spans="1:24">
      <c r="C24" s="117"/>
      <c r="H24" s="172"/>
      <c r="I24" s="173"/>
    </row>
    <row r="25" spans="1:24">
      <c r="C25" s="117"/>
    </row>
    <row r="26" spans="1:24">
      <c r="C26" s="117"/>
    </row>
    <row r="80" spans="41:41">
      <c r="AO80" t="s">
        <v>50</v>
      </c>
    </row>
    <row r="81" spans="41:41">
      <c r="AO81" t="s">
        <v>51</v>
      </c>
    </row>
  </sheetData>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218D5-B38A-4037-AE03-D3B70F0399A2}">
  <sheetPr>
    <tabColor rgb="FFFF0000"/>
  </sheetPr>
  <dimension ref="A3:X26"/>
  <sheetViews>
    <sheetView showGridLines="0" zoomScale="70" zoomScaleNormal="70" workbookViewId="0">
      <selection activeCell="L11" sqref="L11"/>
    </sheetView>
  </sheetViews>
  <sheetFormatPr defaultColWidth="8.85546875" defaultRowHeight="15"/>
  <cols>
    <col min="2" max="2" width="27" bestFit="1" customWidth="1"/>
    <col min="3" max="3" width="9.7109375" bestFit="1" customWidth="1"/>
    <col min="5" max="5" width="13.140625" style="132" customWidth="1"/>
    <col min="6" max="6" width="11.140625" bestFit="1" customWidth="1"/>
    <col min="8" max="8" width="8.85546875" style="118"/>
    <col min="9" max="9" width="14.5703125" customWidth="1"/>
    <col min="10" max="10" width="13.7109375" customWidth="1"/>
    <col min="11" max="11" width="9.7109375" bestFit="1" customWidth="1"/>
    <col min="12" max="13" width="9.7109375" customWidth="1"/>
    <col min="14" max="14" width="27" bestFit="1" customWidth="1"/>
    <col min="15" max="15" width="10.42578125" customWidth="1"/>
    <col min="16" max="16" width="14.42578125" customWidth="1"/>
    <col min="17" max="17" width="13.140625" bestFit="1" customWidth="1"/>
    <col min="18" max="18" width="9.42578125" bestFit="1" customWidth="1"/>
    <col min="21" max="21" width="29.7109375" bestFit="1" customWidth="1"/>
    <col min="22" max="22" width="23.28515625" style="118" customWidth="1"/>
    <col min="23" max="23" width="18.42578125" style="118" customWidth="1"/>
    <col min="24" max="24" width="15.28515625" style="118" bestFit="1" customWidth="1"/>
  </cols>
  <sheetData>
    <row r="3" spans="1:24">
      <c r="A3" s="149"/>
      <c r="B3" s="149"/>
      <c r="C3" s="150" t="s">
        <v>32</v>
      </c>
      <c r="D3" s="150" t="s">
        <v>33</v>
      </c>
      <c r="E3" s="151" t="s">
        <v>34</v>
      </c>
      <c r="F3" s="150" t="s">
        <v>35</v>
      </c>
      <c r="G3" s="150" t="s">
        <v>36</v>
      </c>
      <c r="H3" s="136" t="s">
        <v>37</v>
      </c>
      <c r="I3" s="136" t="s">
        <v>38</v>
      </c>
      <c r="J3" s="150" t="s">
        <v>39</v>
      </c>
      <c r="K3" s="119"/>
      <c r="L3" s="119"/>
      <c r="M3" s="119"/>
      <c r="N3" s="149"/>
      <c r="O3" s="150" t="s">
        <v>40</v>
      </c>
      <c r="P3" s="150" t="s">
        <v>48</v>
      </c>
      <c r="Q3" s="150" t="s">
        <v>49</v>
      </c>
      <c r="R3" s="137"/>
      <c r="S3" s="119"/>
      <c r="T3" s="119"/>
      <c r="U3" s="119"/>
      <c r="V3" s="134"/>
      <c r="W3" s="134"/>
      <c r="X3" s="134"/>
    </row>
    <row r="4" spans="1:24" ht="15.75">
      <c r="A4" s="217">
        <v>1</v>
      </c>
      <c r="B4" s="152" t="s">
        <v>5</v>
      </c>
      <c r="C4" s="161">
        <f>'Summary Page'!S53/100</f>
        <v>1.0771945649991239</v>
      </c>
      <c r="D4" s="169">
        <f>'Summary Page'!S29</f>
        <v>-2.1562313231991053</v>
      </c>
      <c r="E4" s="169">
        <f>'Summary Page'!S6</f>
        <v>-3.0557160664116718E-4</v>
      </c>
      <c r="F4" s="161">
        <f>'Summary Page'!F78/100</f>
        <v>8.548E-2</v>
      </c>
      <c r="G4" s="170">
        <f>'Summary Page'!$E$110</f>
        <v>18.999999999999982</v>
      </c>
      <c r="H4" s="171">
        <f>'Summary Page'!$E$111</f>
        <v>3.89</v>
      </c>
      <c r="I4" s="171">
        <f>'Team 1'!D18</f>
        <v>4.3709177868852499E-3</v>
      </c>
      <c r="J4" s="162">
        <f>(1-F4-D4)*G4*H4*I4</f>
        <v>0.99202013660576516</v>
      </c>
      <c r="K4" s="156"/>
      <c r="L4" s="156"/>
      <c r="M4" s="156"/>
      <c r="N4" s="152" t="s">
        <v>5</v>
      </c>
      <c r="O4" s="154">
        <f>F4/C4</f>
        <v>7.9354280811906555E-2</v>
      </c>
      <c r="P4" s="155">
        <f>E4/C4</f>
        <v>-2.8367355032228158E-4</v>
      </c>
      <c r="Q4" s="154">
        <f>J4/C4</f>
        <v>0.92092939273841579</v>
      </c>
      <c r="R4" s="154">
        <f>SUM(O4:Q4)</f>
        <v>1</v>
      </c>
      <c r="S4" s="119"/>
      <c r="T4" s="119"/>
      <c r="U4" s="121"/>
      <c r="V4" s="133"/>
      <c r="W4" s="135"/>
      <c r="X4" s="133"/>
    </row>
    <row r="5" spans="1:24" ht="15.75">
      <c r="A5" s="217"/>
      <c r="B5" s="211" t="s">
        <v>6</v>
      </c>
      <c r="C5" s="161">
        <f>'Summary Page'!S54/100</f>
        <v>5.0666666955326409</v>
      </c>
      <c r="D5" s="169">
        <f>'Summary Page'!S30</f>
        <v>-0.71606529209621994</v>
      </c>
      <c r="E5" s="169">
        <f>'Summary Page'!S7</f>
        <v>0.15762886597938144</v>
      </c>
      <c r="F5" s="161">
        <f>'Summary Page'!F79/100</f>
        <v>8.4000000000000005E-2</v>
      </c>
      <c r="G5" s="170">
        <f>'Summary Page'!$E$110</f>
        <v>18.999999999999982</v>
      </c>
      <c r="H5" s="171">
        <f>'Summary Page'!$E$111</f>
        <v>3.89</v>
      </c>
      <c r="I5" s="171">
        <f>'Team 1'!K18</f>
        <v>0.04</v>
      </c>
      <c r="J5" s="162">
        <f>(1-F5-D5)*G5*H5*I5</f>
        <v>4.8250378295532599</v>
      </c>
      <c r="K5" s="156"/>
      <c r="L5" s="156"/>
      <c r="M5" s="156"/>
      <c r="N5" s="211" t="s">
        <v>6</v>
      </c>
      <c r="O5" s="154">
        <f t="shared" ref="O5:O23" si="0">F5/C5</f>
        <v>1.657894727396695E-2</v>
      </c>
      <c r="P5" s="154">
        <f t="shared" ref="P5:P23" si="1">E5/C5</f>
        <v>3.1110960213421041E-2</v>
      </c>
      <c r="Q5" s="154">
        <f t="shared" ref="Q5:Q23" si="2">J5/C5</f>
        <v>0.95231009251261212</v>
      </c>
      <c r="R5" s="154">
        <f t="shared" ref="R5:R23" si="3">SUM(O5:Q5)</f>
        <v>1</v>
      </c>
      <c r="S5" s="119"/>
      <c r="T5" s="119"/>
      <c r="U5" s="148"/>
      <c r="V5" s="133"/>
      <c r="W5" s="135"/>
      <c r="X5" s="133"/>
    </row>
    <row r="6" spans="1:24" ht="15.75">
      <c r="A6" s="217">
        <v>2</v>
      </c>
      <c r="B6" s="211" t="s">
        <v>8</v>
      </c>
      <c r="C6" s="161">
        <f>'Summary Page'!S55/100</f>
        <v>-155.21254300379096</v>
      </c>
      <c r="D6" s="169">
        <f>'Summary Page'!S31</f>
        <v>53.517303996308193</v>
      </c>
      <c r="E6" s="169">
        <f>'Summary Page'!S8</f>
        <v>4.9614530894443343E-2</v>
      </c>
      <c r="F6" s="161">
        <f>'Summary Page'!F80/100</f>
        <v>0</v>
      </c>
      <c r="G6" s="170">
        <f>'Summary Page'!$E$110</f>
        <v>18.999999999999982</v>
      </c>
      <c r="H6" s="171">
        <f>'Summary Page'!$E$111</f>
        <v>3.89</v>
      </c>
      <c r="I6" s="171">
        <f>'Team 2'!D18</f>
        <v>0.04</v>
      </c>
      <c r="J6" s="162">
        <f t="shared" ref="J6:J23" si="4">(1-F6-D6)*G6*H6*I6</f>
        <v>-155.2621575346854</v>
      </c>
      <c r="K6" s="156"/>
      <c r="L6" s="156"/>
      <c r="M6" s="156"/>
      <c r="N6" s="211" t="s">
        <v>8</v>
      </c>
      <c r="O6" s="154">
        <f t="shared" si="0"/>
        <v>0</v>
      </c>
      <c r="P6" s="154">
        <f t="shared" si="1"/>
        <v>-3.1965542174791596E-4</v>
      </c>
      <c r="Q6" s="154">
        <f t="shared" si="2"/>
        <v>1.0003196554217479</v>
      </c>
      <c r="R6" s="154">
        <f t="shared" si="3"/>
        <v>1</v>
      </c>
      <c r="S6" s="119"/>
      <c r="T6" s="119"/>
      <c r="U6" s="122"/>
      <c r="V6" s="133"/>
      <c r="W6" s="135"/>
      <c r="X6" s="133"/>
    </row>
    <row r="7" spans="1:24" ht="15.75">
      <c r="A7" s="217"/>
      <c r="B7" s="211" t="s">
        <v>9</v>
      </c>
      <c r="C7" s="161">
        <f>'Summary Page'!S56/100</f>
        <v>0.31977726844350329</v>
      </c>
      <c r="D7" s="169">
        <f>'Summary Page'!S32</f>
        <v>9.9648535340202855E-3</v>
      </c>
      <c r="E7" s="169">
        <f>'Summary Page'!S9</f>
        <v>-5.8074074074074138E-5</v>
      </c>
      <c r="F7" s="161">
        <f>'Summary Page'!F81/100</f>
        <v>0</v>
      </c>
      <c r="G7" s="170">
        <f>'Summary Page'!$E$110</f>
        <v>18.999999999999982</v>
      </c>
      <c r="H7" s="171">
        <f>'Summary Page'!$E$111</f>
        <v>3.89</v>
      </c>
      <c r="I7" s="171">
        <f>'Team 2'!K18</f>
        <v>4.3709177868852499E-3</v>
      </c>
      <c r="J7" s="162">
        <f>(1-F7-D7)*G7*H7*I7</f>
        <v>0.31983534251757739</v>
      </c>
      <c r="K7" s="156"/>
      <c r="L7" s="156"/>
      <c r="M7" s="156"/>
      <c r="N7" s="211" t="s">
        <v>9</v>
      </c>
      <c r="O7" s="154">
        <f t="shared" si="0"/>
        <v>0</v>
      </c>
      <c r="P7" s="154">
        <f t="shared" si="1"/>
        <v>-1.8160788712952056E-4</v>
      </c>
      <c r="Q7" s="154">
        <f t="shared" si="2"/>
        <v>1.0001816078871295</v>
      </c>
      <c r="R7" s="154">
        <f t="shared" si="3"/>
        <v>1</v>
      </c>
      <c r="S7" s="119"/>
      <c r="T7" s="119"/>
      <c r="U7" s="122"/>
      <c r="V7" s="133"/>
      <c r="W7" s="135"/>
      <c r="X7" s="133"/>
    </row>
    <row r="8" spans="1:24" ht="15.75">
      <c r="A8" s="217">
        <v>3</v>
      </c>
      <c r="B8" s="211" t="s">
        <v>11</v>
      </c>
      <c r="C8" s="161">
        <f>'Summary Page'!S57/100</f>
        <v>1.6356519361771666</v>
      </c>
      <c r="D8" s="169">
        <f>'Summary Page'!S33</f>
        <v>-3.0141384437208974E-2</v>
      </c>
      <c r="E8" s="169">
        <f>'Summary Page'!S10</f>
        <v>7.4129094425785368E-3</v>
      </c>
      <c r="F8" s="161">
        <f>'Summary Page'!F82/100</f>
        <v>0.14580000000000001</v>
      </c>
      <c r="G8" s="170">
        <f>'Summary Page'!$E$110</f>
        <v>18.999999999999982</v>
      </c>
      <c r="H8" s="171">
        <f>'Summary Page'!$E$111</f>
        <v>3.89</v>
      </c>
      <c r="I8" s="171">
        <f>'Team 3'!D18</f>
        <v>2.2680555555555554E-2</v>
      </c>
      <c r="J8" s="162">
        <f t="shared" si="4"/>
        <v>1.4824390267345882</v>
      </c>
      <c r="K8" s="156"/>
      <c r="L8" s="156"/>
      <c r="M8" s="156"/>
      <c r="N8" s="211" t="s">
        <v>11</v>
      </c>
      <c r="O8" s="154">
        <f t="shared" si="0"/>
        <v>8.9138768936845247E-2</v>
      </c>
      <c r="P8" s="154">
        <f t="shared" si="1"/>
        <v>4.5320824550875612E-3</v>
      </c>
      <c r="Q8" s="154">
        <f t="shared" si="2"/>
        <v>0.90632914860806724</v>
      </c>
      <c r="R8" s="154">
        <f t="shared" si="3"/>
        <v>1</v>
      </c>
      <c r="S8" s="119"/>
      <c r="T8" s="119"/>
      <c r="U8" s="122"/>
      <c r="V8" s="133"/>
      <c r="W8" s="135"/>
      <c r="X8" s="133"/>
    </row>
    <row r="9" spans="1:24" ht="15.75">
      <c r="A9" s="217"/>
      <c r="B9" s="211" t="s">
        <v>29</v>
      </c>
      <c r="C9" s="161">
        <f>'Summary Page'!S58/100</f>
        <v>-0.53548785830023748</v>
      </c>
      <c r="D9" s="169">
        <f>'Summary Page'!S34</f>
        <v>1.3644583155773151</v>
      </c>
      <c r="E9" s="169">
        <f>'Summary Page'!S11</f>
        <v>6.667910970090056E-2</v>
      </c>
      <c r="F9" s="161">
        <f>'Summary Page'!F83/100</f>
        <v>6.0400000000000002E-2</v>
      </c>
      <c r="G9" s="170">
        <f>'Summary Page'!$E$110</f>
        <v>18.999999999999982</v>
      </c>
      <c r="H9" s="171">
        <f>'Summary Page'!$E$111</f>
        <v>3.89</v>
      </c>
      <c r="I9" s="171">
        <f>'Team 3'!K18</f>
        <v>2.1100000000000001E-2</v>
      </c>
      <c r="J9" s="162">
        <f t="shared" si="4"/>
        <v>-0.66256696800113801</v>
      </c>
      <c r="K9" s="156"/>
      <c r="L9" s="156"/>
      <c r="M9" s="156"/>
      <c r="N9" s="211" t="s">
        <v>29</v>
      </c>
      <c r="O9" s="154">
        <f t="shared" si="0"/>
        <v>-0.11279434083103881</v>
      </c>
      <c r="P9" s="154">
        <f t="shared" si="1"/>
        <v>-0.12452030175353648</v>
      </c>
      <c r="Q9" s="154">
        <f t="shared" si="2"/>
        <v>1.2373146425845751</v>
      </c>
      <c r="R9" s="154">
        <f t="shared" si="3"/>
        <v>0.99999999999999978</v>
      </c>
      <c r="S9" s="119"/>
      <c r="T9" s="119"/>
      <c r="U9" s="122"/>
      <c r="V9" s="133"/>
      <c r="W9" s="135"/>
      <c r="X9" s="133"/>
    </row>
    <row r="10" spans="1:24" ht="15.75">
      <c r="A10" s="217">
        <v>4</v>
      </c>
      <c r="B10" s="211" t="s">
        <v>14</v>
      </c>
      <c r="C10" s="161">
        <f>'Summary Page'!S59/100</f>
        <v>-0.22247970297029679</v>
      </c>
      <c r="D10" s="169">
        <f>'Summary Page'!S35</f>
        <v>1.6154247003647733</v>
      </c>
      <c r="E10" s="169">
        <f>'Summary Page'!S12</f>
        <v>4.9504950495049506E-3</v>
      </c>
      <c r="F10" s="161">
        <f>'Summary Page'!F84/100</f>
        <v>0</v>
      </c>
      <c r="G10" s="170">
        <f>'Summary Page'!$E$110</f>
        <v>18.999999999999982</v>
      </c>
      <c r="H10" s="171">
        <f>'Summary Page'!$E$111</f>
        <v>3.89</v>
      </c>
      <c r="I10" s="171">
        <f>'Team 4'!D18</f>
        <v>5.0000000000000001E-3</v>
      </c>
      <c r="J10" s="162">
        <f t="shared" si="4"/>
        <v>-0.22743019801980174</v>
      </c>
      <c r="K10" s="156"/>
      <c r="L10" s="156"/>
      <c r="M10" s="156"/>
      <c r="N10" s="211" t="s">
        <v>14</v>
      </c>
      <c r="O10" s="154">
        <f t="shared" si="0"/>
        <v>0</v>
      </c>
      <c r="P10" s="154">
        <f t="shared" si="1"/>
        <v>-2.2251445787690078E-2</v>
      </c>
      <c r="Q10" s="154">
        <f t="shared" si="2"/>
        <v>1.0222514457876901</v>
      </c>
      <c r="R10" s="154">
        <f t="shared" si="3"/>
        <v>1</v>
      </c>
      <c r="S10" s="119"/>
      <c r="T10" s="119"/>
      <c r="U10" s="122"/>
      <c r="V10" s="133"/>
      <c r="W10" s="135"/>
      <c r="X10" s="133"/>
    </row>
    <row r="11" spans="1:24" ht="15.75">
      <c r="A11" s="217"/>
      <c r="B11" s="211" t="s">
        <v>15</v>
      </c>
      <c r="C11" s="161">
        <f>'Summary Page'!S60/100</f>
        <v>0.76757971126835245</v>
      </c>
      <c r="D11" s="169">
        <f>'Summary Page'!S36</f>
        <v>7.3440410493540886E-2</v>
      </c>
      <c r="E11" s="169">
        <f>'Summary Page'!S13</f>
        <v>2.6555086487092322E-3</v>
      </c>
      <c r="F11" s="161">
        <f>'Summary Page'!F85/100</f>
        <v>0.2</v>
      </c>
      <c r="G11" s="170">
        <f>'Summary Page'!$E$110</f>
        <v>18.999999999999982</v>
      </c>
      <c r="H11" s="171">
        <f>'Summary Page'!$E$111</f>
        <v>3.89</v>
      </c>
      <c r="I11" s="171">
        <f>'Team 4'!K18</f>
        <v>1.052E-2</v>
      </c>
      <c r="J11" s="162">
        <f t="shared" si="4"/>
        <v>0.56492420261964316</v>
      </c>
      <c r="K11" s="156"/>
      <c r="L11" s="156"/>
      <c r="M11" s="156"/>
      <c r="N11" s="211" t="s">
        <v>15</v>
      </c>
      <c r="O11" s="154">
        <f t="shared" si="0"/>
        <v>0.26055925796881607</v>
      </c>
      <c r="P11" s="154">
        <f t="shared" si="1"/>
        <v>3.4595868151872551E-3</v>
      </c>
      <c r="Q11" s="154">
        <f t="shared" si="2"/>
        <v>0.73598115521599661</v>
      </c>
      <c r="R11" s="154">
        <f t="shared" si="3"/>
        <v>1</v>
      </c>
      <c r="S11" s="119"/>
      <c r="T11" s="119"/>
      <c r="U11" s="122"/>
      <c r="V11" s="133"/>
      <c r="W11" s="135"/>
      <c r="X11" s="133"/>
    </row>
    <row r="12" spans="1:24" ht="15.75">
      <c r="A12" s="217">
        <v>5</v>
      </c>
      <c r="B12" s="211" t="s">
        <v>14</v>
      </c>
      <c r="C12" s="161">
        <f>'Summary Page'!S61/100</f>
        <v>-3.8395916071428537</v>
      </c>
      <c r="D12" s="169">
        <f>'Summary Page'!S37</f>
        <v>11.510714285714286</v>
      </c>
      <c r="E12" s="169">
        <f>'Summary Page'!S14</f>
        <v>4.4642857142857144E-2</v>
      </c>
      <c r="F12" s="161">
        <f>'Summary Page'!F86/100</f>
        <v>0</v>
      </c>
      <c r="G12" s="170">
        <f>'Summary Page'!$E$110</f>
        <v>18.999999999999982</v>
      </c>
      <c r="H12" s="171">
        <f>'Summary Page'!$E$111</f>
        <v>3.89</v>
      </c>
      <c r="I12" s="171">
        <f>'Team 5'!D18</f>
        <v>5.0000000000000001E-3</v>
      </c>
      <c r="J12" s="162">
        <f t="shared" si="4"/>
        <v>-3.884234464285711</v>
      </c>
      <c r="K12" s="156"/>
      <c r="L12" s="156"/>
      <c r="M12" s="156"/>
      <c r="N12" s="211" t="s">
        <v>14</v>
      </c>
      <c r="O12" s="154">
        <f t="shared" si="0"/>
        <v>0</v>
      </c>
      <c r="P12" s="154">
        <f>E12/C12</f>
        <v>-1.1626980603824459E-2</v>
      </c>
      <c r="Q12" s="154">
        <f t="shared" si="2"/>
        <v>1.0116269806038245</v>
      </c>
      <c r="R12" s="154">
        <f t="shared" si="3"/>
        <v>1</v>
      </c>
      <c r="S12" s="119"/>
      <c r="T12" s="119"/>
      <c r="U12" s="122"/>
      <c r="V12" s="133"/>
      <c r="W12" s="135"/>
      <c r="X12" s="133"/>
    </row>
    <row r="13" spans="1:24" ht="15.75">
      <c r="A13" s="217"/>
      <c r="B13" s="211" t="s">
        <v>30</v>
      </c>
      <c r="C13" s="161">
        <f>'Summary Page'!S62/100</f>
        <v>6.427255189076682</v>
      </c>
      <c r="D13" s="169">
        <f>'Summary Page'!S38</f>
        <v>-3.1430233449524487</v>
      </c>
      <c r="E13" s="169">
        <f>'Summary Page'!S15</f>
        <v>0</v>
      </c>
      <c r="F13" s="161">
        <f>'Summary Page'!F87/100</f>
        <v>6.0400000000000002E-2</v>
      </c>
      <c r="G13" s="170">
        <f>'Summary Page'!$E$110</f>
        <v>18.999999999999982</v>
      </c>
      <c r="H13" s="171">
        <f>'Summary Page'!$E$111</f>
        <v>3.89</v>
      </c>
      <c r="I13" s="171">
        <f>'Team 5'!K18</f>
        <v>2.1100000000000001E-2</v>
      </c>
      <c r="J13" s="162">
        <f t="shared" si="4"/>
        <v>6.3668551890766825</v>
      </c>
      <c r="K13" s="156"/>
      <c r="L13" s="156"/>
      <c r="M13" s="156"/>
      <c r="N13" s="211" t="s">
        <v>30</v>
      </c>
      <c r="O13" s="154">
        <f t="shared" si="0"/>
        <v>9.3974796741619435E-3</v>
      </c>
      <c r="P13" s="154">
        <f t="shared" si="1"/>
        <v>0</v>
      </c>
      <c r="Q13" s="154">
        <f t="shared" si="2"/>
        <v>0.99060252032583818</v>
      </c>
      <c r="R13" s="154">
        <f t="shared" si="3"/>
        <v>1.0000000000000002</v>
      </c>
      <c r="S13" s="119"/>
      <c r="T13" s="119"/>
      <c r="U13" s="122"/>
      <c r="V13" s="133"/>
      <c r="W13" s="135"/>
      <c r="X13" s="133"/>
    </row>
    <row r="14" spans="1:24" ht="15.75">
      <c r="A14" s="217">
        <v>6</v>
      </c>
      <c r="B14" s="211" t="s">
        <v>19</v>
      </c>
      <c r="C14" s="161">
        <f>'Summary Page'!S63/100</f>
        <v>1.4875419592646839</v>
      </c>
      <c r="D14" s="169">
        <f>'Summary Page'!S39</f>
        <v>0.50860072775388676</v>
      </c>
      <c r="E14" s="169">
        <f>'Summary Page'!S16</f>
        <v>3.4769150796276169E-2</v>
      </c>
      <c r="F14" s="161">
        <f>'Summary Page'!F88/100</f>
        <v>0</v>
      </c>
      <c r="G14" s="170">
        <f>'Summary Page'!$E$110</f>
        <v>18.999999999999982</v>
      </c>
      <c r="H14" s="171">
        <f>'Summary Page'!$E$111</f>
        <v>3.89</v>
      </c>
      <c r="I14" s="171">
        <f>'Team 6'!D18</f>
        <v>0.04</v>
      </c>
      <c r="J14" s="162">
        <f t="shared" si="4"/>
        <v>1.4527728084684077</v>
      </c>
      <c r="K14" s="156"/>
      <c r="L14" s="156"/>
      <c r="M14" s="156"/>
      <c r="N14" s="211" t="s">
        <v>19</v>
      </c>
      <c r="O14" s="154">
        <f t="shared" si="0"/>
        <v>0</v>
      </c>
      <c r="P14" s="154">
        <f t="shared" si="1"/>
        <v>2.3373559703460816E-2</v>
      </c>
      <c r="Q14" s="154">
        <f t="shared" si="2"/>
        <v>0.97662644029653922</v>
      </c>
      <c r="R14" s="154">
        <f t="shared" si="3"/>
        <v>1</v>
      </c>
      <c r="S14" s="119"/>
      <c r="T14" s="119"/>
      <c r="U14" s="122"/>
      <c r="V14" s="133"/>
      <c r="W14" s="135"/>
      <c r="X14" s="133"/>
    </row>
    <row r="15" spans="1:24" ht="15.75">
      <c r="A15" s="217"/>
      <c r="B15" s="211" t="s">
        <v>20</v>
      </c>
      <c r="C15" s="161">
        <f>'Summary Page'!S64/100</f>
        <v>1.5826053500093238</v>
      </c>
      <c r="D15" s="169">
        <f>'Summary Page'!S40</f>
        <v>5.8689362566205661E-2</v>
      </c>
      <c r="E15" s="169">
        <f>'Summary Page'!S17</f>
        <v>4.6676330038959409E-3</v>
      </c>
      <c r="F15" s="161">
        <f>'Summary Page'!F89/100</f>
        <v>0</v>
      </c>
      <c r="G15" s="170">
        <f>'Summary Page'!$E$110</f>
        <v>18.999999999999982</v>
      </c>
      <c r="H15" s="171">
        <f>'Summary Page'!$E$111</f>
        <v>3.89</v>
      </c>
      <c r="I15" s="171">
        <f>'Team 6'!K18</f>
        <v>2.2680555555555554E-2</v>
      </c>
      <c r="J15" s="162">
        <f t="shared" si="4"/>
        <v>1.5779377170054278</v>
      </c>
      <c r="K15" s="156"/>
      <c r="L15" s="156"/>
      <c r="M15" s="156"/>
      <c r="N15" s="211" t="s">
        <v>20</v>
      </c>
      <c r="O15" s="154">
        <f t="shared" si="0"/>
        <v>0</v>
      </c>
      <c r="P15" s="154">
        <f t="shared" si="1"/>
        <v>2.949334781326527E-3</v>
      </c>
      <c r="Q15" s="154">
        <f t="shared" si="2"/>
        <v>0.99705066521867347</v>
      </c>
      <c r="R15" s="154">
        <f t="shared" si="3"/>
        <v>1</v>
      </c>
      <c r="S15" s="119"/>
      <c r="T15" s="119"/>
      <c r="U15" s="122"/>
      <c r="V15" s="133"/>
      <c r="W15" s="135"/>
      <c r="X15" s="133"/>
    </row>
    <row r="16" spans="1:24" ht="15.75">
      <c r="A16" s="217" t="s">
        <v>43</v>
      </c>
      <c r="B16" s="211" t="s">
        <v>11</v>
      </c>
      <c r="C16" s="161">
        <f>'Summary Page'!S65/100</f>
        <v>1.9735662914858982</v>
      </c>
      <c r="D16" s="169">
        <f>'Summary Page'!S41</f>
        <v>-0.22427880496218858</v>
      </c>
      <c r="E16" s="169">
        <f>'Summary Page'!S18</f>
        <v>-1.1084598698481564E-2</v>
      </c>
      <c r="F16" s="161">
        <f>'Summary Page'!F90/100</f>
        <v>0.1</v>
      </c>
      <c r="G16" s="170">
        <f>'Summary Page'!$E$110</f>
        <v>18.999999999999982</v>
      </c>
      <c r="H16" s="171">
        <f>'Summary Page'!$E$111</f>
        <v>3.89</v>
      </c>
      <c r="I16" s="171">
        <f>'Team A'!D18</f>
        <v>2.2680555555555554E-2</v>
      </c>
      <c r="J16" s="162">
        <f t="shared" si="4"/>
        <v>1.8846508901843799</v>
      </c>
      <c r="K16" s="156"/>
      <c r="L16" s="156"/>
      <c r="M16" s="156"/>
      <c r="N16" s="211" t="s">
        <v>11</v>
      </c>
      <c r="O16" s="154">
        <f t="shared" si="0"/>
        <v>5.0669693960322962E-2</v>
      </c>
      <c r="P16" s="154">
        <f t="shared" si="1"/>
        <v>-5.6165322372505504E-3</v>
      </c>
      <c r="Q16" s="154">
        <f t="shared" si="2"/>
        <v>0.95494683827692761</v>
      </c>
      <c r="R16" s="154">
        <f t="shared" si="3"/>
        <v>1</v>
      </c>
      <c r="S16" s="119"/>
      <c r="T16" s="119"/>
      <c r="U16" s="122"/>
      <c r="V16" s="133"/>
      <c r="W16" s="135"/>
      <c r="X16" s="133"/>
    </row>
    <row r="17" spans="1:24" ht="15.75">
      <c r="A17" s="217"/>
      <c r="B17" s="211" t="s">
        <v>22</v>
      </c>
      <c r="C17" s="161">
        <f>'Summary Page'!S66/100</f>
        <v>-0.67326009586215219</v>
      </c>
      <c r="D17" s="169">
        <f>'Summary Page'!S42</f>
        <v>2.8588763499575296</v>
      </c>
      <c r="E17" s="169">
        <f>'Summary Page'!S19</f>
        <v>1.3687659264652348E-2</v>
      </c>
      <c r="F17" s="161">
        <f>'Summary Page'!F91/100</f>
        <v>0</v>
      </c>
      <c r="G17" s="170">
        <f>'Summary Page'!$E$110</f>
        <v>18.999999999999982</v>
      </c>
      <c r="H17" s="171">
        <f>'Summary Page'!$E$111</f>
        <v>3.89</v>
      </c>
      <c r="I17" s="171">
        <f>'Team A'!K18</f>
        <v>5.0000000000000001E-3</v>
      </c>
      <c r="J17" s="162">
        <f t="shared" si="4"/>
        <v>-0.6869477551268045</v>
      </c>
      <c r="K17" s="156"/>
      <c r="L17" s="156"/>
      <c r="M17" s="156"/>
      <c r="N17" s="211" t="s">
        <v>22</v>
      </c>
      <c r="O17" s="154">
        <f t="shared" si="0"/>
        <v>0</v>
      </c>
      <c r="P17" s="154">
        <f t="shared" si="1"/>
        <v>-2.0330418138215119E-2</v>
      </c>
      <c r="Q17" s="154">
        <f t="shared" si="2"/>
        <v>1.0203304181382151</v>
      </c>
      <c r="R17" s="154">
        <f t="shared" si="3"/>
        <v>1</v>
      </c>
      <c r="S17" s="119"/>
      <c r="T17" s="119"/>
      <c r="U17" s="122"/>
      <c r="V17" s="133"/>
      <c r="W17" s="135"/>
      <c r="X17" s="133"/>
    </row>
    <row r="18" spans="1:24" ht="15.75">
      <c r="A18" s="217" t="s">
        <v>44</v>
      </c>
      <c r="B18" s="211" t="s">
        <v>24</v>
      </c>
      <c r="C18" s="161">
        <f>'Summary Page'!S67/100</f>
        <v>1.478772331565154</v>
      </c>
      <c r="D18" s="169">
        <f>'Summary Page'!S43</f>
        <v>0.1206645414932114</v>
      </c>
      <c r="E18" s="169">
        <f>'Summary Page'!S20</f>
        <v>4.7248378909800371E-3</v>
      </c>
      <c r="F18" s="161">
        <f>'Summary Page'!F92/100</f>
        <v>0</v>
      </c>
      <c r="G18" s="170">
        <f>'Summary Page'!$E$110</f>
        <v>18.999999999999982</v>
      </c>
      <c r="H18" s="171">
        <f>'Summary Page'!$E$111</f>
        <v>3.89</v>
      </c>
      <c r="I18" s="171">
        <f>'Team B'!D18</f>
        <v>2.2680555555555554E-2</v>
      </c>
      <c r="J18" s="162">
        <f t="shared" si="4"/>
        <v>1.4740474936741736</v>
      </c>
      <c r="K18" s="156"/>
      <c r="L18" s="156"/>
      <c r="M18" s="156"/>
      <c r="N18" s="211" t="s">
        <v>24</v>
      </c>
      <c r="O18" s="154">
        <f t="shared" si="0"/>
        <v>0</v>
      </c>
      <c r="P18" s="154">
        <f t="shared" si="1"/>
        <v>3.1951083950693075E-3</v>
      </c>
      <c r="Q18" s="154">
        <f t="shared" si="2"/>
        <v>0.99680489160493047</v>
      </c>
      <c r="R18" s="154">
        <f t="shared" si="3"/>
        <v>0.99999999999999978</v>
      </c>
      <c r="S18" s="119"/>
      <c r="T18" s="119"/>
      <c r="U18" s="122"/>
      <c r="V18" s="133"/>
      <c r="W18" s="135"/>
      <c r="X18" s="133"/>
    </row>
    <row r="19" spans="1:24" ht="15.75">
      <c r="A19" s="217"/>
      <c r="B19" s="211" t="s">
        <v>25</v>
      </c>
      <c r="C19" s="161">
        <f>'Summary Page'!S68/100</f>
        <v>-0.27340691056910038</v>
      </c>
      <c r="D19" s="169">
        <f>'Summary Page'!S44</f>
        <v>1.0924796747967462</v>
      </c>
      <c r="E19" s="169">
        <f>'Summary Page'!S21</f>
        <v>0</v>
      </c>
      <c r="F19" s="161">
        <f>'Summary Page'!F93/100</f>
        <v>0</v>
      </c>
      <c r="G19" s="170">
        <f>'Summary Page'!$E$110</f>
        <v>18.999999999999982</v>
      </c>
      <c r="H19" s="171">
        <f>'Summary Page'!$E$111</f>
        <v>3.89</v>
      </c>
      <c r="I19" s="171">
        <f>'Team B'!K18</f>
        <v>0.04</v>
      </c>
      <c r="J19" s="162">
        <f t="shared" si="4"/>
        <v>-0.27340691056910038</v>
      </c>
      <c r="K19" s="156"/>
      <c r="L19" s="156"/>
      <c r="M19" s="156"/>
      <c r="N19" s="211" t="s">
        <v>25</v>
      </c>
      <c r="O19" s="154">
        <f t="shared" si="0"/>
        <v>0</v>
      </c>
      <c r="P19" s="154">
        <f t="shared" si="1"/>
        <v>0</v>
      </c>
      <c r="Q19" s="154">
        <f t="shared" si="2"/>
        <v>1</v>
      </c>
      <c r="R19" s="154">
        <f t="shared" si="3"/>
        <v>1</v>
      </c>
      <c r="S19" s="119"/>
      <c r="T19" s="119"/>
      <c r="U19" s="122"/>
      <c r="V19" s="133"/>
      <c r="W19" s="135"/>
      <c r="X19" s="133"/>
    </row>
    <row r="20" spans="1:24" ht="15.75">
      <c r="A20" s="217" t="s">
        <v>45</v>
      </c>
      <c r="B20" s="211" t="s">
        <v>19</v>
      </c>
      <c r="C20" s="161">
        <f>'Summary Page'!S69/100</f>
        <v>0.25702679199786355</v>
      </c>
      <c r="D20" s="169">
        <f>'Summary Page'!S45</f>
        <v>0.82811248763483891</v>
      </c>
      <c r="E20" s="169">
        <f>'Summary Page'!S22</f>
        <v>1.6907051282051277E-2</v>
      </c>
      <c r="F20" s="161">
        <f>'Summary Page'!F94/100</f>
        <v>7.0999999999999994E-2</v>
      </c>
      <c r="G20" s="170">
        <f>'Summary Page'!$E$110</f>
        <v>18.999999999999982</v>
      </c>
      <c r="H20" s="171">
        <f>'Summary Page'!$E$111</f>
        <v>3.89</v>
      </c>
      <c r="I20" s="171">
        <f>'Team C'!D18</f>
        <v>2.2680555555555554E-2</v>
      </c>
      <c r="J20" s="162">
        <f t="shared" si="4"/>
        <v>0.16911974071581226</v>
      </c>
      <c r="K20" s="156"/>
      <c r="L20" s="156"/>
      <c r="M20" s="156"/>
      <c r="N20" s="211" t="s">
        <v>19</v>
      </c>
      <c r="O20" s="154">
        <f t="shared" si="0"/>
        <v>0.27623579412915894</v>
      </c>
      <c r="P20" s="154">
        <f t="shared" si="1"/>
        <v>6.5779334327885214E-2</v>
      </c>
      <c r="Q20" s="154">
        <f t="shared" si="2"/>
        <v>0.65798487154295582</v>
      </c>
      <c r="R20" s="154">
        <f t="shared" si="3"/>
        <v>1</v>
      </c>
      <c r="S20" s="119"/>
      <c r="T20" s="119"/>
      <c r="U20" s="122"/>
      <c r="V20" s="133"/>
      <c r="W20" s="135"/>
      <c r="X20" s="133"/>
    </row>
    <row r="21" spans="1:24" ht="15.75">
      <c r="A21" s="217"/>
      <c r="B21" s="211" t="s">
        <v>27</v>
      </c>
      <c r="C21" s="161">
        <f>'Summary Page'!S70/100</f>
        <v>0.40277348542402613</v>
      </c>
      <c r="D21" s="169">
        <f>'Summary Page'!S46</f>
        <v>0.67491206019045646</v>
      </c>
      <c r="E21" s="169">
        <f>'Summary Page'!S23</f>
        <v>7.6987182031032974E-3</v>
      </c>
      <c r="F21" s="161">
        <f>'Summary Page'!F95/100</f>
        <v>0.2</v>
      </c>
      <c r="G21" s="170">
        <f>'Summary Page'!$E$110</f>
        <v>18.999999999999982</v>
      </c>
      <c r="H21" s="171">
        <f>'Summary Page'!$E$111</f>
        <v>3.89</v>
      </c>
      <c r="I21" s="171">
        <f>'Team C'!K18</f>
        <v>2.1100000000000001E-2</v>
      </c>
      <c r="J21" s="162">
        <f t="shared" si="4"/>
        <v>0.19507476722092285</v>
      </c>
      <c r="K21" s="156"/>
      <c r="L21" s="156"/>
      <c r="M21" s="156"/>
      <c r="N21" s="211" t="s">
        <v>27</v>
      </c>
      <c r="O21" s="154">
        <f t="shared" si="0"/>
        <v>0.49655701588560841</v>
      </c>
      <c r="P21" s="154">
        <f t="shared" si="1"/>
        <v>1.9114262685385932E-2</v>
      </c>
      <c r="Q21" s="154">
        <f t="shared" si="2"/>
        <v>0.48432872142900574</v>
      </c>
      <c r="R21" s="154">
        <f t="shared" si="3"/>
        <v>1</v>
      </c>
      <c r="S21" s="119"/>
      <c r="T21" s="119"/>
      <c r="U21" s="122"/>
      <c r="V21" s="133"/>
      <c r="W21" s="135"/>
      <c r="X21" s="133"/>
    </row>
    <row r="22" spans="1:24" ht="15.75">
      <c r="A22" s="217" t="s">
        <v>46</v>
      </c>
      <c r="B22" s="211" t="s">
        <v>8</v>
      </c>
      <c r="C22" s="161">
        <f>'Summary Page'!S71/100</f>
        <v>9.9475598816029048E-2</v>
      </c>
      <c r="D22" s="169">
        <f>'Summary Page'!S47</f>
        <v>0.90349653157720378</v>
      </c>
      <c r="E22" s="169">
        <f>'Summary Page'!S24</f>
        <v>-6.2295081967213069E-2</v>
      </c>
      <c r="F22" s="161">
        <f>'Summary Page'!F96/100</f>
        <v>0</v>
      </c>
      <c r="G22" s="170">
        <f>'Summary Page'!$E$110</f>
        <v>18.999999999999982</v>
      </c>
      <c r="H22" s="171">
        <f>'Summary Page'!$E$111</f>
        <v>3.89</v>
      </c>
      <c r="I22" s="171">
        <f>'Team D'!D18</f>
        <v>2.2680555555555554E-2</v>
      </c>
      <c r="J22" s="162">
        <f t="shared" si="4"/>
        <v>0.16177068078324211</v>
      </c>
      <c r="K22" s="156"/>
      <c r="L22" s="156"/>
      <c r="M22" s="156"/>
      <c r="N22" s="211" t="s">
        <v>8</v>
      </c>
      <c r="O22" s="154">
        <f t="shared" si="0"/>
        <v>0</v>
      </c>
      <c r="P22" s="154">
        <f t="shared" si="1"/>
        <v>-0.6262348023903036</v>
      </c>
      <c r="Q22" s="154">
        <f t="shared" si="2"/>
        <v>1.6262348023903035</v>
      </c>
      <c r="R22" s="154">
        <f t="shared" si="3"/>
        <v>0.99999999999999989</v>
      </c>
      <c r="S22" s="119"/>
      <c r="T22" s="119"/>
      <c r="U22" s="122"/>
      <c r="V22" s="133"/>
      <c r="W22" s="135"/>
      <c r="X22" s="133"/>
    </row>
    <row r="23" spans="1:24" ht="15.75">
      <c r="A23" s="217"/>
      <c r="B23" s="211" t="s">
        <v>30</v>
      </c>
      <c r="C23" s="161">
        <f>'Summary Page'!S72/100</f>
        <v>2.1666729274433241</v>
      </c>
      <c r="D23" s="169">
        <f>'Summary Page'!S48</f>
        <v>-0.46000306016220166</v>
      </c>
      <c r="E23" s="169">
        <f>'Summary Page'!S25</f>
        <v>-7.6409444482687411E-2</v>
      </c>
      <c r="F23" s="161">
        <f>'Summary Page'!F97/100</f>
        <v>6.0400000000000002E-2</v>
      </c>
      <c r="G23" s="170">
        <f>'Summary Page'!$E$110</f>
        <v>18.999999999999982</v>
      </c>
      <c r="H23" s="171">
        <f>'Summary Page'!$E$111</f>
        <v>3.89</v>
      </c>
      <c r="I23" s="171">
        <f>'Team D'!K18</f>
        <v>2.1100000000000001E-2</v>
      </c>
      <c r="J23" s="162">
        <f t="shared" si="4"/>
        <v>2.1826823719260116</v>
      </c>
      <c r="K23" s="156"/>
      <c r="L23" s="156"/>
      <c r="M23" s="156"/>
      <c r="N23" s="211" t="s">
        <v>30</v>
      </c>
      <c r="O23" s="154">
        <f t="shared" si="0"/>
        <v>2.7876842524299252E-2</v>
      </c>
      <c r="P23" s="154">
        <f t="shared" si="1"/>
        <v>-3.5265795549885154E-2</v>
      </c>
      <c r="Q23" s="154">
        <f t="shared" si="2"/>
        <v>1.007388953025586</v>
      </c>
      <c r="R23" s="154">
        <f t="shared" si="3"/>
        <v>1</v>
      </c>
      <c r="S23" s="119"/>
      <c r="T23" s="119"/>
      <c r="U23" s="122"/>
      <c r="V23" s="133"/>
      <c r="W23" s="135"/>
      <c r="X23" s="133"/>
    </row>
    <row r="24" spans="1:24">
      <c r="C24" s="117"/>
    </row>
    <row r="25" spans="1:24">
      <c r="C25" s="117"/>
    </row>
    <row r="26" spans="1:24">
      <c r="C26" s="117"/>
    </row>
  </sheetData>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AA79-4BDA-43AE-9254-7055F5BFA034}">
  <sheetPr>
    <tabColor rgb="FF0070C0"/>
  </sheetPr>
  <dimension ref="A1:O21"/>
  <sheetViews>
    <sheetView tabSelected="1" topLeftCell="F1" workbookViewId="0">
      <selection activeCell="J7" sqref="J7"/>
    </sheetView>
  </sheetViews>
  <sheetFormatPr defaultColWidth="8.85546875" defaultRowHeight="15"/>
  <cols>
    <col min="1" max="1" width="22.42578125" style="118" customWidth="1"/>
    <col min="2" max="2" width="24" style="118" customWidth="1"/>
    <col min="3" max="3" width="9.140625" style="118"/>
    <col min="4" max="4" width="12.85546875" style="118" customWidth="1"/>
    <col min="5" max="7" width="19.85546875" style="118" customWidth="1"/>
    <col min="8" max="10" width="19" style="118" customWidth="1"/>
    <col min="11" max="11" width="21" style="118" bestFit="1" customWidth="1"/>
    <col min="12" max="12" width="21.42578125" customWidth="1"/>
    <col min="13" max="13" width="15" customWidth="1"/>
    <col min="14" max="14" width="19.85546875" bestFit="1" customWidth="1"/>
    <col min="15" max="15" width="30" bestFit="1" customWidth="1"/>
  </cols>
  <sheetData>
    <row r="1" spans="1:15">
      <c r="A1" s="136" t="s">
        <v>0</v>
      </c>
      <c r="B1" s="136" t="s">
        <v>1</v>
      </c>
      <c r="C1" s="136" t="s">
        <v>52</v>
      </c>
      <c r="D1" s="136" t="s">
        <v>53</v>
      </c>
      <c r="E1" s="136" t="s">
        <v>54</v>
      </c>
      <c r="F1" s="136" t="s">
        <v>55</v>
      </c>
      <c r="G1" s="136" t="s">
        <v>56</v>
      </c>
      <c r="H1" s="136" t="s">
        <v>57</v>
      </c>
      <c r="I1" s="136" t="s">
        <v>58</v>
      </c>
      <c r="J1" s="136" t="s">
        <v>59</v>
      </c>
      <c r="K1" s="136" t="s">
        <v>60</v>
      </c>
      <c r="L1" s="147" t="s">
        <v>61</v>
      </c>
      <c r="M1" s="147" t="s">
        <v>62</v>
      </c>
      <c r="N1" s="159" t="s">
        <v>63</v>
      </c>
      <c r="O1" s="147" t="s">
        <v>64</v>
      </c>
    </row>
    <row r="2" spans="1:15">
      <c r="A2" s="137" t="s">
        <v>4</v>
      </c>
      <c r="B2" s="137" t="s">
        <v>5</v>
      </c>
      <c r="C2" s="137">
        <f>'Team 1'!D18</f>
        <v>4.3709177868852499E-3</v>
      </c>
      <c r="D2" s="137">
        <f>'Summary Page'!F78/100</f>
        <v>8.548E-2</v>
      </c>
      <c r="E2" s="139">
        <f>'Team 1'!$D$14</f>
        <v>32157.07</v>
      </c>
      <c r="F2" s="140">
        <f>'Team 1'!$D$12</f>
        <v>1527.06</v>
      </c>
      <c r="G2" s="138">
        <f>'Team 1'!$D$13</f>
        <v>3211361.29</v>
      </c>
      <c r="H2" s="138">
        <f>'Team 1'!$C$14</f>
        <v>21140.3</v>
      </c>
      <c r="I2" s="138">
        <f>'Team 1'!C12</f>
        <v>1169.8699999999999</v>
      </c>
      <c r="J2" s="138">
        <f>'Team 1'!C13</f>
        <v>2042437.24</v>
      </c>
      <c r="K2" s="137" t="s">
        <v>65</v>
      </c>
      <c r="L2" s="137" t="s">
        <v>66</v>
      </c>
      <c r="M2" s="137" t="s">
        <v>43</v>
      </c>
      <c r="N2" s="157">
        <v>36.200000000000003</v>
      </c>
      <c r="O2" s="157">
        <v>32.53</v>
      </c>
    </row>
    <row r="3" spans="1:15">
      <c r="A3" s="137" t="s">
        <v>4</v>
      </c>
      <c r="B3" s="137" t="s">
        <v>6</v>
      </c>
      <c r="C3" s="137">
        <f>'Team 1'!K18</f>
        <v>0.04</v>
      </c>
      <c r="D3" s="137">
        <f>'Summary Page'!F79/100</f>
        <v>8.4000000000000005E-2</v>
      </c>
      <c r="E3" s="139">
        <f>'Team 1'!$K$14</f>
        <v>100</v>
      </c>
      <c r="F3" s="140">
        <f>'Team 1'!$K$12</f>
        <v>94.42</v>
      </c>
      <c r="G3" s="138">
        <f>'Team 1'!$K$13</f>
        <v>2382</v>
      </c>
      <c r="H3" s="138">
        <f>'Team 1'!$J$14</f>
        <v>83.33</v>
      </c>
      <c r="I3" s="138">
        <f>'Team 1'!J12</f>
        <v>186.16</v>
      </c>
      <c r="J3" s="138">
        <f>'Team 1'!J13</f>
        <v>1800</v>
      </c>
      <c r="K3" s="137" t="s">
        <v>67</v>
      </c>
      <c r="L3" s="137" t="s">
        <v>68</v>
      </c>
      <c r="M3" s="137" t="s">
        <v>43</v>
      </c>
      <c r="N3" s="157">
        <v>1000</v>
      </c>
      <c r="O3" s="157">
        <v>1250</v>
      </c>
    </row>
    <row r="4" spans="1:15">
      <c r="A4" s="137" t="s">
        <v>7</v>
      </c>
      <c r="B4" s="137" t="s">
        <v>8</v>
      </c>
      <c r="C4" s="137">
        <f>'Team 2'!D18</f>
        <v>0.04</v>
      </c>
      <c r="D4" s="137">
        <f>'Summary Page'!F80/100</f>
        <v>0</v>
      </c>
      <c r="E4" s="139">
        <f>'Team 2'!$D$14</f>
        <v>19000</v>
      </c>
      <c r="F4" s="140">
        <f>'Team 2'!$D$12</f>
        <v>69.628981481481475</v>
      </c>
      <c r="G4" s="138">
        <f>'Team 2'!$D$13</f>
        <v>9066.0388000000003</v>
      </c>
      <c r="H4" s="138">
        <f>'Team 2'!$C$14</f>
        <v>20661.666666666701</v>
      </c>
      <c r="I4" s="138">
        <f>'Team 2'!C12</f>
        <v>108.1412037037037</v>
      </c>
      <c r="J4" s="138">
        <f>'Team 2'!C13</f>
        <v>8289.8101119940948</v>
      </c>
      <c r="K4" s="137" t="s">
        <v>67</v>
      </c>
      <c r="L4" s="137" t="s">
        <v>68</v>
      </c>
      <c r="M4" s="137" t="s">
        <v>43</v>
      </c>
      <c r="N4" s="158">
        <v>45748.625966522217</v>
      </c>
      <c r="O4" s="158">
        <v>61985</v>
      </c>
    </row>
    <row r="5" spans="1:15">
      <c r="A5" s="137" t="s">
        <v>7</v>
      </c>
      <c r="B5" s="137" t="s">
        <v>9</v>
      </c>
      <c r="C5" s="137">
        <f>'Team 2'!K18</f>
        <v>4.3709177868852499E-3</v>
      </c>
      <c r="D5" s="137">
        <f>'Summary Page'!F81/100</f>
        <v>0</v>
      </c>
      <c r="E5" s="139">
        <f>'Team 2'!$K$14</f>
        <v>7625</v>
      </c>
      <c r="F5" s="140">
        <f>'Team 2'!$K$12</f>
        <v>16504</v>
      </c>
      <c r="G5" s="138">
        <f>'Team 2'!$K$13</f>
        <v>270000000</v>
      </c>
      <c r="H5" s="138">
        <f>'Team 2'!$J$14</f>
        <v>8801</v>
      </c>
      <c r="I5" s="138">
        <f>'Team 2'!J12</f>
        <v>14936</v>
      </c>
      <c r="J5" s="138">
        <f>'Team 2'!J13</f>
        <v>243000000.00000003</v>
      </c>
      <c r="K5" s="137" t="s">
        <v>65</v>
      </c>
      <c r="L5" s="137" t="s">
        <v>66</v>
      </c>
      <c r="M5" s="137" t="s">
        <v>43</v>
      </c>
      <c r="N5" s="157">
        <v>307000</v>
      </c>
      <c r="O5" s="157">
        <v>354000</v>
      </c>
    </row>
    <row r="6" spans="1:15">
      <c r="A6" s="137" t="s">
        <v>10</v>
      </c>
      <c r="B6" s="137" t="s">
        <v>11</v>
      </c>
      <c r="C6" s="137">
        <f>'Team 3'!D18</f>
        <v>2.2680555555555554E-2</v>
      </c>
      <c r="D6" s="137">
        <f>'Summary Page'!F82/100</f>
        <v>0.14580000000000001</v>
      </c>
      <c r="E6" s="139">
        <f>'Team 3'!$D$14</f>
        <v>9504.2800000000007</v>
      </c>
      <c r="F6" s="140">
        <f>'Team 3'!$D$12</f>
        <v>6691</v>
      </c>
      <c r="G6" s="138">
        <f>'Team 3'!$D$13</f>
        <v>1519747</v>
      </c>
      <c r="H6" s="138">
        <f>'Team 3'!$C$14</f>
        <v>8721.0499999999993</v>
      </c>
      <c r="I6" s="138">
        <f>'Team 3'!C12</f>
        <v>15184</v>
      </c>
      <c r="J6" s="138">
        <f>'Team 3'!C13</f>
        <v>374043</v>
      </c>
      <c r="K6" s="137" t="s">
        <v>67</v>
      </c>
      <c r="L6" s="137" t="s">
        <v>66</v>
      </c>
      <c r="M6" s="137" t="s">
        <v>43</v>
      </c>
      <c r="N6" s="157">
        <v>5288</v>
      </c>
      <c r="O6" s="157">
        <v>20180</v>
      </c>
    </row>
    <row r="7" spans="1:15">
      <c r="A7" s="137" t="s">
        <v>10</v>
      </c>
      <c r="B7" s="137" t="s">
        <v>12</v>
      </c>
      <c r="C7" s="137">
        <f>'Team 3'!K18</f>
        <v>2.1100000000000001E-2</v>
      </c>
      <c r="D7" s="137">
        <f>'Summary Page'!F83/100</f>
        <v>6.0400000000000002E-2</v>
      </c>
      <c r="E7" s="139">
        <f>'Team 3'!$K$14</f>
        <v>1400</v>
      </c>
      <c r="F7" s="140">
        <f>'Team 3'!$K$12</f>
        <v>2911</v>
      </c>
      <c r="G7" s="138">
        <f>'Team 3'!$K$13</f>
        <v>59531</v>
      </c>
      <c r="H7" s="138">
        <f>'Team 3'!$J$14</f>
        <v>2017</v>
      </c>
      <c r="I7" s="138">
        <f>'Team 3'!J12</f>
        <v>4340</v>
      </c>
      <c r="J7" s="138">
        <f>'Team 3'!J13</f>
        <v>38100</v>
      </c>
      <c r="K7" s="137" t="s">
        <v>69</v>
      </c>
      <c r="L7" s="137" t="s">
        <v>68</v>
      </c>
      <c r="M7" s="137" t="s">
        <v>43</v>
      </c>
      <c r="N7" s="157">
        <v>21096</v>
      </c>
      <c r="O7" s="157">
        <v>29288</v>
      </c>
    </row>
    <row r="8" spans="1:15">
      <c r="A8" s="137" t="s">
        <v>13</v>
      </c>
      <c r="B8" s="137" t="s">
        <v>14</v>
      </c>
      <c r="C8" s="137">
        <f>'Team 4'!D18</f>
        <v>5.0000000000000001E-3</v>
      </c>
      <c r="D8" s="137">
        <f>'Summary Page'!F84/100</f>
        <v>0</v>
      </c>
      <c r="E8" s="139">
        <f>'Team 4'!$D$14</f>
        <v>66</v>
      </c>
      <c r="F8" s="140">
        <f>'Team 4'!$D$12</f>
        <v>30</v>
      </c>
      <c r="G8" s="138">
        <f>'Team 4'!$D$13</f>
        <v>5254</v>
      </c>
      <c r="H8" s="138">
        <f>'Team 4'!$C$14</f>
        <v>97</v>
      </c>
      <c r="I8" s="138">
        <f>'Team 4'!C12</f>
        <v>49</v>
      </c>
      <c r="J8" s="138">
        <f>'Team 4'!C13</f>
        <v>1416</v>
      </c>
      <c r="K8" s="137" t="s">
        <v>70</v>
      </c>
      <c r="L8" s="137" t="s">
        <v>66</v>
      </c>
      <c r="M8" s="137" t="s">
        <v>43</v>
      </c>
      <c r="N8" s="157">
        <v>1324.14</v>
      </c>
      <c r="O8" s="157">
        <v>1948.43</v>
      </c>
    </row>
    <row r="9" spans="1:15">
      <c r="A9" s="137" t="s">
        <v>13</v>
      </c>
      <c r="B9" s="137" t="s">
        <v>15</v>
      </c>
      <c r="C9" s="137">
        <f>'Team 4'!K18</f>
        <v>1.052E-2</v>
      </c>
      <c r="D9" s="137">
        <f>'Summary Page'!F85/100</f>
        <v>0.2</v>
      </c>
      <c r="E9" s="139">
        <f>'Team 4'!$K$14</f>
        <v>377.8</v>
      </c>
      <c r="F9" s="140">
        <f>'Team 4'!$K$12</f>
        <v>218.92</v>
      </c>
      <c r="G9" s="138">
        <f>'Team 4'!$K$13</f>
        <v>109880</v>
      </c>
      <c r="H9" s="138">
        <f>'Team 4'!$J$14</f>
        <v>398.48</v>
      </c>
      <c r="I9" s="138">
        <f>'Team 4'!J12</f>
        <v>290</v>
      </c>
      <c r="J9" s="138">
        <f>'Team 4'!J13</f>
        <v>83113</v>
      </c>
      <c r="K9" s="137" t="s">
        <v>65</v>
      </c>
      <c r="L9" s="137" t="s">
        <v>68</v>
      </c>
      <c r="M9" s="137" t="s">
        <v>43</v>
      </c>
      <c r="N9" s="157">
        <v>3778</v>
      </c>
      <c r="O9" s="157">
        <v>3984.81</v>
      </c>
    </row>
    <row r="10" spans="1:15">
      <c r="A10" s="137" t="s">
        <v>16</v>
      </c>
      <c r="B10" s="137" t="s">
        <v>14</v>
      </c>
      <c r="C10" s="137">
        <f>'Team 5'!D18</f>
        <v>5.0000000000000001E-3</v>
      </c>
      <c r="D10" s="137">
        <f>'Summary Page'!F86/100</f>
        <v>0</v>
      </c>
      <c r="E10" s="139">
        <f>'Team 5'!$D$14</f>
        <v>66.599999999999994</v>
      </c>
      <c r="F10" s="140">
        <f>'Team 5'!$D$12</f>
        <v>88</v>
      </c>
      <c r="G10" s="138">
        <f>'Team 5'!$D$13</f>
        <v>1577</v>
      </c>
      <c r="H10" s="138">
        <f>'Team 5'!$C$14</f>
        <v>98.83</v>
      </c>
      <c r="I10" s="137">
        <f>'Team 5'!C12</f>
        <v>113</v>
      </c>
      <c r="J10" s="138">
        <f>'Team 5'!C13</f>
        <v>1017</v>
      </c>
      <c r="K10" s="137" t="s">
        <v>70</v>
      </c>
      <c r="L10" s="137" t="s">
        <v>66</v>
      </c>
      <c r="M10" s="137" t="s">
        <v>43</v>
      </c>
      <c r="N10" s="157">
        <v>998.97</v>
      </c>
      <c r="O10" s="157">
        <v>1482.48</v>
      </c>
    </row>
    <row r="11" spans="1:15">
      <c r="A11" s="137" t="s">
        <v>16</v>
      </c>
      <c r="B11" s="137" t="s">
        <v>17</v>
      </c>
      <c r="C11" s="137">
        <f>'Team 5'!K18</f>
        <v>2.1100000000000001E-2</v>
      </c>
      <c r="D11" s="137">
        <f>'Summary Page'!F87/100</f>
        <v>6.0400000000000002E-2</v>
      </c>
      <c r="E11" s="139">
        <f>'Team 5'!$K$14</f>
        <v>2683</v>
      </c>
      <c r="F11" s="140">
        <f>'Team 5'!$K$12</f>
        <v>4223</v>
      </c>
      <c r="G11" s="138">
        <f>'Team 5'!$K$13</f>
        <v>76200</v>
      </c>
      <c r="H11" s="138">
        <f>'Team 5'!$J$14</f>
        <v>1986</v>
      </c>
      <c r="I11" s="138">
        <f>'Team 5'!J12</f>
        <v>4223</v>
      </c>
      <c r="J11" s="138">
        <f>'Team 5'!J13</f>
        <v>65690</v>
      </c>
      <c r="K11" s="137" t="s">
        <v>69</v>
      </c>
      <c r="L11" s="137" t="s">
        <v>68</v>
      </c>
      <c r="M11" s="137" t="s">
        <v>43</v>
      </c>
      <c r="N11" s="157">
        <v>32196</v>
      </c>
      <c r="O11" s="157">
        <v>23832</v>
      </c>
    </row>
    <row r="12" spans="1:15">
      <c r="A12" s="137" t="s">
        <v>18</v>
      </c>
      <c r="B12" s="137" t="s">
        <v>19</v>
      </c>
      <c r="C12" s="137">
        <f>'Team 6'!D18</f>
        <v>0.04</v>
      </c>
      <c r="D12" s="137">
        <f>'Summary Page'!F88/100</f>
        <v>0</v>
      </c>
      <c r="E12" s="139">
        <f>'Team 6'!$D$14</f>
        <v>1.18</v>
      </c>
      <c r="F12" s="140">
        <f>'Team 6'!$D$12</f>
        <v>4.25</v>
      </c>
      <c r="G12" s="138">
        <f>'Team 6'!$D$13</f>
        <v>1620.43</v>
      </c>
      <c r="H12" s="138">
        <f>'Team 6'!$C$14</f>
        <v>18.399999999999999</v>
      </c>
      <c r="I12" s="137">
        <f>'Team 6'!C12</f>
        <v>33.68</v>
      </c>
      <c r="J12" s="137">
        <f>'Team 6'!C13</f>
        <v>773.99</v>
      </c>
      <c r="K12" s="137" t="s">
        <v>67</v>
      </c>
      <c r="L12" s="137" t="s">
        <v>68</v>
      </c>
      <c r="M12" s="137" t="s">
        <v>43</v>
      </c>
      <c r="N12" s="157">
        <v>28</v>
      </c>
      <c r="O12" s="157">
        <v>94</v>
      </c>
    </row>
    <row r="13" spans="1:15">
      <c r="A13" s="137" t="s">
        <v>18</v>
      </c>
      <c r="B13" s="137" t="s">
        <v>20</v>
      </c>
      <c r="C13" s="137">
        <f>'Team 6'!K18</f>
        <v>2.2680555555555554E-2</v>
      </c>
      <c r="D13" s="137">
        <f>'Summary Page'!F89/100</f>
        <v>0</v>
      </c>
      <c r="E13" s="139">
        <f>'Team 6'!$K$14</f>
        <v>1.22</v>
      </c>
      <c r="F13" s="140">
        <f>'Team 6'!$K$12</f>
        <v>0.69</v>
      </c>
      <c r="G13" s="138">
        <f>'Team 6'!$K$13</f>
        <v>4011.933</v>
      </c>
      <c r="H13" s="138">
        <f>'Team 6'!$J$14</f>
        <v>5.0199999999999996</v>
      </c>
      <c r="I13" s="137">
        <f>'Team 6'!J12</f>
        <v>14.015000000000001</v>
      </c>
      <c r="J13" s="137">
        <f>'Team 6'!J13</f>
        <v>1157.1669999999999</v>
      </c>
      <c r="K13" s="137" t="s">
        <v>67</v>
      </c>
      <c r="L13" s="137" t="s">
        <v>66</v>
      </c>
      <c r="M13" s="137" t="s">
        <v>43</v>
      </c>
      <c r="N13" s="157">
        <v>12.24</v>
      </c>
      <c r="O13" s="157">
        <v>41.7</v>
      </c>
    </row>
    <row r="14" spans="1:15">
      <c r="A14" s="137" t="s">
        <v>21</v>
      </c>
      <c r="B14" s="137" t="s">
        <v>11</v>
      </c>
      <c r="C14" s="137">
        <f>'Team A'!D18</f>
        <v>2.2680555555555554E-2</v>
      </c>
      <c r="D14" s="137">
        <f>'Summary Page'!F90/100</f>
        <v>0.1</v>
      </c>
      <c r="E14" s="139">
        <f>'Team A'!$D$14</f>
        <v>1.1100000000000001</v>
      </c>
      <c r="F14" s="140">
        <f>'Team A'!$D$12</f>
        <v>2.64</v>
      </c>
      <c r="G14" s="138">
        <f>'Team A'!$D$13</f>
        <v>223.82</v>
      </c>
      <c r="H14" s="138">
        <f>'Team A'!$C$14</f>
        <v>0.17199999999999999</v>
      </c>
      <c r="I14" s="140">
        <f>'Team A'!C12</f>
        <v>0.59599999999999997</v>
      </c>
      <c r="J14" s="140">
        <f>'Team A'!C13</f>
        <v>39.42</v>
      </c>
      <c r="K14" s="137" t="s">
        <v>67</v>
      </c>
      <c r="L14" s="137" t="s">
        <v>66</v>
      </c>
      <c r="M14" s="137" t="s">
        <v>44</v>
      </c>
      <c r="N14" s="157">
        <v>1.99</v>
      </c>
      <c r="O14" s="157">
        <v>3.93</v>
      </c>
    </row>
    <row r="15" spans="1:15">
      <c r="A15" s="137" t="s">
        <v>21</v>
      </c>
      <c r="B15" s="137" t="s">
        <v>22</v>
      </c>
      <c r="C15" s="137">
        <f>'Team A'!K18</f>
        <v>5.0000000000000001E-3</v>
      </c>
      <c r="D15" s="137">
        <f>'Summary Page'!F91/100</f>
        <v>0</v>
      </c>
      <c r="E15" s="139">
        <f>'Team A'!$K$14</f>
        <v>39.9</v>
      </c>
      <c r="F15" s="140">
        <f>'Team A'!$K$12</f>
        <v>30.1</v>
      </c>
      <c r="G15" s="138">
        <f>'Team A'!$K$13</f>
        <v>5253.5</v>
      </c>
      <c r="H15" s="138">
        <f>'Team A'!$J$14</f>
        <v>98.8</v>
      </c>
      <c r="I15" s="140">
        <f>'Team A'!J12</f>
        <v>86.5</v>
      </c>
      <c r="J15" s="140">
        <f>'Team A'!J13</f>
        <v>1133</v>
      </c>
      <c r="K15" s="137" t="s">
        <v>70</v>
      </c>
      <c r="L15" s="137" t="s">
        <v>66</v>
      </c>
      <c r="M15" s="137" t="s">
        <v>44</v>
      </c>
      <c r="N15" s="157">
        <v>22840</v>
      </c>
      <c r="O15" s="157">
        <v>27555</v>
      </c>
    </row>
    <row r="16" spans="1:15">
      <c r="A16" s="137" t="s">
        <v>23</v>
      </c>
      <c r="B16" s="137" t="s">
        <v>24</v>
      </c>
      <c r="C16" s="137">
        <f>'Team B'!D18</f>
        <v>2.2680555555555554E-2</v>
      </c>
      <c r="D16" s="137">
        <f>'Summary Page'!F92/100</f>
        <v>0</v>
      </c>
      <c r="E16" s="139">
        <f>'Team B'!$D$14</f>
        <v>0.65</v>
      </c>
      <c r="F16" s="140">
        <f>'Team B'!$D$12</f>
        <v>0.39505000000000001</v>
      </c>
      <c r="G16" s="138">
        <f>'Team B'!$D$13</f>
        <v>4461.6499999999996</v>
      </c>
      <c r="H16" s="138">
        <f>'Team B'!$C$14</f>
        <v>8.5389999999999997</v>
      </c>
      <c r="I16" s="137">
        <f>'Team B'!C12</f>
        <v>14.015000000000001</v>
      </c>
      <c r="J16" s="137">
        <f>'Team B'!C13</f>
        <v>1579.0219999999999</v>
      </c>
      <c r="K16" s="137" t="s">
        <v>67</v>
      </c>
      <c r="L16" s="137" t="s">
        <v>66</v>
      </c>
      <c r="M16" s="137" t="s">
        <v>44</v>
      </c>
      <c r="N16" s="157">
        <v>10.74</v>
      </c>
      <c r="O16" s="157">
        <v>67.89</v>
      </c>
    </row>
    <row r="17" spans="1:15">
      <c r="A17" s="137" t="s">
        <v>23</v>
      </c>
      <c r="B17" s="137" t="s">
        <v>25</v>
      </c>
      <c r="C17" s="137">
        <f>'Team B'!K18</f>
        <v>0.04</v>
      </c>
      <c r="D17" s="137">
        <f>'Summary Page'!F93/100</f>
        <v>0</v>
      </c>
      <c r="E17" s="139">
        <f>'Team B'!$K$14</f>
        <v>46.7</v>
      </c>
      <c r="F17" s="140">
        <f>'Team B'!$K$12</f>
        <v>436.697</v>
      </c>
      <c r="G17" s="138">
        <f>'Team B'!$K$13</f>
        <v>1454.4</v>
      </c>
      <c r="H17" s="138">
        <f>'Team B'!$J$14</f>
        <v>53.15</v>
      </c>
      <c r="I17" s="140">
        <f>'Team B'!J12</f>
        <v>436.697</v>
      </c>
      <c r="J17" s="137">
        <f>'Team B'!J13</f>
        <v>1306.8</v>
      </c>
      <c r="K17" s="137" t="s">
        <v>67</v>
      </c>
      <c r="L17" s="137" t="s">
        <v>68</v>
      </c>
      <c r="M17" s="137" t="s">
        <v>44</v>
      </c>
      <c r="N17" s="157">
        <v>674.1</v>
      </c>
      <c r="O17" s="157">
        <v>764.1</v>
      </c>
    </row>
    <row r="18" spans="1:15">
      <c r="A18" s="137" t="s">
        <v>26</v>
      </c>
      <c r="B18" s="137" t="s">
        <v>19</v>
      </c>
      <c r="C18" s="137">
        <f>'Team C'!D18</f>
        <v>2.2680555555555554E-2</v>
      </c>
      <c r="D18" s="137">
        <f>'Summary Page'!F94/100</f>
        <v>7.0999999999999994E-2</v>
      </c>
      <c r="E18" s="139">
        <f>'Team C'!$D$14</f>
        <v>0.96699999999999997</v>
      </c>
      <c r="F18" s="140">
        <f>'Team C'!$D$12</f>
        <v>3.28</v>
      </c>
      <c r="G18" s="138">
        <f>'Team C'!$D$13</f>
        <v>1472.4</v>
      </c>
      <c r="H18" s="138">
        <f>'Team C'!$C$14</f>
        <v>7.9989999999999997</v>
      </c>
      <c r="I18" s="140">
        <f>'Team C'!C12</f>
        <v>9.61</v>
      </c>
      <c r="J18" s="140">
        <f>'Team C'!C13</f>
        <v>1098</v>
      </c>
      <c r="K18" s="137" t="s">
        <v>67</v>
      </c>
      <c r="L18" s="137" t="s">
        <v>66</v>
      </c>
      <c r="M18" s="137" t="s">
        <v>44</v>
      </c>
      <c r="N18" s="157">
        <v>8.98</v>
      </c>
      <c r="O18" s="157">
        <v>79.989999999999995</v>
      </c>
    </row>
    <row r="19" spans="1:15">
      <c r="A19" s="137" t="s">
        <v>26</v>
      </c>
      <c r="B19" s="137" t="s">
        <v>27</v>
      </c>
      <c r="C19" s="137">
        <f>'Team C'!K18</f>
        <v>2.1100000000000001E-2</v>
      </c>
      <c r="D19" s="137">
        <f>'Summary Page'!F95/100</f>
        <v>0.2</v>
      </c>
      <c r="E19" s="139">
        <f>'Team C'!$K$14</f>
        <v>6355.34</v>
      </c>
      <c r="F19" s="140">
        <f>'Team C'!$K$12</f>
        <v>6765</v>
      </c>
      <c r="G19" s="138">
        <f>'Team C'!$K$13</f>
        <v>70556</v>
      </c>
      <c r="H19" s="138">
        <f>'Team C'!$J$14</f>
        <v>6714.19</v>
      </c>
      <c r="I19" s="140">
        <f>'Team C'!J12</f>
        <v>6959</v>
      </c>
      <c r="J19" s="140">
        <f>'Team C'!J13</f>
        <v>45357</v>
      </c>
      <c r="K19" s="137" t="s">
        <v>69</v>
      </c>
      <c r="L19" s="137" t="s">
        <v>68</v>
      </c>
      <c r="M19" s="137" t="s">
        <v>44</v>
      </c>
      <c r="N19" s="157">
        <v>22084</v>
      </c>
      <c r="O19" s="157">
        <v>27555</v>
      </c>
    </row>
    <row r="20" spans="1:15">
      <c r="A20" s="137" t="s">
        <v>28</v>
      </c>
      <c r="B20" s="137" t="s">
        <v>8</v>
      </c>
      <c r="C20" s="137">
        <f>'Team D'!D18</f>
        <v>2.2680555555555554E-2</v>
      </c>
      <c r="D20" s="137">
        <f>'Summary Page'!F96/100</f>
        <v>0</v>
      </c>
      <c r="E20" s="139">
        <f>'Team D'!$D$14</f>
        <v>9.4</v>
      </c>
      <c r="F20" s="140">
        <f>'Team D'!$D$12</f>
        <v>112.3</v>
      </c>
      <c r="G20" s="138">
        <f>'Team D'!$D$13</f>
        <v>226</v>
      </c>
      <c r="H20" s="138">
        <f>'Team D'!$C$14</f>
        <v>11.9</v>
      </c>
      <c r="I20" s="138">
        <f>'Team D'!C12</f>
        <v>104.7</v>
      </c>
      <c r="J20" s="138">
        <f>'Team D'!C13</f>
        <v>104</v>
      </c>
      <c r="K20" s="137" t="s">
        <v>67</v>
      </c>
      <c r="L20" s="137" t="s">
        <v>66</v>
      </c>
      <c r="M20" s="137" t="s">
        <v>44</v>
      </c>
      <c r="N20" s="157">
        <v>94</v>
      </c>
      <c r="O20" s="157">
        <v>119</v>
      </c>
    </row>
    <row r="21" spans="1:15">
      <c r="A21" s="137" t="s">
        <v>28</v>
      </c>
      <c r="B21" s="137" t="s">
        <v>17</v>
      </c>
      <c r="C21" s="137">
        <f>'Team D'!K18</f>
        <v>2.1100000000000001E-2</v>
      </c>
      <c r="D21" s="137">
        <f>'Summary Page'!F97/100</f>
        <v>6.0400000000000002E-2</v>
      </c>
      <c r="E21" s="139">
        <f>'Team D'!$K$14</f>
        <v>2944</v>
      </c>
      <c r="F21" s="140">
        <f>'Team D'!$K$12</f>
        <v>10516</v>
      </c>
      <c r="G21" s="138">
        <f>'Team D'!$K$13</f>
        <v>70556</v>
      </c>
      <c r="H21" s="138">
        <f>'Team D'!$J$14</f>
        <v>2803</v>
      </c>
      <c r="I21" s="138">
        <f>'Team D'!J12</f>
        <v>9406</v>
      </c>
      <c r="J21" s="138">
        <f>'Team D'!J13</f>
        <v>56029</v>
      </c>
      <c r="K21" s="137" t="s">
        <v>69</v>
      </c>
      <c r="L21" s="137" t="s">
        <v>68</v>
      </c>
      <c r="M21" s="137" t="s">
        <v>44</v>
      </c>
      <c r="N21" s="157">
        <f>2944*12</f>
        <v>35328</v>
      </c>
      <c r="O21" s="157">
        <f>2802.5*12</f>
        <v>33630</v>
      </c>
    </row>
  </sheetData>
  <sheetProtection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F6FE6-C7A2-4BB2-B04B-E511559E4F51}">
  <sheetPr>
    <tabColor rgb="FFFF0000"/>
  </sheetPr>
  <dimension ref="C1:T112"/>
  <sheetViews>
    <sheetView showGridLines="0" zoomScale="80" zoomScaleNormal="80" workbookViewId="0">
      <selection activeCell="C102" sqref="C102:E111"/>
    </sheetView>
  </sheetViews>
  <sheetFormatPr defaultColWidth="8.85546875" defaultRowHeight="15"/>
  <cols>
    <col min="1" max="2" width="8.85546875" style="10"/>
    <col min="3" max="3" width="10" style="10" customWidth="1"/>
    <col min="4" max="4" width="29.28515625" style="10" bestFit="1" customWidth="1"/>
    <col min="5" max="5" width="10.42578125" style="10" customWidth="1"/>
    <col min="6" max="7" width="15.28515625" style="10" customWidth="1"/>
    <col min="8" max="9" width="10" style="10" customWidth="1"/>
    <col min="10" max="10" width="12.85546875" style="10" customWidth="1"/>
    <col min="11" max="11" width="27.7109375" style="10" bestFit="1" customWidth="1"/>
    <col min="12" max="12" width="9.7109375" style="10" customWidth="1"/>
    <col min="13" max="13" width="21.28515625" style="10" customWidth="1"/>
    <col min="14" max="15" width="10" style="10" customWidth="1"/>
    <col min="16" max="16" width="13.7109375" style="10" customWidth="1"/>
    <col min="17" max="17" width="28.28515625" style="10" bestFit="1" customWidth="1"/>
    <col min="18" max="18" width="8.85546875" style="10"/>
    <col min="19" max="19" width="21.140625" style="10" customWidth="1"/>
    <col min="20" max="20" width="9.28515625" style="10" bestFit="1" customWidth="1"/>
    <col min="21" max="22" width="8.85546875" style="10"/>
    <col min="23" max="23" width="29.7109375" style="10" bestFit="1" customWidth="1"/>
    <col min="24" max="24" width="8.85546875" style="10"/>
    <col min="25" max="25" width="23.42578125" style="10" customWidth="1"/>
    <col min="26" max="16384" width="8.85546875" style="10"/>
  </cols>
  <sheetData>
    <row r="1" spans="3:20" ht="15.75" thickBot="1"/>
    <row r="2" spans="3:20" ht="16.5" thickBot="1">
      <c r="C2" s="254" t="s">
        <v>71</v>
      </c>
      <c r="D2" s="255"/>
      <c r="E2" s="255"/>
      <c r="F2" s="255"/>
      <c r="G2" s="256"/>
      <c r="J2" s="257" t="s">
        <v>72</v>
      </c>
      <c r="K2" s="258"/>
      <c r="L2" s="258"/>
      <c r="M2" s="259"/>
      <c r="P2" s="260" t="s">
        <v>73</v>
      </c>
      <c r="Q2" s="261"/>
      <c r="R2" s="261"/>
      <c r="S2" s="262"/>
    </row>
    <row r="3" spans="3:20" ht="15.75" thickBot="1"/>
    <row r="4" spans="3:20" ht="16.5" thickBot="1">
      <c r="C4" s="247" t="s">
        <v>74</v>
      </c>
      <c r="D4" s="248"/>
      <c r="E4" s="248"/>
      <c r="F4" s="248"/>
      <c r="G4" s="249"/>
      <c r="J4" s="237" t="s">
        <v>75</v>
      </c>
      <c r="K4" s="238"/>
      <c r="L4" s="238"/>
      <c r="M4" s="239"/>
    </row>
    <row r="5" spans="3:20" ht="16.5" thickBot="1">
      <c r="C5" s="26" t="s">
        <v>76</v>
      </c>
      <c r="D5" s="27" t="s">
        <v>77</v>
      </c>
      <c r="E5" s="27" t="s">
        <v>78</v>
      </c>
      <c r="F5" s="27" t="s">
        <v>79</v>
      </c>
      <c r="G5" s="28" t="s">
        <v>80</v>
      </c>
      <c r="J5" s="26" t="s">
        <v>76</v>
      </c>
      <c r="K5" s="27" t="s">
        <v>77</v>
      </c>
      <c r="L5" s="27" t="s">
        <v>78</v>
      </c>
      <c r="M5" s="28" t="s">
        <v>81</v>
      </c>
      <c r="P5" s="209" t="s">
        <v>76</v>
      </c>
      <c r="Q5" s="210" t="s">
        <v>77</v>
      </c>
      <c r="R5" s="210" t="s">
        <v>78</v>
      </c>
      <c r="S5" s="63" t="s">
        <v>82</v>
      </c>
    </row>
    <row r="6" spans="3:20" ht="15.75">
      <c r="C6" s="240" t="s">
        <v>83</v>
      </c>
      <c r="D6" s="29" t="s">
        <v>5</v>
      </c>
      <c r="E6" s="241" t="s">
        <v>84</v>
      </c>
      <c r="F6" s="40">
        <f>'Team 1'!C12</f>
        <v>1169.8699999999999</v>
      </c>
      <c r="G6" s="41">
        <f>'Team 1'!D12</f>
        <v>1527.06</v>
      </c>
      <c r="H6" s="15"/>
      <c r="I6" s="15"/>
      <c r="J6" s="240" t="s">
        <v>83</v>
      </c>
      <c r="K6" s="29" t="s">
        <v>5</v>
      </c>
      <c r="L6" s="244" t="s">
        <v>84</v>
      </c>
      <c r="M6" s="46">
        <f>'Team 1'!D24</f>
        <v>-357.19000000000005</v>
      </c>
      <c r="P6" s="240" t="s">
        <v>83</v>
      </c>
      <c r="Q6" s="29" t="s">
        <v>5</v>
      </c>
      <c r="R6" s="241" t="s">
        <v>85</v>
      </c>
      <c r="S6" s="166">
        <f>'Team 1'!D28</f>
        <v>-3.0557160664116718E-4</v>
      </c>
      <c r="T6" s="160"/>
    </row>
    <row r="7" spans="3:20" ht="15.75">
      <c r="C7" s="227"/>
      <c r="D7" s="207" t="s">
        <v>6</v>
      </c>
      <c r="E7" s="228"/>
      <c r="F7" s="42">
        <f>'Team 1'!J12</f>
        <v>186.16</v>
      </c>
      <c r="G7" s="43">
        <f>'Team 1'!K12</f>
        <v>94.42</v>
      </c>
      <c r="H7" s="15"/>
      <c r="I7" s="15"/>
      <c r="J7" s="227"/>
      <c r="K7" s="207" t="s">
        <v>6</v>
      </c>
      <c r="L7" s="245"/>
      <c r="M7" s="47">
        <f>'Team 1'!K24</f>
        <v>91.74</v>
      </c>
      <c r="P7" s="227"/>
      <c r="Q7" s="207" t="s">
        <v>6</v>
      </c>
      <c r="R7" s="228"/>
      <c r="S7" s="167">
        <f>'Team 1'!K28</f>
        <v>0.15762886597938144</v>
      </c>
    </row>
    <row r="8" spans="3:20" ht="15.75">
      <c r="C8" s="227" t="s">
        <v>86</v>
      </c>
      <c r="D8" s="207" t="s">
        <v>8</v>
      </c>
      <c r="E8" s="228" t="s">
        <v>84</v>
      </c>
      <c r="F8" s="42">
        <f>'Team 2'!C12</f>
        <v>108.1412037037037</v>
      </c>
      <c r="G8" s="43">
        <f>'Team 2'!D12</f>
        <v>69.628981481481475</v>
      </c>
      <c r="J8" s="227" t="s">
        <v>86</v>
      </c>
      <c r="K8" s="207" t="s">
        <v>8</v>
      </c>
      <c r="L8" s="228" t="s">
        <v>84</v>
      </c>
      <c r="M8" s="47">
        <f>'Team 2'!D24</f>
        <v>38.512222222222221</v>
      </c>
      <c r="P8" s="227" t="s">
        <v>86</v>
      </c>
      <c r="Q8" s="207" t="s">
        <v>8</v>
      </c>
      <c r="R8" s="228" t="s">
        <v>85</v>
      </c>
      <c r="S8" s="167">
        <f>'Team 2'!D28</f>
        <v>4.9614530894443343E-2</v>
      </c>
    </row>
    <row r="9" spans="3:20" ht="15.75">
      <c r="C9" s="227"/>
      <c r="D9" s="207" t="s">
        <v>9</v>
      </c>
      <c r="E9" s="228"/>
      <c r="F9" s="42">
        <f>'Team 2'!J12</f>
        <v>14936</v>
      </c>
      <c r="G9" s="43">
        <f>'Team 2'!K12</f>
        <v>16504</v>
      </c>
      <c r="J9" s="227"/>
      <c r="K9" s="207" t="s">
        <v>9</v>
      </c>
      <c r="L9" s="228"/>
      <c r="M9" s="47">
        <f>'Team 2'!K24</f>
        <v>-1568</v>
      </c>
      <c r="P9" s="227"/>
      <c r="Q9" s="207" t="s">
        <v>9</v>
      </c>
      <c r="R9" s="228"/>
      <c r="S9" s="167">
        <f>'Team 2'!K28</f>
        <v>-5.8074074074074138E-5</v>
      </c>
    </row>
    <row r="10" spans="3:20" ht="15.75">
      <c r="C10" s="227" t="s">
        <v>87</v>
      </c>
      <c r="D10" s="207" t="s">
        <v>11</v>
      </c>
      <c r="E10" s="228" t="s">
        <v>84</v>
      </c>
      <c r="F10" s="42">
        <f>'Team 3'!C12</f>
        <v>15184</v>
      </c>
      <c r="G10" s="43">
        <f>'Team 3'!D12</f>
        <v>6691</v>
      </c>
      <c r="J10" s="227" t="s">
        <v>87</v>
      </c>
      <c r="K10" s="207" t="s">
        <v>11</v>
      </c>
      <c r="L10" s="228" t="s">
        <v>84</v>
      </c>
      <c r="M10" s="47">
        <f>'Team 3'!D24</f>
        <v>8493</v>
      </c>
      <c r="P10" s="227" t="s">
        <v>87</v>
      </c>
      <c r="Q10" s="207" t="s">
        <v>11</v>
      </c>
      <c r="R10" s="228" t="s">
        <v>85</v>
      </c>
      <c r="S10" s="167">
        <f>'Team 3'!D28</f>
        <v>7.4129094425785368E-3</v>
      </c>
    </row>
    <row r="11" spans="3:20" ht="15.75">
      <c r="C11" s="227"/>
      <c r="D11" s="207" t="s">
        <v>29</v>
      </c>
      <c r="E11" s="228"/>
      <c r="F11" s="42">
        <f>'Team 3'!J12</f>
        <v>4340</v>
      </c>
      <c r="G11" s="43">
        <f>'Team 3'!K12</f>
        <v>2911</v>
      </c>
      <c r="J11" s="227"/>
      <c r="K11" s="207" t="s">
        <v>29</v>
      </c>
      <c r="L11" s="228"/>
      <c r="M11" s="47">
        <f>'Team 3'!K24</f>
        <v>1429</v>
      </c>
      <c r="P11" s="227"/>
      <c r="Q11" s="207" t="s">
        <v>29</v>
      </c>
      <c r="R11" s="228"/>
      <c r="S11" s="167">
        <f>'Team 3'!K28</f>
        <v>6.667910970090056E-2</v>
      </c>
    </row>
    <row r="12" spans="3:20" ht="15.75">
      <c r="C12" s="227" t="s">
        <v>88</v>
      </c>
      <c r="D12" s="207" t="s">
        <v>14</v>
      </c>
      <c r="E12" s="228" t="s">
        <v>84</v>
      </c>
      <c r="F12" s="42">
        <f>'Team 4'!C12</f>
        <v>49</v>
      </c>
      <c r="G12" s="43">
        <f>'Team 4'!D12</f>
        <v>30</v>
      </c>
      <c r="J12" s="227" t="s">
        <v>88</v>
      </c>
      <c r="K12" s="207" t="s">
        <v>14</v>
      </c>
      <c r="L12" s="228" t="s">
        <v>84</v>
      </c>
      <c r="M12" s="47">
        <f>'Team 4'!D24</f>
        <v>19</v>
      </c>
      <c r="P12" s="227" t="s">
        <v>88</v>
      </c>
      <c r="Q12" s="207" t="s">
        <v>14</v>
      </c>
      <c r="R12" s="228" t="s">
        <v>85</v>
      </c>
      <c r="S12" s="167">
        <f>'Team 4'!D28</f>
        <v>4.9504950495049506E-3</v>
      </c>
    </row>
    <row r="13" spans="3:20" ht="15.75">
      <c r="C13" s="227"/>
      <c r="D13" s="207" t="s">
        <v>15</v>
      </c>
      <c r="E13" s="228"/>
      <c r="F13" s="42">
        <f>'Team 4'!J12</f>
        <v>290</v>
      </c>
      <c r="G13" s="43">
        <f>'Team 4'!K12</f>
        <v>218.92</v>
      </c>
      <c r="J13" s="227"/>
      <c r="K13" s="207" t="s">
        <v>15</v>
      </c>
      <c r="L13" s="228"/>
      <c r="M13" s="47">
        <f>'Team 4'!K24</f>
        <v>71.080000000000013</v>
      </c>
      <c r="P13" s="227"/>
      <c r="Q13" s="207" t="s">
        <v>15</v>
      </c>
      <c r="R13" s="228"/>
      <c r="S13" s="167">
        <f>'Team 4'!K28</f>
        <v>2.6555086487092322E-3</v>
      </c>
    </row>
    <row r="14" spans="3:20" ht="15.75">
      <c r="C14" s="227" t="s">
        <v>89</v>
      </c>
      <c r="D14" s="207" t="s">
        <v>14</v>
      </c>
      <c r="E14" s="228" t="s">
        <v>84</v>
      </c>
      <c r="F14" s="42">
        <f>'Team 5'!C12</f>
        <v>113</v>
      </c>
      <c r="G14" s="43">
        <f>'Team 5'!D12</f>
        <v>88</v>
      </c>
      <c r="J14" s="227" t="s">
        <v>89</v>
      </c>
      <c r="K14" s="207" t="s">
        <v>14</v>
      </c>
      <c r="L14" s="228" t="s">
        <v>84</v>
      </c>
      <c r="M14" s="47">
        <f>'Team 5'!D24</f>
        <v>25</v>
      </c>
      <c r="P14" s="227" t="s">
        <v>89</v>
      </c>
      <c r="Q14" s="207" t="s">
        <v>14</v>
      </c>
      <c r="R14" s="228" t="s">
        <v>85</v>
      </c>
      <c r="S14" s="167">
        <f>'Team 5'!D28</f>
        <v>4.4642857142857144E-2</v>
      </c>
    </row>
    <row r="15" spans="3:20" ht="15.75">
      <c r="C15" s="227"/>
      <c r="D15" s="207" t="s">
        <v>30</v>
      </c>
      <c r="E15" s="228"/>
      <c r="F15" s="42">
        <f>'Team 5'!J12</f>
        <v>4223</v>
      </c>
      <c r="G15" s="43">
        <f>'Team 5'!K12</f>
        <v>4223</v>
      </c>
      <c r="J15" s="227"/>
      <c r="K15" s="207" t="s">
        <v>30</v>
      </c>
      <c r="L15" s="228"/>
      <c r="M15" s="47">
        <f>'Team 5'!K24</f>
        <v>0</v>
      </c>
      <c r="P15" s="227"/>
      <c r="Q15" s="207" t="s">
        <v>30</v>
      </c>
      <c r="R15" s="228"/>
      <c r="S15" s="167">
        <f>'Team 5'!K28</f>
        <v>0</v>
      </c>
    </row>
    <row r="16" spans="3:20" ht="15.75">
      <c r="C16" s="227" t="s">
        <v>90</v>
      </c>
      <c r="D16" s="207" t="s">
        <v>19</v>
      </c>
      <c r="E16" s="228" t="s">
        <v>84</v>
      </c>
      <c r="F16" s="42">
        <f>'Team 6'!C12</f>
        <v>33.68</v>
      </c>
      <c r="G16" s="43">
        <f>'Team 6'!D12</f>
        <v>4.25</v>
      </c>
      <c r="J16" s="227" t="s">
        <v>90</v>
      </c>
      <c r="K16" s="207" t="s">
        <v>19</v>
      </c>
      <c r="L16" s="228" t="s">
        <v>84</v>
      </c>
      <c r="M16" s="47">
        <f>'Team 6'!D24</f>
        <v>29.43</v>
      </c>
      <c r="P16" s="227" t="s">
        <v>90</v>
      </c>
      <c r="Q16" s="207" t="s">
        <v>19</v>
      </c>
      <c r="R16" s="228" t="s">
        <v>85</v>
      </c>
      <c r="S16" s="167">
        <f>'Team 6'!D28</f>
        <v>3.4769150796276169E-2</v>
      </c>
    </row>
    <row r="17" spans="3:19" ht="15.75">
      <c r="C17" s="227"/>
      <c r="D17" s="207" t="s">
        <v>20</v>
      </c>
      <c r="E17" s="228"/>
      <c r="F17" s="42">
        <f>'Team 6'!J12</f>
        <v>14.015000000000001</v>
      </c>
      <c r="G17" s="43">
        <f>'Team 6'!K12</f>
        <v>0.69</v>
      </c>
      <c r="J17" s="227"/>
      <c r="K17" s="207" t="s">
        <v>20</v>
      </c>
      <c r="L17" s="228"/>
      <c r="M17" s="47">
        <f>'Team 6'!K24</f>
        <v>13.325000000000001</v>
      </c>
      <c r="P17" s="227"/>
      <c r="Q17" s="207" t="s">
        <v>20</v>
      </c>
      <c r="R17" s="228"/>
      <c r="S17" s="167">
        <f>'Team 6'!K28</f>
        <v>4.6676330038959409E-3</v>
      </c>
    </row>
    <row r="18" spans="3:19" ht="15.75">
      <c r="C18" s="227" t="s">
        <v>91</v>
      </c>
      <c r="D18" s="207" t="s">
        <v>11</v>
      </c>
      <c r="E18" s="228" t="s">
        <v>84</v>
      </c>
      <c r="F18" s="49">
        <v>13.6</v>
      </c>
      <c r="G18" s="55">
        <v>4.75</v>
      </c>
      <c r="J18" s="227" t="s">
        <v>91</v>
      </c>
      <c r="K18" s="207" t="s">
        <v>11</v>
      </c>
      <c r="L18" s="228" t="s">
        <v>84</v>
      </c>
      <c r="M18" s="47">
        <f>'Team A'!D24</f>
        <v>-2.044</v>
      </c>
      <c r="P18" s="227" t="s">
        <v>91</v>
      </c>
      <c r="Q18" s="207" t="s">
        <v>11</v>
      </c>
      <c r="R18" s="228" t="s">
        <v>85</v>
      </c>
      <c r="S18" s="167">
        <f>'Team A'!D28</f>
        <v>-1.1084598698481564E-2</v>
      </c>
    </row>
    <row r="19" spans="3:19" ht="15.75">
      <c r="C19" s="227"/>
      <c r="D19" s="207" t="s">
        <v>22</v>
      </c>
      <c r="E19" s="228"/>
      <c r="F19" s="50">
        <f>'Team A'!J12</f>
        <v>86.5</v>
      </c>
      <c r="G19" s="51">
        <f>'Team A'!K12</f>
        <v>30.1</v>
      </c>
      <c r="J19" s="227"/>
      <c r="K19" s="207" t="s">
        <v>22</v>
      </c>
      <c r="L19" s="228"/>
      <c r="M19" s="47">
        <f>'Team A'!K24</f>
        <v>56.4</v>
      </c>
      <c r="P19" s="227"/>
      <c r="Q19" s="207" t="s">
        <v>22</v>
      </c>
      <c r="R19" s="228"/>
      <c r="S19" s="167">
        <f>'Team A'!K28</f>
        <v>1.3687659264652348E-2</v>
      </c>
    </row>
    <row r="20" spans="3:19" ht="15.75">
      <c r="C20" s="227" t="s">
        <v>92</v>
      </c>
      <c r="D20" s="207" t="s">
        <v>24</v>
      </c>
      <c r="E20" s="228" t="s">
        <v>84</v>
      </c>
      <c r="F20" s="42">
        <f>'Team B'!C12</f>
        <v>14.015000000000001</v>
      </c>
      <c r="G20" s="43">
        <f>'Team B'!D12</f>
        <v>0.39505000000000001</v>
      </c>
      <c r="J20" s="227" t="s">
        <v>92</v>
      </c>
      <c r="K20" s="207" t="s">
        <v>24</v>
      </c>
      <c r="L20" s="228" t="s">
        <v>84</v>
      </c>
      <c r="M20" s="47">
        <f>'Team B'!D24</f>
        <v>13.619950000000001</v>
      </c>
      <c r="P20" s="227" t="s">
        <v>92</v>
      </c>
      <c r="Q20" s="207" t="s">
        <v>24</v>
      </c>
      <c r="R20" s="228" t="s">
        <v>85</v>
      </c>
      <c r="S20" s="167">
        <f>'Team B'!D28</f>
        <v>4.7248378909800371E-3</v>
      </c>
    </row>
    <row r="21" spans="3:19" ht="15.75">
      <c r="C21" s="227"/>
      <c r="D21" s="207" t="s">
        <v>25</v>
      </c>
      <c r="E21" s="228"/>
      <c r="F21" s="42">
        <f>'Team B'!J12</f>
        <v>436.697</v>
      </c>
      <c r="G21" s="43">
        <f>'Team B'!K12</f>
        <v>436.697</v>
      </c>
      <c r="J21" s="227"/>
      <c r="K21" s="207" t="s">
        <v>25</v>
      </c>
      <c r="L21" s="228"/>
      <c r="M21" s="47">
        <f>'Team B'!K24</f>
        <v>0</v>
      </c>
      <c r="P21" s="227"/>
      <c r="Q21" s="207" t="s">
        <v>25</v>
      </c>
      <c r="R21" s="228"/>
      <c r="S21" s="167">
        <f>'Team B'!K28</f>
        <v>0</v>
      </c>
    </row>
    <row r="22" spans="3:19" ht="15.75">
      <c r="C22" s="227" t="s">
        <v>93</v>
      </c>
      <c r="D22" s="207" t="s">
        <v>19</v>
      </c>
      <c r="E22" s="228" t="s">
        <v>84</v>
      </c>
      <c r="F22" s="42">
        <f>'Team C'!C12</f>
        <v>9.61</v>
      </c>
      <c r="G22" s="43">
        <f>'Team C'!D12</f>
        <v>3.28</v>
      </c>
      <c r="J22" s="227" t="s">
        <v>93</v>
      </c>
      <c r="K22" s="207" t="s">
        <v>19</v>
      </c>
      <c r="L22" s="228" t="s">
        <v>84</v>
      </c>
      <c r="M22" s="47">
        <f>'Team C'!D24</f>
        <v>6.33</v>
      </c>
      <c r="P22" s="227" t="s">
        <v>93</v>
      </c>
      <c r="Q22" s="207" t="s">
        <v>19</v>
      </c>
      <c r="R22" s="228" t="s">
        <v>85</v>
      </c>
      <c r="S22" s="167">
        <f>'Team C'!D28</f>
        <v>1.6907051282051277E-2</v>
      </c>
    </row>
    <row r="23" spans="3:19" ht="15.75">
      <c r="C23" s="227"/>
      <c r="D23" s="207" t="s">
        <v>27</v>
      </c>
      <c r="E23" s="228"/>
      <c r="F23" s="42">
        <f>'Team C'!J12</f>
        <v>6959</v>
      </c>
      <c r="G23" s="43">
        <f>'Team C'!K12</f>
        <v>6765</v>
      </c>
      <c r="J23" s="227"/>
      <c r="K23" s="207" t="s">
        <v>27</v>
      </c>
      <c r="L23" s="228"/>
      <c r="M23" s="47">
        <f>'Team C'!K24</f>
        <v>194</v>
      </c>
      <c r="P23" s="227"/>
      <c r="Q23" s="207" t="s">
        <v>27</v>
      </c>
      <c r="R23" s="228"/>
      <c r="S23" s="167">
        <f>'Team C'!K28</f>
        <v>7.6987182031032974E-3</v>
      </c>
    </row>
    <row r="24" spans="3:19" ht="15.75">
      <c r="C24" s="227" t="s">
        <v>94</v>
      </c>
      <c r="D24" s="207" t="s">
        <v>8</v>
      </c>
      <c r="E24" s="228" t="s">
        <v>84</v>
      </c>
      <c r="F24" s="42">
        <f>'Team D'!C12</f>
        <v>104.7</v>
      </c>
      <c r="G24" s="43">
        <f>'Team D'!D12</f>
        <v>112.3</v>
      </c>
      <c r="J24" s="227" t="s">
        <v>94</v>
      </c>
      <c r="K24" s="207" t="s">
        <v>8</v>
      </c>
      <c r="L24" s="228" t="s">
        <v>84</v>
      </c>
      <c r="M24" s="47">
        <f>'Team D'!D24</f>
        <v>-7.5999999999999943</v>
      </c>
      <c r="P24" s="227" t="s">
        <v>94</v>
      </c>
      <c r="Q24" s="207" t="s">
        <v>8</v>
      </c>
      <c r="R24" s="228" t="s">
        <v>85</v>
      </c>
      <c r="S24" s="167">
        <f>'Team D'!D28</f>
        <v>-6.2295081967213069E-2</v>
      </c>
    </row>
    <row r="25" spans="3:19" ht="16.5" thickBot="1">
      <c r="C25" s="242"/>
      <c r="D25" s="208" t="s">
        <v>30</v>
      </c>
      <c r="E25" s="243"/>
      <c r="F25" s="44">
        <f>'Team D'!J12</f>
        <v>9406</v>
      </c>
      <c r="G25" s="45">
        <f>'Team D'!K12</f>
        <v>10516</v>
      </c>
      <c r="J25" s="242"/>
      <c r="K25" s="208" t="s">
        <v>30</v>
      </c>
      <c r="L25" s="243"/>
      <c r="M25" s="54">
        <f>'Team D'!K24</f>
        <v>-1110</v>
      </c>
      <c r="P25" s="242"/>
      <c r="Q25" s="208" t="s">
        <v>30</v>
      </c>
      <c r="R25" s="243"/>
      <c r="S25" s="168">
        <f>'Team D'!K28</f>
        <v>-7.6409444482687411E-2</v>
      </c>
    </row>
    <row r="26" spans="3:19" ht="24" customHeight="1" thickBot="1"/>
    <row r="27" spans="3:19" ht="16.5" thickBot="1">
      <c r="C27" s="247" t="s">
        <v>95</v>
      </c>
      <c r="D27" s="248"/>
      <c r="E27" s="248"/>
      <c r="F27" s="248"/>
      <c r="G27" s="249"/>
      <c r="J27" s="237" t="s">
        <v>96</v>
      </c>
      <c r="K27" s="238"/>
      <c r="L27" s="238"/>
      <c r="M27" s="239"/>
      <c r="N27" s="56"/>
    </row>
    <row r="28" spans="3:19" ht="16.5" thickBot="1">
      <c r="C28" s="16" t="s">
        <v>76</v>
      </c>
      <c r="D28" s="17" t="s">
        <v>77</v>
      </c>
      <c r="E28" s="17" t="s">
        <v>78</v>
      </c>
      <c r="F28" s="17" t="s">
        <v>79</v>
      </c>
      <c r="G28" s="18" t="s">
        <v>80</v>
      </c>
      <c r="J28" s="16" t="s">
        <v>76</v>
      </c>
      <c r="K28" s="17" t="s">
        <v>77</v>
      </c>
      <c r="L28" s="17" t="s">
        <v>78</v>
      </c>
      <c r="M28" s="18" t="s">
        <v>97</v>
      </c>
      <c r="P28" s="209" t="s">
        <v>76</v>
      </c>
      <c r="Q28" s="210" t="s">
        <v>77</v>
      </c>
      <c r="R28" s="210" t="s">
        <v>78</v>
      </c>
      <c r="S28" s="63" t="s">
        <v>98</v>
      </c>
    </row>
    <row r="29" spans="3:19" ht="15.75">
      <c r="C29" s="240" t="s">
        <v>83</v>
      </c>
      <c r="D29" s="29" t="s">
        <v>5</v>
      </c>
      <c r="E29" s="241" t="s">
        <v>84</v>
      </c>
      <c r="F29" s="40">
        <f>'Team 1'!C13</f>
        <v>2042437.24</v>
      </c>
      <c r="G29" s="41">
        <f>'Team 1'!D13</f>
        <v>3211361.29</v>
      </c>
      <c r="J29" s="246" t="s">
        <v>83</v>
      </c>
      <c r="K29" s="29" t="s">
        <v>5</v>
      </c>
      <c r="L29" s="244" t="s">
        <v>84</v>
      </c>
      <c r="M29" s="48">
        <f>'Team 1'!D25</f>
        <v>1168924.05</v>
      </c>
      <c r="P29" s="240" t="s">
        <v>83</v>
      </c>
      <c r="Q29" s="29" t="s">
        <v>5</v>
      </c>
      <c r="R29" s="241" t="s">
        <v>85</v>
      </c>
      <c r="S29" s="163">
        <f>'Team 1'!D29</f>
        <v>-2.1562313231991053</v>
      </c>
    </row>
    <row r="30" spans="3:19" ht="15.75">
      <c r="C30" s="227"/>
      <c r="D30" s="207" t="s">
        <v>6</v>
      </c>
      <c r="E30" s="228"/>
      <c r="F30" s="42">
        <f>'Team 1'!J13</f>
        <v>1800</v>
      </c>
      <c r="G30" s="43">
        <f>'Team 1'!K13</f>
        <v>2382</v>
      </c>
      <c r="J30" s="227"/>
      <c r="K30" s="207" t="s">
        <v>6</v>
      </c>
      <c r="L30" s="245"/>
      <c r="M30" s="43">
        <f>'Team 1'!K27</f>
        <v>533.11199999999997</v>
      </c>
      <c r="P30" s="227"/>
      <c r="Q30" s="207" t="s">
        <v>6</v>
      </c>
      <c r="R30" s="228"/>
      <c r="S30" s="164">
        <f>'Team 1'!K29</f>
        <v>-0.71606529209621994</v>
      </c>
    </row>
    <row r="31" spans="3:19" ht="15.75">
      <c r="C31" s="227" t="s">
        <v>86</v>
      </c>
      <c r="D31" s="207" t="s">
        <v>8</v>
      </c>
      <c r="E31" s="228" t="s">
        <v>84</v>
      </c>
      <c r="F31" s="42">
        <f>'Team 2'!C13</f>
        <v>8289.8101119940948</v>
      </c>
      <c r="G31" s="43">
        <f>'Team 2'!D13</f>
        <v>9066.0388000000003</v>
      </c>
      <c r="J31" s="227" t="s">
        <v>86</v>
      </c>
      <c r="K31" s="207" t="s">
        <v>8</v>
      </c>
      <c r="L31" s="228" t="s">
        <v>84</v>
      </c>
      <c r="M31" s="43">
        <f>'Team 2'!D25</f>
        <v>776.2286880059055</v>
      </c>
      <c r="P31" s="227" t="s">
        <v>86</v>
      </c>
      <c r="Q31" s="207" t="s">
        <v>8</v>
      </c>
      <c r="R31" s="228" t="s">
        <v>85</v>
      </c>
      <c r="S31" s="164">
        <f>'Team 2'!D29</f>
        <v>53.517303996308193</v>
      </c>
    </row>
    <row r="32" spans="3:19" ht="15.75">
      <c r="C32" s="227"/>
      <c r="D32" s="207" t="s">
        <v>9</v>
      </c>
      <c r="E32" s="228"/>
      <c r="F32" s="42">
        <f>'Team 2'!J13</f>
        <v>243000000.00000003</v>
      </c>
      <c r="G32" s="43">
        <f>'Team 2'!K13</f>
        <v>270000000</v>
      </c>
      <c r="J32" s="227"/>
      <c r="K32" s="207" t="s">
        <v>9</v>
      </c>
      <c r="L32" s="228"/>
      <c r="M32" s="43">
        <f>'Team 2'!K27</f>
        <v>26999999.99999997</v>
      </c>
      <c r="P32" s="227"/>
      <c r="Q32" s="207" t="s">
        <v>9</v>
      </c>
      <c r="R32" s="228"/>
      <c r="S32" s="164">
        <f>'Team 2'!K29</f>
        <v>9.9648535340202855E-3</v>
      </c>
    </row>
    <row r="33" spans="3:19" ht="15.75">
      <c r="C33" s="227" t="s">
        <v>87</v>
      </c>
      <c r="D33" s="207" t="s">
        <v>11</v>
      </c>
      <c r="E33" s="228" t="s">
        <v>84</v>
      </c>
      <c r="F33" s="42">
        <f>'Team 3'!C13</f>
        <v>374043</v>
      </c>
      <c r="G33" s="43">
        <f>'Team 3'!D13</f>
        <v>1519747</v>
      </c>
      <c r="J33" s="227" t="s">
        <v>87</v>
      </c>
      <c r="K33" s="207" t="s">
        <v>11</v>
      </c>
      <c r="L33" s="228" t="s">
        <v>84</v>
      </c>
      <c r="M33" s="43">
        <f>'Team 3'!D25</f>
        <v>1145704</v>
      </c>
      <c r="P33" s="227" t="s">
        <v>87</v>
      </c>
      <c r="Q33" s="207" t="s">
        <v>11</v>
      </c>
      <c r="R33" s="228" t="s">
        <v>85</v>
      </c>
      <c r="S33" s="164">
        <f>'Team 3'!D29</f>
        <v>-3.0141384437208974E-2</v>
      </c>
    </row>
    <row r="34" spans="3:19" ht="15.75">
      <c r="C34" s="227"/>
      <c r="D34" s="207" t="s">
        <v>29</v>
      </c>
      <c r="E34" s="228"/>
      <c r="F34" s="42">
        <f>'Team 3'!J13</f>
        <v>38100</v>
      </c>
      <c r="G34" s="43">
        <f>'Team 3'!K13</f>
        <v>59531</v>
      </c>
      <c r="J34" s="227"/>
      <c r="K34" s="207" t="s">
        <v>29</v>
      </c>
      <c r="L34" s="228"/>
      <c r="M34" s="43">
        <f>'Team 3'!K27</f>
        <v>20136.567599999998</v>
      </c>
      <c r="P34" s="227"/>
      <c r="Q34" s="207" t="s">
        <v>29</v>
      </c>
      <c r="R34" s="228"/>
      <c r="S34" s="164">
        <f>'Team 3'!K29</f>
        <v>1.3644583155773151</v>
      </c>
    </row>
    <row r="35" spans="3:19" ht="15.75">
      <c r="C35" s="227" t="s">
        <v>88</v>
      </c>
      <c r="D35" s="207" t="s">
        <v>14</v>
      </c>
      <c r="E35" s="228" t="s">
        <v>84</v>
      </c>
      <c r="F35" s="42">
        <f>'Team 4'!C13</f>
        <v>1416</v>
      </c>
      <c r="G35" s="43">
        <f>'Team 4'!D13</f>
        <v>5254</v>
      </c>
      <c r="J35" s="227" t="s">
        <v>88</v>
      </c>
      <c r="K35" s="207" t="s">
        <v>14</v>
      </c>
      <c r="L35" s="228" t="s">
        <v>84</v>
      </c>
      <c r="M35" s="43">
        <f>'Team 4'!D25</f>
        <v>3838</v>
      </c>
      <c r="P35" s="227" t="s">
        <v>88</v>
      </c>
      <c r="Q35" s="207" t="s">
        <v>14</v>
      </c>
      <c r="R35" s="228" t="s">
        <v>85</v>
      </c>
      <c r="S35" s="164">
        <f>'Team 4'!D29</f>
        <v>1.6154247003647733</v>
      </c>
    </row>
    <row r="36" spans="3:19" ht="15.75">
      <c r="C36" s="227"/>
      <c r="D36" s="207" t="s">
        <v>15</v>
      </c>
      <c r="E36" s="228"/>
      <c r="F36" s="42">
        <f>'Team 4'!J13</f>
        <v>83113</v>
      </c>
      <c r="G36" s="43">
        <f>'Team 4'!K13</f>
        <v>109880</v>
      </c>
      <c r="J36" s="227"/>
      <c r="K36" s="207" t="s">
        <v>15</v>
      </c>
      <c r="L36" s="228"/>
      <c r="M36" s="43">
        <f>'Team 4'!K27</f>
        <v>21413.600000000002</v>
      </c>
      <c r="P36" s="227"/>
      <c r="Q36" s="207" t="s">
        <v>15</v>
      </c>
      <c r="R36" s="228"/>
      <c r="S36" s="164">
        <f>'Team 4'!K29</f>
        <v>7.3440410493540886E-2</v>
      </c>
    </row>
    <row r="37" spans="3:19" ht="15.75">
      <c r="C37" s="227" t="s">
        <v>89</v>
      </c>
      <c r="D37" s="207" t="s">
        <v>14</v>
      </c>
      <c r="E37" s="228" t="s">
        <v>84</v>
      </c>
      <c r="F37" s="42">
        <f>'Team 5'!C13</f>
        <v>1017</v>
      </c>
      <c r="G37" s="43">
        <f>'Team 5'!D13</f>
        <v>1577</v>
      </c>
      <c r="J37" s="227" t="s">
        <v>89</v>
      </c>
      <c r="K37" s="207" t="s">
        <v>14</v>
      </c>
      <c r="L37" s="228" t="s">
        <v>84</v>
      </c>
      <c r="M37" s="43">
        <f>'Team 5'!D25</f>
        <v>560</v>
      </c>
      <c r="P37" s="227" t="s">
        <v>89</v>
      </c>
      <c r="Q37" s="207" t="s">
        <v>14</v>
      </c>
      <c r="R37" s="228" t="s">
        <v>85</v>
      </c>
      <c r="S37" s="164">
        <f>'Team 5'!D29</f>
        <v>11.510714285714286</v>
      </c>
    </row>
    <row r="38" spans="3:19" ht="15.75">
      <c r="C38" s="227"/>
      <c r="D38" s="207" t="s">
        <v>30</v>
      </c>
      <c r="E38" s="228"/>
      <c r="F38" s="42">
        <f>'Team 5'!J13</f>
        <v>65690</v>
      </c>
      <c r="G38" s="43">
        <f>'Team 5'!K13</f>
        <v>76200</v>
      </c>
      <c r="J38" s="227"/>
      <c r="K38" s="207" t="s">
        <v>30</v>
      </c>
      <c r="L38" s="228"/>
      <c r="M38" s="43">
        <f>'Team 5'!K27</f>
        <v>9875.1959999999999</v>
      </c>
      <c r="P38" s="227"/>
      <c r="Q38" s="207" t="s">
        <v>30</v>
      </c>
      <c r="R38" s="228"/>
      <c r="S38" s="164">
        <f>'Team 5'!K29</f>
        <v>-3.1430233449524487</v>
      </c>
    </row>
    <row r="39" spans="3:19" ht="15.75">
      <c r="C39" s="227" t="s">
        <v>90</v>
      </c>
      <c r="D39" s="207" t="s">
        <v>19</v>
      </c>
      <c r="E39" s="228" t="s">
        <v>84</v>
      </c>
      <c r="F39" s="42">
        <f>'Team 6'!C13</f>
        <v>773.99</v>
      </c>
      <c r="G39" s="43">
        <f>'Team 6'!D13</f>
        <v>1620.43</v>
      </c>
      <c r="J39" s="227" t="s">
        <v>90</v>
      </c>
      <c r="K39" s="207" t="s">
        <v>19</v>
      </c>
      <c r="L39" s="228" t="s">
        <v>84</v>
      </c>
      <c r="M39" s="43">
        <f>'Team 6'!D25</f>
        <v>846.44</v>
      </c>
      <c r="P39" s="227" t="s">
        <v>90</v>
      </c>
      <c r="Q39" s="207" t="s">
        <v>19</v>
      </c>
      <c r="R39" s="228" t="s">
        <v>85</v>
      </c>
      <c r="S39" s="164">
        <f>'Team 6'!D29</f>
        <v>0.50860072775388676</v>
      </c>
    </row>
    <row r="40" spans="3:19" ht="15.75">
      <c r="C40" s="227"/>
      <c r="D40" s="207" t="s">
        <v>20</v>
      </c>
      <c r="E40" s="228"/>
      <c r="F40" s="42">
        <f>'Team 6'!J13</f>
        <v>1157.1669999999999</v>
      </c>
      <c r="G40" s="43">
        <f>'Team 6'!K13</f>
        <v>4011.933</v>
      </c>
      <c r="J40" s="227"/>
      <c r="K40" s="207" t="s">
        <v>20</v>
      </c>
      <c r="L40" s="228"/>
      <c r="M40" s="43">
        <f>'Team 6'!K27</f>
        <v>2854.7660000000001</v>
      </c>
      <c r="P40" s="227"/>
      <c r="Q40" s="207" t="s">
        <v>20</v>
      </c>
      <c r="R40" s="228"/>
      <c r="S40" s="164">
        <f>'Team 6'!K29</f>
        <v>5.8689362566205661E-2</v>
      </c>
    </row>
    <row r="41" spans="3:19" ht="15.75">
      <c r="C41" s="227" t="s">
        <v>91</v>
      </c>
      <c r="D41" s="207" t="s">
        <v>11</v>
      </c>
      <c r="E41" s="228" t="s">
        <v>84</v>
      </c>
      <c r="F41" s="42">
        <v>39.42</v>
      </c>
      <c r="G41" s="43">
        <v>223.82</v>
      </c>
      <c r="J41" s="227" t="s">
        <v>91</v>
      </c>
      <c r="K41" s="207" t="s">
        <v>11</v>
      </c>
      <c r="L41" s="228" t="s">
        <v>84</v>
      </c>
      <c r="M41" s="43">
        <f>'Team A'!D25</f>
        <v>184.39999999999998</v>
      </c>
      <c r="P41" s="227" t="s">
        <v>91</v>
      </c>
      <c r="Q41" s="207" t="s">
        <v>11</v>
      </c>
      <c r="R41" s="228" t="s">
        <v>85</v>
      </c>
      <c r="S41" s="164">
        <f>'Team A'!D29</f>
        <v>-0.22427880496218858</v>
      </c>
    </row>
    <row r="42" spans="3:19" ht="15.75">
      <c r="C42" s="227"/>
      <c r="D42" s="207" t="s">
        <v>22</v>
      </c>
      <c r="E42" s="228"/>
      <c r="F42" s="42">
        <f>'Team A'!J13</f>
        <v>1133</v>
      </c>
      <c r="G42" s="43">
        <f>'Team A'!K13</f>
        <v>5253.5</v>
      </c>
      <c r="J42" s="227"/>
      <c r="K42" s="207" t="s">
        <v>22</v>
      </c>
      <c r="L42" s="228"/>
      <c r="M42" s="43">
        <f>'Team A'!K27</f>
        <v>4120.5</v>
      </c>
      <c r="P42" s="227"/>
      <c r="Q42" s="207" t="s">
        <v>22</v>
      </c>
      <c r="R42" s="228"/>
      <c r="S42" s="164">
        <f>'Team A'!K29</f>
        <v>2.8588763499575296</v>
      </c>
    </row>
    <row r="43" spans="3:19" ht="15.75">
      <c r="C43" s="227" t="s">
        <v>92</v>
      </c>
      <c r="D43" s="207" t="s">
        <v>24</v>
      </c>
      <c r="E43" s="228" t="s">
        <v>84</v>
      </c>
      <c r="F43" s="42">
        <f>'Team B'!C13</f>
        <v>1579.0219999999999</v>
      </c>
      <c r="G43" s="43">
        <f>'Team B'!D13</f>
        <v>4461.6499999999996</v>
      </c>
      <c r="J43" s="227" t="s">
        <v>92</v>
      </c>
      <c r="K43" s="207" t="s">
        <v>24</v>
      </c>
      <c r="L43" s="228" t="s">
        <v>84</v>
      </c>
      <c r="M43" s="43">
        <f>'Team B'!D25</f>
        <v>2882.6279999999997</v>
      </c>
      <c r="P43" s="227" t="s">
        <v>92</v>
      </c>
      <c r="Q43" s="207" t="s">
        <v>24</v>
      </c>
      <c r="R43" s="228" t="s">
        <v>85</v>
      </c>
      <c r="S43" s="164">
        <f>'Team B'!D29</f>
        <v>0.1206645414932114</v>
      </c>
    </row>
    <row r="44" spans="3:19" ht="15.75">
      <c r="C44" s="227"/>
      <c r="D44" s="207" t="s">
        <v>25</v>
      </c>
      <c r="E44" s="228"/>
      <c r="F44" s="42">
        <f>'Team B'!J13</f>
        <v>1306.8</v>
      </c>
      <c r="G44" s="43">
        <f>'Team B'!K13</f>
        <v>1454.4</v>
      </c>
      <c r="J44" s="227"/>
      <c r="K44" s="207" t="s">
        <v>25</v>
      </c>
      <c r="L44" s="228"/>
      <c r="M44" s="43">
        <f>'Team B'!K27</f>
        <v>147.60000000000014</v>
      </c>
      <c r="P44" s="227"/>
      <c r="Q44" s="207" t="s">
        <v>25</v>
      </c>
      <c r="R44" s="228"/>
      <c r="S44" s="164">
        <f>'Team B'!K29</f>
        <v>1.0924796747967462</v>
      </c>
    </row>
    <row r="45" spans="3:19" ht="15.75">
      <c r="C45" s="227" t="s">
        <v>93</v>
      </c>
      <c r="D45" s="207" t="s">
        <v>19</v>
      </c>
      <c r="E45" s="228" t="s">
        <v>84</v>
      </c>
      <c r="F45" s="42">
        <f>'Team C'!C13</f>
        <v>1098</v>
      </c>
      <c r="G45" s="43">
        <f>'Team C'!D13</f>
        <v>1472.4</v>
      </c>
      <c r="J45" s="227" t="s">
        <v>93</v>
      </c>
      <c r="K45" s="207" t="s">
        <v>19</v>
      </c>
      <c r="L45" s="228" t="s">
        <v>84</v>
      </c>
      <c r="M45" s="43">
        <f>'Team C'!D25</f>
        <v>374.40000000000009</v>
      </c>
      <c r="P45" s="227" t="s">
        <v>93</v>
      </c>
      <c r="Q45" s="207" t="s">
        <v>19</v>
      </c>
      <c r="R45" s="228" t="s">
        <v>85</v>
      </c>
      <c r="S45" s="164">
        <f>'Team C'!D29</f>
        <v>0.82811248763483891</v>
      </c>
    </row>
    <row r="46" spans="3:19" ht="15.75">
      <c r="C46" s="227"/>
      <c r="D46" s="207" t="s">
        <v>27</v>
      </c>
      <c r="E46" s="228"/>
      <c r="F46" s="42">
        <f>'Team C'!J13</f>
        <v>45357</v>
      </c>
      <c r="G46" s="43">
        <f>'Team C'!K13</f>
        <v>70556</v>
      </c>
      <c r="J46" s="227"/>
      <c r="K46" s="207" t="s">
        <v>27</v>
      </c>
      <c r="L46" s="228"/>
      <c r="M46" s="43">
        <f>'Team C'!K27</f>
        <v>20159.2</v>
      </c>
      <c r="P46" s="227"/>
      <c r="Q46" s="207" t="s">
        <v>27</v>
      </c>
      <c r="R46" s="228"/>
      <c r="S46" s="164">
        <f>'Team C'!K29</f>
        <v>0.67491206019045646</v>
      </c>
    </row>
    <row r="47" spans="3:19" ht="15.75">
      <c r="C47" s="227" t="s">
        <v>94</v>
      </c>
      <c r="D47" s="207" t="s">
        <v>8</v>
      </c>
      <c r="E47" s="228" t="s">
        <v>84</v>
      </c>
      <c r="F47" s="42">
        <f>'Team D'!C13</f>
        <v>104</v>
      </c>
      <c r="G47" s="43">
        <f>'Team D'!D13</f>
        <v>226</v>
      </c>
      <c r="J47" s="227" t="s">
        <v>94</v>
      </c>
      <c r="K47" s="207" t="s">
        <v>8</v>
      </c>
      <c r="L47" s="228" t="s">
        <v>84</v>
      </c>
      <c r="M47" s="43">
        <f>'Team D'!D25</f>
        <v>122</v>
      </c>
      <c r="P47" s="227" t="s">
        <v>94</v>
      </c>
      <c r="Q47" s="207" t="s">
        <v>8</v>
      </c>
      <c r="R47" s="228" t="s">
        <v>85</v>
      </c>
      <c r="S47" s="164">
        <f>'Team D'!D29</f>
        <v>0.90349653157720378</v>
      </c>
    </row>
    <row r="48" spans="3:19" ht="16.5" thickBot="1">
      <c r="C48" s="242"/>
      <c r="D48" s="208" t="s">
        <v>30</v>
      </c>
      <c r="E48" s="243"/>
      <c r="F48" s="44">
        <f>'Team D'!J13</f>
        <v>56029</v>
      </c>
      <c r="G48" s="45">
        <f>'Team D'!K13</f>
        <v>70556</v>
      </c>
      <c r="J48" s="242"/>
      <c r="K48" s="208" t="s">
        <v>30</v>
      </c>
      <c r="L48" s="243"/>
      <c r="M48" s="45">
        <f>'Team D'!K27</f>
        <v>13649.5692</v>
      </c>
      <c r="P48" s="242"/>
      <c r="Q48" s="208" t="s">
        <v>30</v>
      </c>
      <c r="R48" s="243"/>
      <c r="S48" s="165">
        <f>'Team D'!K29</f>
        <v>-0.46000306016220166</v>
      </c>
    </row>
    <row r="49" spans="3:19" ht="15.75">
      <c r="C49" s="24"/>
      <c r="D49" s="24"/>
      <c r="E49" s="24"/>
      <c r="F49" s="25"/>
      <c r="G49" s="25"/>
      <c r="J49" s="24"/>
      <c r="K49" s="24"/>
      <c r="L49" s="24"/>
      <c r="M49" s="25"/>
      <c r="P49" s="24"/>
      <c r="Q49" s="24"/>
      <c r="R49" s="24"/>
      <c r="S49" s="53"/>
    </row>
    <row r="50" spans="3:19" ht="16.5" thickBot="1">
      <c r="C50" s="19"/>
      <c r="D50" s="19"/>
      <c r="E50" s="19"/>
      <c r="F50" s="19"/>
      <c r="G50" s="19"/>
    </row>
    <row r="51" spans="3:19" ht="16.5" thickBot="1">
      <c r="C51" s="247" t="s">
        <v>99</v>
      </c>
      <c r="D51" s="248"/>
      <c r="E51" s="248"/>
      <c r="F51" s="248"/>
      <c r="G51" s="249"/>
      <c r="J51" s="237" t="s">
        <v>100</v>
      </c>
      <c r="K51" s="238"/>
      <c r="L51" s="238"/>
      <c r="M51" s="239"/>
      <c r="P51" s="237" t="s">
        <v>101</v>
      </c>
      <c r="Q51" s="238"/>
      <c r="R51" s="238"/>
      <c r="S51" s="239"/>
    </row>
    <row r="52" spans="3:19" ht="16.5" thickBot="1">
      <c r="C52" s="26" t="s">
        <v>76</v>
      </c>
      <c r="D52" s="27" t="s">
        <v>77</v>
      </c>
      <c r="E52" s="27" t="s">
        <v>78</v>
      </c>
      <c r="F52" s="27" t="s">
        <v>79</v>
      </c>
      <c r="G52" s="28" t="s">
        <v>80</v>
      </c>
      <c r="J52" s="16" t="s">
        <v>76</v>
      </c>
      <c r="K52" s="17" t="s">
        <v>77</v>
      </c>
      <c r="L52" s="17" t="s">
        <v>78</v>
      </c>
      <c r="M52" s="18" t="s">
        <v>102</v>
      </c>
      <c r="P52" s="16" t="s">
        <v>76</v>
      </c>
      <c r="Q52" s="17" t="s">
        <v>77</v>
      </c>
      <c r="R52" s="17" t="s">
        <v>78</v>
      </c>
      <c r="S52" s="21" t="s">
        <v>103</v>
      </c>
    </row>
    <row r="53" spans="3:19" ht="15.75">
      <c r="C53" s="240" t="s">
        <v>83</v>
      </c>
      <c r="D53" s="29" t="s">
        <v>5</v>
      </c>
      <c r="E53" s="241" t="s">
        <v>104</v>
      </c>
      <c r="F53" s="33">
        <f>'Team 1'!C14</f>
        <v>21140.3</v>
      </c>
      <c r="G53" s="34">
        <f>'Team 1'!D14</f>
        <v>32157.07</v>
      </c>
      <c r="J53" s="240" t="s">
        <v>83</v>
      </c>
      <c r="K53" s="29" t="s">
        <v>5</v>
      </c>
      <c r="L53" s="241" t="s">
        <v>104</v>
      </c>
      <c r="M53" s="34">
        <f>'Team 1'!D26</f>
        <v>-11016.77</v>
      </c>
      <c r="P53" s="240" t="s">
        <v>83</v>
      </c>
      <c r="Q53" s="29" t="s">
        <v>5</v>
      </c>
      <c r="R53" s="241" t="s">
        <v>105</v>
      </c>
      <c r="S53" s="75">
        <f>( F78/100 + S6+ (1 - F78/100 - S29)*$E$110*$E$111*'Team 1'!D18 ) * 100</f>
        <v>107.7194564999124</v>
      </c>
    </row>
    <row r="54" spans="3:19" ht="15.75">
      <c r="C54" s="227"/>
      <c r="D54" s="207" t="s">
        <v>6</v>
      </c>
      <c r="E54" s="228"/>
      <c r="F54" s="35">
        <f>'Team 1'!J14</f>
        <v>83.33</v>
      </c>
      <c r="G54" s="36">
        <f>'Team 1'!K14</f>
        <v>100</v>
      </c>
      <c r="J54" s="227"/>
      <c r="K54" s="207" t="s">
        <v>6</v>
      </c>
      <c r="L54" s="228"/>
      <c r="M54" s="36">
        <f>'Team 1'!K26</f>
        <v>-16.670000000000002</v>
      </c>
      <c r="P54" s="227"/>
      <c r="Q54" s="207" t="s">
        <v>6</v>
      </c>
      <c r="R54" s="228"/>
      <c r="S54" s="76">
        <f>( F79/100 + S7 + (1 - F79/100 - S30)*$E$110*$E$111*'Team 1'!K18 ) * 100</f>
        <v>506.66666955326411</v>
      </c>
    </row>
    <row r="55" spans="3:19" ht="15.75">
      <c r="C55" s="227" t="s">
        <v>86</v>
      </c>
      <c r="D55" s="207" t="s">
        <v>8</v>
      </c>
      <c r="E55" s="228" t="s">
        <v>104</v>
      </c>
      <c r="F55" s="35">
        <f>'Team 2'!C14</f>
        <v>20661.666666666701</v>
      </c>
      <c r="G55" s="36">
        <f>'Team 2'!D14</f>
        <v>19000</v>
      </c>
      <c r="J55" s="227" t="s">
        <v>86</v>
      </c>
      <c r="K55" s="207" t="s">
        <v>8</v>
      </c>
      <c r="L55" s="236" t="s">
        <v>104</v>
      </c>
      <c r="M55" s="36">
        <f>'Team 2'!D26</f>
        <v>1661.6666666667006</v>
      </c>
      <c r="P55" s="227" t="s">
        <v>86</v>
      </c>
      <c r="Q55" s="207" t="s">
        <v>8</v>
      </c>
      <c r="R55" s="228" t="s">
        <v>105</v>
      </c>
      <c r="S55" s="76">
        <f>( F80/100 + S8 + (1 - F80/100 - S31)*$E$110*$E$111*'Team 2'!D18 ) * 100</f>
        <v>-15521.254300379096</v>
      </c>
    </row>
    <row r="56" spans="3:19" ht="15.75">
      <c r="C56" s="227"/>
      <c r="D56" s="207" t="s">
        <v>9</v>
      </c>
      <c r="E56" s="228"/>
      <c r="F56" s="35">
        <f>'Team 2'!J14</f>
        <v>8801</v>
      </c>
      <c r="G56" s="36">
        <f>'Team 2'!K14</f>
        <v>7625</v>
      </c>
      <c r="J56" s="227"/>
      <c r="K56" s="207" t="s">
        <v>9</v>
      </c>
      <c r="L56" s="228"/>
      <c r="M56" s="36">
        <f>'Team 2'!K26</f>
        <v>1176</v>
      </c>
      <c r="P56" s="227"/>
      <c r="Q56" s="207" t="s">
        <v>9</v>
      </c>
      <c r="R56" s="228"/>
      <c r="S56" s="76">
        <f>( F81/100 + S9 + (1 - F81/100 - S32)*$E$110*$E$111*'Team 2'!K18 ) * 100</f>
        <v>31.977726844350329</v>
      </c>
    </row>
    <row r="57" spans="3:19" ht="15.75">
      <c r="C57" s="227" t="s">
        <v>87</v>
      </c>
      <c r="D57" s="207" t="s">
        <v>11</v>
      </c>
      <c r="E57" s="228" t="s">
        <v>104</v>
      </c>
      <c r="F57" s="35">
        <f>'Team 3'!$C$14</f>
        <v>8721.0499999999993</v>
      </c>
      <c r="G57" s="36">
        <f>'Team 3'!$D$14</f>
        <v>9504.2800000000007</v>
      </c>
      <c r="J57" s="227" t="s">
        <v>87</v>
      </c>
      <c r="K57" s="207" t="s">
        <v>11</v>
      </c>
      <c r="L57" s="236" t="s">
        <v>104</v>
      </c>
      <c r="M57" s="36">
        <f>'Team 3'!D26</f>
        <v>-783.23000000000138</v>
      </c>
      <c r="P57" s="227" t="s">
        <v>87</v>
      </c>
      <c r="Q57" s="207" t="s">
        <v>11</v>
      </c>
      <c r="R57" s="228" t="s">
        <v>105</v>
      </c>
      <c r="S57" s="76">
        <f>( F82/100 + S10 + (1 - F82/100 - S33)*$E$110*$E$111*'Team 3'!D18 ) * 100</f>
        <v>163.56519361771666</v>
      </c>
    </row>
    <row r="58" spans="3:19" ht="15.75">
      <c r="C58" s="227"/>
      <c r="D58" s="207" t="s">
        <v>29</v>
      </c>
      <c r="E58" s="228"/>
      <c r="F58" s="35">
        <f>'Team 3'!$J$14</f>
        <v>2017</v>
      </c>
      <c r="G58" s="36">
        <f>'Team 3'!$K$14</f>
        <v>1400</v>
      </c>
      <c r="J58" s="227"/>
      <c r="K58" s="207" t="s">
        <v>29</v>
      </c>
      <c r="L58" s="228"/>
      <c r="M58" s="36">
        <f>'Team 3'!K26</f>
        <v>617</v>
      </c>
      <c r="P58" s="227"/>
      <c r="Q58" s="207" t="s">
        <v>29</v>
      </c>
      <c r="R58" s="228"/>
      <c r="S58" s="76">
        <f>( F83/100 + S11 + (1 - F83/100 - S34)*$E$110*$E$111*'Team 3'!K18 ) * 100</f>
        <v>-53.548785830023746</v>
      </c>
    </row>
    <row r="59" spans="3:19" ht="15.75">
      <c r="C59" s="227" t="s">
        <v>88</v>
      </c>
      <c r="D59" s="207" t="s">
        <v>14</v>
      </c>
      <c r="E59" s="228" t="s">
        <v>104</v>
      </c>
      <c r="F59" s="35">
        <f>'Team 4'!$C$14</f>
        <v>97</v>
      </c>
      <c r="G59" s="36">
        <f>'Team 4'!$D$14</f>
        <v>66</v>
      </c>
      <c r="J59" s="227" t="s">
        <v>88</v>
      </c>
      <c r="K59" s="207" t="s">
        <v>14</v>
      </c>
      <c r="L59" s="236" t="s">
        <v>104</v>
      </c>
      <c r="M59" s="36">
        <f>'Team 4'!D26</f>
        <v>31</v>
      </c>
      <c r="P59" s="227" t="s">
        <v>88</v>
      </c>
      <c r="Q59" s="207" t="s">
        <v>14</v>
      </c>
      <c r="R59" s="228" t="s">
        <v>105</v>
      </c>
      <c r="S59" s="76">
        <f>( F84/100 + S12 + (1 - F84/100 - S35)*$E$110*$E$111*'Team 4'!D18 ) * 100</f>
        <v>-22.247970297029678</v>
      </c>
    </row>
    <row r="60" spans="3:19" ht="15.75">
      <c r="C60" s="227"/>
      <c r="D60" s="207" t="s">
        <v>15</v>
      </c>
      <c r="E60" s="228"/>
      <c r="F60" s="35">
        <f>'Team 4'!$J$14</f>
        <v>398.48</v>
      </c>
      <c r="G60" s="36">
        <f>'Team 4'!$K$14</f>
        <v>377.8</v>
      </c>
      <c r="J60" s="227"/>
      <c r="K60" s="207" t="s">
        <v>15</v>
      </c>
      <c r="L60" s="228"/>
      <c r="M60" s="36">
        <f>'Team 4'!K26</f>
        <v>20.680000000000007</v>
      </c>
      <c r="P60" s="227"/>
      <c r="Q60" s="207" t="s">
        <v>15</v>
      </c>
      <c r="R60" s="228"/>
      <c r="S60" s="76">
        <f>( F85/100 + S13 + (1 - F85/100 - S36)*$E$110*$E$111*'Team 4'!K18 ) * 100</f>
        <v>76.757971126835244</v>
      </c>
    </row>
    <row r="61" spans="3:19" ht="15.75">
      <c r="C61" s="227" t="s">
        <v>89</v>
      </c>
      <c r="D61" s="207" t="s">
        <v>14</v>
      </c>
      <c r="E61" s="228" t="s">
        <v>104</v>
      </c>
      <c r="F61" s="35">
        <f>'Team 5'!$C$14</f>
        <v>98.83</v>
      </c>
      <c r="G61" s="36">
        <f>'Team 5'!$D$14</f>
        <v>66.599999999999994</v>
      </c>
      <c r="J61" s="227" t="s">
        <v>89</v>
      </c>
      <c r="K61" s="207" t="s">
        <v>14</v>
      </c>
      <c r="L61" s="236" t="s">
        <v>104</v>
      </c>
      <c r="M61" s="36">
        <f>'Team 5'!D26</f>
        <v>32.230000000000004</v>
      </c>
      <c r="P61" s="227" t="s">
        <v>89</v>
      </c>
      <c r="Q61" s="207" t="s">
        <v>14</v>
      </c>
      <c r="R61" s="228" t="s">
        <v>105</v>
      </c>
      <c r="S61" s="76">
        <f>( F86/100 + S14 + (1 - F86/100 - S37)*$E$110*$E$111*'Team 5'!D18 ) * 100</f>
        <v>-383.95916071428536</v>
      </c>
    </row>
    <row r="62" spans="3:19" ht="15.75">
      <c r="C62" s="227"/>
      <c r="D62" s="207" t="s">
        <v>30</v>
      </c>
      <c r="E62" s="228"/>
      <c r="F62" s="35">
        <f>'Team 5'!$J$14</f>
        <v>1986</v>
      </c>
      <c r="G62" s="36">
        <f>'Team 5'!$K$14</f>
        <v>2683</v>
      </c>
      <c r="J62" s="227"/>
      <c r="K62" s="207" t="s">
        <v>30</v>
      </c>
      <c r="L62" s="228"/>
      <c r="M62" s="36">
        <f>'Team 5'!K26</f>
        <v>-697</v>
      </c>
      <c r="P62" s="227"/>
      <c r="Q62" s="207" t="s">
        <v>30</v>
      </c>
      <c r="R62" s="228"/>
      <c r="S62" s="76">
        <f>( F87/100 + S15 + (1 - F87/100 - S38)*$E$110*$E$111*'Team 5'!K18 ) * 100</f>
        <v>642.72551890766817</v>
      </c>
    </row>
    <row r="63" spans="3:19" ht="15.75">
      <c r="C63" s="227" t="s">
        <v>90</v>
      </c>
      <c r="D63" s="207" t="s">
        <v>19</v>
      </c>
      <c r="E63" s="228" t="s">
        <v>104</v>
      </c>
      <c r="F63" s="35">
        <f>'Team 6'!$C$14</f>
        <v>18.399999999999999</v>
      </c>
      <c r="G63" s="36">
        <f>'Team 6'!$D$14</f>
        <v>1.18</v>
      </c>
      <c r="J63" s="227" t="s">
        <v>90</v>
      </c>
      <c r="K63" s="207" t="s">
        <v>19</v>
      </c>
      <c r="L63" s="236" t="s">
        <v>104</v>
      </c>
      <c r="M63" s="36">
        <f>'Team 6'!D26</f>
        <v>17.22</v>
      </c>
      <c r="P63" s="227" t="s">
        <v>90</v>
      </c>
      <c r="Q63" s="207" t="s">
        <v>19</v>
      </c>
      <c r="R63" s="228" t="s">
        <v>105</v>
      </c>
      <c r="S63" s="76">
        <f>( F88/100 + S16 + (1 - F88/100 - S39)*$E$110*$E$111*'Team 6'!D18 ) * 100</f>
        <v>148.75419592646838</v>
      </c>
    </row>
    <row r="64" spans="3:19" ht="15.75">
      <c r="C64" s="227"/>
      <c r="D64" s="207" t="s">
        <v>20</v>
      </c>
      <c r="E64" s="228"/>
      <c r="F64" s="35">
        <f>'Team 6'!$J$14</f>
        <v>5.0199999999999996</v>
      </c>
      <c r="G64" s="36">
        <f>'Team 6'!$K$14</f>
        <v>1.22</v>
      </c>
      <c r="J64" s="227"/>
      <c r="K64" s="207" t="s">
        <v>20</v>
      </c>
      <c r="L64" s="228"/>
      <c r="M64" s="36">
        <f>'Team 6'!K26</f>
        <v>3.8</v>
      </c>
      <c r="P64" s="227"/>
      <c r="Q64" s="207" t="s">
        <v>20</v>
      </c>
      <c r="R64" s="228"/>
      <c r="S64" s="76">
        <f>( F89/100 + S17 + (1 - F89/100 - S40)*$E$110*$E$111*'Team 6'!K18 ) * 100</f>
        <v>158.26053500093238</v>
      </c>
    </row>
    <row r="65" spans="3:19" ht="15.75">
      <c r="C65" s="227" t="s">
        <v>91</v>
      </c>
      <c r="D65" s="207" t="s">
        <v>11</v>
      </c>
      <c r="E65" s="228" t="s">
        <v>104</v>
      </c>
      <c r="F65" s="52">
        <v>0.17199999999999999</v>
      </c>
      <c r="G65" s="36">
        <v>1.1100000000000001</v>
      </c>
      <c r="J65" s="227" t="s">
        <v>91</v>
      </c>
      <c r="K65" s="207" t="s">
        <v>11</v>
      </c>
      <c r="L65" s="236" t="s">
        <v>104</v>
      </c>
      <c r="M65" s="36">
        <f>'Team A'!D26</f>
        <v>-0.93800000000000017</v>
      </c>
      <c r="P65" s="227" t="s">
        <v>91</v>
      </c>
      <c r="Q65" s="207" t="s">
        <v>11</v>
      </c>
      <c r="R65" s="228" t="s">
        <v>105</v>
      </c>
      <c r="S65" s="76">
        <f>( F90/100 + S18 + (1 - F90/100 - S41)*$E$110*$E$111*'Team A'!D18 ) * 100</f>
        <v>197.35662914858983</v>
      </c>
    </row>
    <row r="66" spans="3:19" ht="15.75">
      <c r="C66" s="227"/>
      <c r="D66" s="207" t="s">
        <v>22</v>
      </c>
      <c r="E66" s="228"/>
      <c r="F66" s="35">
        <f>'Team A'!$J$14</f>
        <v>98.8</v>
      </c>
      <c r="G66" s="36">
        <f>'Team A'!$K$14</f>
        <v>39.9</v>
      </c>
      <c r="J66" s="227"/>
      <c r="K66" s="207" t="s">
        <v>22</v>
      </c>
      <c r="L66" s="228"/>
      <c r="M66" s="36">
        <f>'Team A'!K26</f>
        <v>58.9</v>
      </c>
      <c r="P66" s="227"/>
      <c r="Q66" s="207" t="s">
        <v>22</v>
      </c>
      <c r="R66" s="228"/>
      <c r="S66" s="76">
        <f>( F91/100 + S19 + (1 - F91/100 - S42)*$E$110*$E$111*'Team A'!K18 ) * 100</f>
        <v>-67.326009586215221</v>
      </c>
    </row>
    <row r="67" spans="3:19" ht="15.75">
      <c r="C67" s="227" t="s">
        <v>92</v>
      </c>
      <c r="D67" s="207" t="s">
        <v>24</v>
      </c>
      <c r="E67" s="228" t="s">
        <v>104</v>
      </c>
      <c r="F67" s="35">
        <f>'Team B'!$C$14</f>
        <v>8.5389999999999997</v>
      </c>
      <c r="G67" s="36">
        <f>'Team B'!$D$14</f>
        <v>0.65</v>
      </c>
      <c r="J67" s="227" t="s">
        <v>92</v>
      </c>
      <c r="K67" s="207" t="s">
        <v>24</v>
      </c>
      <c r="L67" s="236" t="s">
        <v>104</v>
      </c>
      <c r="M67" s="36">
        <f>'Team B'!D26</f>
        <v>7.8889999999999993</v>
      </c>
      <c r="P67" s="227" t="s">
        <v>92</v>
      </c>
      <c r="Q67" s="207" t="s">
        <v>24</v>
      </c>
      <c r="R67" s="228" t="s">
        <v>105</v>
      </c>
      <c r="S67" s="76">
        <f>( F92/100 + S20 + (1 - F92/100 - S43)*$E$110*$E$111*'Team B'!D18 ) * 100</f>
        <v>147.87723315651539</v>
      </c>
    </row>
    <row r="68" spans="3:19" ht="15.75">
      <c r="C68" s="227"/>
      <c r="D68" s="207" t="s">
        <v>25</v>
      </c>
      <c r="E68" s="228"/>
      <c r="F68" s="35">
        <f>'Team B'!$J$14</f>
        <v>53.15</v>
      </c>
      <c r="G68" s="36">
        <f>'Team B'!$K$14</f>
        <v>46.7</v>
      </c>
      <c r="J68" s="227"/>
      <c r="K68" s="207" t="s">
        <v>25</v>
      </c>
      <c r="L68" s="228"/>
      <c r="M68" s="36">
        <f>'Team B'!K26</f>
        <v>6.4499999999999957</v>
      </c>
      <c r="P68" s="227"/>
      <c r="Q68" s="207" t="s">
        <v>25</v>
      </c>
      <c r="R68" s="228"/>
      <c r="S68" s="76">
        <f xml:space="preserve"> ( F93/100 + S21 + (1 - F93/100 - S44)*$E$110*$E$111*'Team B'!K18 ) * 100</f>
        <v>-27.340691056910039</v>
      </c>
    </row>
    <row r="69" spans="3:19" ht="15.75">
      <c r="C69" s="227" t="s">
        <v>93</v>
      </c>
      <c r="D69" s="207" t="s">
        <v>19</v>
      </c>
      <c r="E69" s="228" t="s">
        <v>104</v>
      </c>
      <c r="F69" s="35">
        <f>'Team C'!$C$14</f>
        <v>7.9989999999999997</v>
      </c>
      <c r="G69" s="36">
        <f>'Team C'!$D$14</f>
        <v>0.96699999999999997</v>
      </c>
      <c r="J69" s="227" t="s">
        <v>93</v>
      </c>
      <c r="K69" s="207" t="s">
        <v>19</v>
      </c>
      <c r="L69" s="228" t="s">
        <v>104</v>
      </c>
      <c r="M69" s="36">
        <f>'Team C'!D26</f>
        <v>7.032</v>
      </c>
      <c r="P69" s="227" t="s">
        <v>93</v>
      </c>
      <c r="Q69" s="207" t="s">
        <v>19</v>
      </c>
      <c r="R69" s="228" t="s">
        <v>105</v>
      </c>
      <c r="S69" s="76">
        <f xml:space="preserve"> ( F94/100 + S22 + (1 - F94/100 - S45)*$E$110*$E$111*'Team C'!D18 ) * 100</f>
        <v>25.702679199786356</v>
      </c>
    </row>
    <row r="70" spans="3:19" ht="15.75">
      <c r="C70" s="227"/>
      <c r="D70" s="207" t="s">
        <v>27</v>
      </c>
      <c r="E70" s="228"/>
      <c r="F70" s="35">
        <f>'Team C'!$J$14</f>
        <v>6714.19</v>
      </c>
      <c r="G70" s="36">
        <f>'Team C'!$K$14</f>
        <v>6355.34</v>
      </c>
      <c r="J70" s="227"/>
      <c r="K70" s="207" t="s">
        <v>27</v>
      </c>
      <c r="L70" s="228"/>
      <c r="M70" s="36">
        <f>'Team C'!K26</f>
        <v>358.84999999999945</v>
      </c>
      <c r="P70" s="227"/>
      <c r="Q70" s="207" t="s">
        <v>27</v>
      </c>
      <c r="R70" s="228"/>
      <c r="S70" s="76">
        <f xml:space="preserve"> ( F95/100 + S23 + (1 - F95/100 - S46)*$E$110*$E$111*'Team C'!K18 ) * 100</f>
        <v>40.277348542402613</v>
      </c>
    </row>
    <row r="71" spans="3:19" ht="15.75">
      <c r="C71" s="227" t="s">
        <v>94</v>
      </c>
      <c r="D71" s="207" t="s">
        <v>8</v>
      </c>
      <c r="E71" s="228" t="s">
        <v>104</v>
      </c>
      <c r="F71" s="35">
        <f>'Team D'!$C$14</f>
        <v>11.9</v>
      </c>
      <c r="G71" s="36">
        <f>'Team D'!$D$14</f>
        <v>9.4</v>
      </c>
      <c r="J71" s="227" t="s">
        <v>94</v>
      </c>
      <c r="K71" s="207" t="s">
        <v>8</v>
      </c>
      <c r="L71" s="228" t="s">
        <v>104</v>
      </c>
      <c r="M71" s="36">
        <f>'Team D'!D26</f>
        <v>2.5</v>
      </c>
      <c r="P71" s="227" t="s">
        <v>94</v>
      </c>
      <c r="Q71" s="207" t="s">
        <v>8</v>
      </c>
      <c r="R71" s="228" t="s">
        <v>105</v>
      </c>
      <c r="S71" s="76">
        <f xml:space="preserve"> ( F96/100 + S24 + (1 - F96/100 - S47)*$E$110*$E$111*'Team D'!D18 ) * 100</f>
        <v>9.9475598816029045</v>
      </c>
    </row>
    <row r="72" spans="3:19" ht="16.5" thickBot="1">
      <c r="C72" s="242"/>
      <c r="D72" s="208" t="s">
        <v>30</v>
      </c>
      <c r="E72" s="243"/>
      <c r="F72" s="37">
        <f>'Team D'!$J$14</f>
        <v>2803</v>
      </c>
      <c r="G72" s="38">
        <f>'Team D'!$K$14</f>
        <v>2944</v>
      </c>
      <c r="J72" s="242"/>
      <c r="K72" s="208" t="s">
        <v>30</v>
      </c>
      <c r="L72" s="243"/>
      <c r="M72" s="38">
        <f>'Team D'!K26</f>
        <v>-141</v>
      </c>
      <c r="P72" s="242"/>
      <c r="Q72" s="208" t="s">
        <v>30</v>
      </c>
      <c r="R72" s="243"/>
      <c r="S72" s="77">
        <f xml:space="preserve"> ( F97/100 + S25 + (1 - F97/100 - S48)*$E$110*$E$111*'Team D'!K18 ) * 100</f>
        <v>216.6672927443324</v>
      </c>
    </row>
    <row r="73" spans="3:19" ht="15.75">
      <c r="C73" s="24"/>
      <c r="D73" s="24"/>
      <c r="E73" s="24"/>
      <c r="F73" s="25"/>
      <c r="G73" s="25"/>
      <c r="J73" s="24"/>
      <c r="K73" s="24"/>
      <c r="L73" s="24"/>
      <c r="M73" s="25"/>
    </row>
    <row r="74" spans="3:19" ht="15.75">
      <c r="C74" s="24"/>
      <c r="D74" s="24"/>
      <c r="E74" s="24"/>
      <c r="F74" s="25"/>
      <c r="G74" s="25"/>
      <c r="J74" s="24"/>
      <c r="K74" s="24"/>
      <c r="L74" s="24"/>
      <c r="M74" s="25"/>
    </row>
    <row r="75" spans="3:19" ht="16.5" thickBot="1">
      <c r="C75" s="19"/>
      <c r="D75" s="19"/>
      <c r="E75" s="19"/>
      <c r="F75" s="19"/>
      <c r="G75" s="19"/>
    </row>
    <row r="76" spans="3:19" ht="16.5" thickBot="1">
      <c r="C76" s="237" t="s">
        <v>106</v>
      </c>
      <c r="D76" s="238"/>
      <c r="E76" s="238"/>
      <c r="F76" s="239"/>
      <c r="G76" s="19"/>
      <c r="J76" s="237" t="s">
        <v>107</v>
      </c>
      <c r="K76" s="238"/>
      <c r="L76" s="238"/>
      <c r="M76" s="239"/>
    </row>
    <row r="77" spans="3:19" ht="16.5" thickBot="1">
      <c r="C77" s="26" t="s">
        <v>76</v>
      </c>
      <c r="D77" s="27" t="s">
        <v>77</v>
      </c>
      <c r="E77" s="27" t="s">
        <v>78</v>
      </c>
      <c r="F77" s="28" t="s">
        <v>108</v>
      </c>
      <c r="G77" s="19"/>
      <c r="J77" s="26" t="s">
        <v>76</v>
      </c>
      <c r="K77" s="27" t="s">
        <v>77</v>
      </c>
      <c r="L77" s="27" t="s">
        <v>78</v>
      </c>
      <c r="M77" s="28" t="s">
        <v>97</v>
      </c>
    </row>
    <row r="78" spans="3:19" ht="15.75">
      <c r="C78" s="240" t="s">
        <v>83</v>
      </c>
      <c r="D78" s="29" t="s">
        <v>5</v>
      </c>
      <c r="E78" s="241" t="s">
        <v>105</v>
      </c>
      <c r="F78" s="46">
        <f>'Team 1'!$C$16</f>
        <v>8.548</v>
      </c>
      <c r="G78" s="19"/>
      <c r="J78" s="240" t="s">
        <v>83</v>
      </c>
      <c r="K78" s="29" t="s">
        <v>5</v>
      </c>
      <c r="L78" s="244" t="s">
        <v>84</v>
      </c>
      <c r="M78" s="41">
        <f>'Team 1'!D27</f>
        <v>1069004.422206</v>
      </c>
    </row>
    <row r="79" spans="3:19" ht="15.75">
      <c r="C79" s="227"/>
      <c r="D79" s="207" t="s">
        <v>6</v>
      </c>
      <c r="E79" s="228"/>
      <c r="F79" s="47">
        <f>'Team 1'!$J$16</f>
        <v>8.4</v>
      </c>
      <c r="G79" s="19"/>
      <c r="J79" s="227"/>
      <c r="K79" s="207" t="s">
        <v>6</v>
      </c>
      <c r="L79" s="245"/>
      <c r="M79" s="43">
        <f>'Team 1'!K27</f>
        <v>533.11199999999997</v>
      </c>
    </row>
    <row r="80" spans="3:19" ht="15.75">
      <c r="C80" s="227" t="s">
        <v>86</v>
      </c>
      <c r="D80" s="207" t="s">
        <v>8</v>
      </c>
      <c r="E80" s="228" t="s">
        <v>105</v>
      </c>
      <c r="F80" s="47">
        <f>'Team 2'!$C$16</f>
        <v>0</v>
      </c>
      <c r="G80" s="19"/>
      <c r="J80" s="227" t="s">
        <v>86</v>
      </c>
      <c r="K80" s="207" t="s">
        <v>8</v>
      </c>
      <c r="L80" s="228" t="s">
        <v>84</v>
      </c>
      <c r="M80" s="43">
        <f>'Team 2'!D27</f>
        <v>776.2286880059055</v>
      </c>
    </row>
    <row r="81" spans="3:13" ht="15.75">
      <c r="C81" s="227"/>
      <c r="D81" s="207" t="s">
        <v>9</v>
      </c>
      <c r="E81" s="228"/>
      <c r="F81" s="47">
        <f>'Team 2'!$J$16</f>
        <v>0</v>
      </c>
      <c r="G81" s="19"/>
      <c r="J81" s="227"/>
      <c r="K81" s="207" t="s">
        <v>9</v>
      </c>
      <c r="L81" s="228"/>
      <c r="M81" s="43">
        <f>'Team 2'!K27</f>
        <v>26999999.99999997</v>
      </c>
    </row>
    <row r="82" spans="3:13" ht="15.75">
      <c r="C82" s="227" t="s">
        <v>87</v>
      </c>
      <c r="D82" s="207" t="s">
        <v>11</v>
      </c>
      <c r="E82" s="228" t="s">
        <v>105</v>
      </c>
      <c r="F82" s="47">
        <f>'Team 3'!$C$16</f>
        <v>14.58</v>
      </c>
      <c r="G82" s="19"/>
      <c r="J82" s="227" t="s">
        <v>87</v>
      </c>
      <c r="K82" s="207" t="s">
        <v>11</v>
      </c>
      <c r="L82" s="228" t="s">
        <v>84</v>
      </c>
      <c r="M82" s="43">
        <f>'Team 3'!D27</f>
        <v>978660.35679999995</v>
      </c>
    </row>
    <row r="83" spans="3:13" ht="15.75">
      <c r="C83" s="227"/>
      <c r="D83" s="207" t="s">
        <v>29</v>
      </c>
      <c r="E83" s="228"/>
      <c r="F83" s="47">
        <f>'Team 3'!$J$16</f>
        <v>6.04</v>
      </c>
      <c r="G83" s="19"/>
      <c r="J83" s="227"/>
      <c r="K83" s="207" t="s">
        <v>29</v>
      </c>
      <c r="L83" s="228"/>
      <c r="M83" s="43">
        <f>'Team 3'!K27</f>
        <v>20136.567599999998</v>
      </c>
    </row>
    <row r="84" spans="3:13" ht="15.75">
      <c r="C84" s="227" t="s">
        <v>88</v>
      </c>
      <c r="D84" s="207" t="s">
        <v>14</v>
      </c>
      <c r="E84" s="228" t="s">
        <v>105</v>
      </c>
      <c r="F84" s="47">
        <f>'Team 4'!$C$16</f>
        <v>0</v>
      </c>
      <c r="G84" s="19"/>
      <c r="J84" s="227" t="s">
        <v>88</v>
      </c>
      <c r="K84" s="207" t="s">
        <v>14</v>
      </c>
      <c r="L84" s="228" t="s">
        <v>84</v>
      </c>
      <c r="M84" s="43">
        <f>'Team 4'!D27</f>
        <v>3838</v>
      </c>
    </row>
    <row r="85" spans="3:13" ht="15.75">
      <c r="C85" s="227"/>
      <c r="D85" s="207" t="s">
        <v>15</v>
      </c>
      <c r="E85" s="228"/>
      <c r="F85" s="47">
        <f>'Team 4'!$J$16</f>
        <v>20</v>
      </c>
      <c r="G85" s="19"/>
      <c r="J85" s="227"/>
      <c r="K85" s="207" t="s">
        <v>15</v>
      </c>
      <c r="L85" s="228"/>
      <c r="M85" s="43">
        <f>'Team 4'!K27</f>
        <v>21413.600000000002</v>
      </c>
    </row>
    <row r="86" spans="3:13" ht="15.75">
      <c r="C86" s="227" t="s">
        <v>89</v>
      </c>
      <c r="D86" s="207" t="s">
        <v>14</v>
      </c>
      <c r="E86" s="228" t="s">
        <v>105</v>
      </c>
      <c r="F86" s="47">
        <f>'Team 5'!$C$16</f>
        <v>0</v>
      </c>
      <c r="G86" s="19"/>
      <c r="J86" s="227" t="s">
        <v>89</v>
      </c>
      <c r="K86" s="207" t="s">
        <v>14</v>
      </c>
      <c r="L86" s="228" t="s">
        <v>84</v>
      </c>
      <c r="M86" s="43">
        <f>'Team 5'!D27</f>
        <v>560</v>
      </c>
    </row>
    <row r="87" spans="3:13" ht="15.75">
      <c r="C87" s="227"/>
      <c r="D87" s="207" t="s">
        <v>30</v>
      </c>
      <c r="E87" s="228"/>
      <c r="F87" s="47">
        <f>'Team 5'!$J$16</f>
        <v>6.04</v>
      </c>
      <c r="G87" s="19"/>
      <c r="J87" s="227"/>
      <c r="K87" s="207" t="s">
        <v>30</v>
      </c>
      <c r="L87" s="228"/>
      <c r="M87" s="43">
        <f>'Team 5'!K27</f>
        <v>9875.1959999999999</v>
      </c>
    </row>
    <row r="88" spans="3:13" ht="15.75">
      <c r="C88" s="227" t="s">
        <v>90</v>
      </c>
      <c r="D88" s="207" t="s">
        <v>19</v>
      </c>
      <c r="E88" s="228" t="s">
        <v>105</v>
      </c>
      <c r="F88" s="47">
        <f>'Team 6'!$C$16</f>
        <v>0</v>
      </c>
      <c r="G88" s="19"/>
      <c r="J88" s="227" t="s">
        <v>90</v>
      </c>
      <c r="K88" s="207" t="s">
        <v>19</v>
      </c>
      <c r="L88" s="228" t="s">
        <v>84</v>
      </c>
      <c r="M88" s="43">
        <f>'Team 6'!D27</f>
        <v>846.44</v>
      </c>
    </row>
    <row r="89" spans="3:13" ht="15.75">
      <c r="C89" s="227"/>
      <c r="D89" s="207" t="s">
        <v>20</v>
      </c>
      <c r="E89" s="228"/>
      <c r="F89" s="47">
        <f>'Team 6'!$J$16</f>
        <v>0</v>
      </c>
      <c r="G89" s="19"/>
      <c r="J89" s="227"/>
      <c r="K89" s="207" t="s">
        <v>20</v>
      </c>
      <c r="L89" s="228"/>
      <c r="M89" s="43">
        <f>'Team 6'!K27</f>
        <v>2854.7660000000001</v>
      </c>
    </row>
    <row r="90" spans="3:13" ht="15.75">
      <c r="C90" s="227" t="s">
        <v>91</v>
      </c>
      <c r="D90" s="207" t="s">
        <v>11</v>
      </c>
      <c r="E90" s="228" t="s">
        <v>105</v>
      </c>
      <c r="F90" s="47">
        <v>10</v>
      </c>
      <c r="G90" s="19"/>
      <c r="J90" s="227" t="s">
        <v>91</v>
      </c>
      <c r="K90" s="207" t="s">
        <v>11</v>
      </c>
      <c r="L90" s="228" t="s">
        <v>84</v>
      </c>
      <c r="M90" s="43">
        <f>'Team A'!D27</f>
        <v>165.95999999999998</v>
      </c>
    </row>
    <row r="91" spans="3:13" ht="15.75">
      <c r="C91" s="227"/>
      <c r="D91" s="207" t="s">
        <v>22</v>
      </c>
      <c r="E91" s="228"/>
      <c r="F91" s="47">
        <f>'Team A'!$J$16</f>
        <v>0</v>
      </c>
      <c r="G91" s="19"/>
      <c r="J91" s="227"/>
      <c r="K91" s="207" t="s">
        <v>22</v>
      </c>
      <c r="L91" s="228"/>
      <c r="M91" s="43">
        <f>'Team A'!K27</f>
        <v>4120.5</v>
      </c>
    </row>
    <row r="92" spans="3:13" ht="15.75">
      <c r="C92" s="227" t="s">
        <v>92</v>
      </c>
      <c r="D92" s="207" t="s">
        <v>24</v>
      </c>
      <c r="E92" s="228" t="s">
        <v>105</v>
      </c>
      <c r="F92" s="47">
        <f>'Team B'!$C$16</f>
        <v>0</v>
      </c>
      <c r="G92" s="19"/>
      <c r="J92" s="227" t="s">
        <v>92</v>
      </c>
      <c r="K92" s="207" t="s">
        <v>24</v>
      </c>
      <c r="L92" s="228" t="s">
        <v>84</v>
      </c>
      <c r="M92" s="43">
        <f>'Team B'!D27</f>
        <v>2882.6279999999997</v>
      </c>
    </row>
    <row r="93" spans="3:13" ht="15.75">
      <c r="C93" s="227"/>
      <c r="D93" s="207" t="s">
        <v>25</v>
      </c>
      <c r="E93" s="228"/>
      <c r="F93" s="47">
        <f>'Team B'!$J$16</f>
        <v>0</v>
      </c>
      <c r="G93" s="19"/>
      <c r="J93" s="227"/>
      <c r="K93" s="207" t="s">
        <v>25</v>
      </c>
      <c r="L93" s="228"/>
      <c r="M93" s="43">
        <f>'Team B'!K27</f>
        <v>147.60000000000014</v>
      </c>
    </row>
    <row r="94" spans="3:13" ht="15.75">
      <c r="C94" s="227" t="s">
        <v>93</v>
      </c>
      <c r="D94" s="207" t="s">
        <v>19</v>
      </c>
      <c r="E94" s="228" t="s">
        <v>105</v>
      </c>
      <c r="F94" s="47">
        <f>'Team C'!$C$16</f>
        <v>7.1</v>
      </c>
      <c r="G94" s="19"/>
      <c r="J94" s="227" t="s">
        <v>93</v>
      </c>
      <c r="K94" s="207" t="s">
        <v>19</v>
      </c>
      <c r="L94" s="228" t="s">
        <v>84</v>
      </c>
      <c r="M94" s="43">
        <f>'Team C'!D27</f>
        <v>347.81760000000008</v>
      </c>
    </row>
    <row r="95" spans="3:13" ht="15.75">
      <c r="C95" s="227"/>
      <c r="D95" s="207" t="s">
        <v>27</v>
      </c>
      <c r="E95" s="228"/>
      <c r="F95" s="47">
        <f>'Team C'!$J$16</f>
        <v>20</v>
      </c>
      <c r="G95" s="19"/>
      <c r="J95" s="227"/>
      <c r="K95" s="207" t="s">
        <v>27</v>
      </c>
      <c r="L95" s="228"/>
      <c r="M95" s="43">
        <f>'Team C'!K27</f>
        <v>20159.2</v>
      </c>
    </row>
    <row r="96" spans="3:13" ht="15.75">
      <c r="C96" s="227" t="s">
        <v>94</v>
      </c>
      <c r="D96" s="207" t="s">
        <v>8</v>
      </c>
      <c r="E96" s="228" t="s">
        <v>105</v>
      </c>
      <c r="F96" s="47">
        <f>'Team D'!$C$16</f>
        <v>0</v>
      </c>
      <c r="G96" s="19"/>
      <c r="J96" s="227" t="s">
        <v>94</v>
      </c>
      <c r="K96" s="207" t="s">
        <v>8</v>
      </c>
      <c r="L96" s="228" t="s">
        <v>84</v>
      </c>
      <c r="M96" s="43">
        <f>'Team D'!D27</f>
        <v>122</v>
      </c>
    </row>
    <row r="97" spans="3:13" ht="16.5" thickBot="1">
      <c r="C97" s="242"/>
      <c r="D97" s="208" t="s">
        <v>30</v>
      </c>
      <c r="E97" s="243"/>
      <c r="F97" s="54">
        <f>'Team D'!$J$16</f>
        <v>6.04</v>
      </c>
      <c r="G97" s="19"/>
      <c r="J97" s="242"/>
      <c r="K97" s="208" t="s">
        <v>30</v>
      </c>
      <c r="L97" s="243"/>
      <c r="M97" s="45">
        <f>'Team D'!K27</f>
        <v>13649.5692</v>
      </c>
    </row>
    <row r="98" spans="3:13" ht="15.75">
      <c r="C98" s="24"/>
      <c r="D98" s="24"/>
      <c r="E98" s="24"/>
      <c r="F98" s="25"/>
      <c r="G98" s="19"/>
      <c r="J98" s="24"/>
      <c r="K98" s="24"/>
      <c r="L98" s="24"/>
      <c r="M98" s="53"/>
    </row>
    <row r="99" spans="3:13" ht="15.75">
      <c r="C99" s="19"/>
      <c r="D99" s="19"/>
      <c r="E99" s="19"/>
      <c r="F99" s="19"/>
      <c r="G99" s="19"/>
    </row>
    <row r="100" spans="3:13" ht="15.75">
      <c r="C100" s="22" t="s">
        <v>109</v>
      </c>
      <c r="D100" s="111"/>
      <c r="E100" s="19"/>
      <c r="F100" s="19"/>
      <c r="G100" s="19"/>
    </row>
    <row r="101" spans="3:13" ht="16.5" thickBot="1">
      <c r="C101" s="19"/>
      <c r="D101" s="19"/>
      <c r="E101" s="19"/>
      <c r="F101" s="19"/>
      <c r="G101" s="19"/>
    </row>
    <row r="102" spans="3:13" ht="16.5" thickBot="1">
      <c r="C102" s="233" t="s">
        <v>110</v>
      </c>
      <c r="D102" s="234"/>
      <c r="E102" s="235"/>
      <c r="F102" s="19"/>
      <c r="G102" s="19"/>
    </row>
    <row r="103" spans="3:13" ht="33.75" customHeight="1">
      <c r="C103" s="229" t="s">
        <v>111</v>
      </c>
      <c r="D103" s="230"/>
      <c r="E103" s="69">
        <f>10.52/1000</f>
        <v>1.052E-2</v>
      </c>
      <c r="F103" s="70" t="s">
        <v>112</v>
      </c>
      <c r="G103" s="19"/>
    </row>
    <row r="104" spans="3:13" ht="33.75" customHeight="1">
      <c r="C104" s="252" t="s">
        <v>113</v>
      </c>
      <c r="D104" s="253"/>
      <c r="E104" s="66">
        <f>4.37091778688525/1000</f>
        <v>4.3709177868852499E-3</v>
      </c>
      <c r="F104" s="65"/>
      <c r="G104" s="19"/>
    </row>
    <row r="105" spans="3:13" ht="33.75" customHeight="1">
      <c r="C105" s="231" t="s">
        <v>114</v>
      </c>
      <c r="D105" s="232"/>
      <c r="E105" s="73">
        <v>2.1100000000000001E-2</v>
      </c>
      <c r="F105" s="67"/>
      <c r="G105" s="19"/>
    </row>
    <row r="106" spans="3:13" ht="33.75" customHeight="1">
      <c r="C106" s="231" t="s">
        <v>115</v>
      </c>
      <c r="D106" s="232"/>
      <c r="E106" s="116">
        <v>0.04</v>
      </c>
      <c r="F106" s="19"/>
      <c r="G106" s="19"/>
    </row>
    <row r="107" spans="3:13" ht="33.75" customHeight="1" thickBot="1">
      <c r="C107" s="250" t="s">
        <v>116</v>
      </c>
      <c r="D107" s="251"/>
      <c r="E107" s="115">
        <f>0.08165/3.6</f>
        <v>2.2680555555555554E-2</v>
      </c>
      <c r="F107" s="19"/>
      <c r="G107" s="19"/>
    </row>
    <row r="108" spans="3:13" ht="16.5" thickBot="1">
      <c r="C108" s="224" t="s">
        <v>117</v>
      </c>
      <c r="D108" s="225"/>
      <c r="E108" s="226"/>
      <c r="F108" s="19"/>
      <c r="G108" s="19"/>
    </row>
    <row r="109" spans="3:13" ht="48" customHeight="1">
      <c r="C109" s="218" t="s">
        <v>118</v>
      </c>
      <c r="D109" s="219"/>
      <c r="E109" s="30">
        <v>0.95</v>
      </c>
      <c r="F109" s="19"/>
      <c r="G109" s="19"/>
    </row>
    <row r="110" spans="3:13" ht="48" customHeight="1">
      <c r="C110" s="222" t="s">
        <v>119</v>
      </c>
      <c r="D110" s="223"/>
      <c r="E110" s="31">
        <f>E109/(1-E109)</f>
        <v>18.999999999999982</v>
      </c>
      <c r="F110" s="19"/>
      <c r="G110" s="19"/>
    </row>
    <row r="111" spans="3:13" ht="48" customHeight="1" thickBot="1">
      <c r="C111" s="220" t="s">
        <v>120</v>
      </c>
      <c r="D111" s="221"/>
      <c r="E111" s="32">
        <v>3.89</v>
      </c>
      <c r="F111" s="19"/>
      <c r="G111" s="19"/>
    </row>
    <row r="112" spans="3:13" ht="15.75">
      <c r="C112" s="19"/>
      <c r="D112" s="19"/>
      <c r="E112" s="19"/>
      <c r="F112" s="19"/>
    </row>
  </sheetData>
  <mergeCells count="242">
    <mergeCell ref="P71:P72"/>
    <mergeCell ref="R71:R72"/>
    <mergeCell ref="C107:D107"/>
    <mergeCell ref="C104:D104"/>
    <mergeCell ref="C2:G2"/>
    <mergeCell ref="J2:M2"/>
    <mergeCell ref="P2:S2"/>
    <mergeCell ref="P61:P62"/>
    <mergeCell ref="R61:R62"/>
    <mergeCell ref="P63:P64"/>
    <mergeCell ref="R63:R64"/>
    <mergeCell ref="P65:P66"/>
    <mergeCell ref="R65:R66"/>
    <mergeCell ref="P67:P68"/>
    <mergeCell ref="R67:R68"/>
    <mergeCell ref="P69:P70"/>
    <mergeCell ref="R69:R70"/>
    <mergeCell ref="P51:S51"/>
    <mergeCell ref="P53:P54"/>
    <mergeCell ref="R53:R54"/>
    <mergeCell ref="P55:P56"/>
    <mergeCell ref="R55:R56"/>
    <mergeCell ref="P57:P58"/>
    <mergeCell ref="R57:R58"/>
    <mergeCell ref="P59:P60"/>
    <mergeCell ref="R59:R60"/>
    <mergeCell ref="P47:P48"/>
    <mergeCell ref="R47:R48"/>
    <mergeCell ref="C71:C72"/>
    <mergeCell ref="E71:E72"/>
    <mergeCell ref="C96:C97"/>
    <mergeCell ref="E96:E97"/>
    <mergeCell ref="J24:J25"/>
    <mergeCell ref="L24:L25"/>
    <mergeCell ref="J47:J48"/>
    <mergeCell ref="L47:L48"/>
    <mergeCell ref="J71:J72"/>
    <mergeCell ref="L71:L72"/>
    <mergeCell ref="J96:J97"/>
    <mergeCell ref="L96:L97"/>
    <mergeCell ref="C94:C95"/>
    <mergeCell ref="E94:E95"/>
    <mergeCell ref="C76:F76"/>
    <mergeCell ref="C88:C89"/>
    <mergeCell ref="E88:E89"/>
    <mergeCell ref="C90:C91"/>
    <mergeCell ref="E90:E91"/>
    <mergeCell ref="C92:C93"/>
    <mergeCell ref="E92:E93"/>
    <mergeCell ref="C82:C83"/>
    <mergeCell ref="E82:E83"/>
    <mergeCell ref="C84:C85"/>
    <mergeCell ref="E84:E85"/>
    <mergeCell ref="C86:C87"/>
    <mergeCell ref="E86:E87"/>
    <mergeCell ref="C78:C79"/>
    <mergeCell ref="E78:E79"/>
    <mergeCell ref="C80:C81"/>
    <mergeCell ref="E80:E81"/>
    <mergeCell ref="C65:C66"/>
    <mergeCell ref="E65:E66"/>
    <mergeCell ref="C67:C68"/>
    <mergeCell ref="E67:E68"/>
    <mergeCell ref="C69:C70"/>
    <mergeCell ref="E69:E70"/>
    <mergeCell ref="C55:C56"/>
    <mergeCell ref="E55:E56"/>
    <mergeCell ref="C57:C58"/>
    <mergeCell ref="E57:E58"/>
    <mergeCell ref="C59:C60"/>
    <mergeCell ref="E59:E60"/>
    <mergeCell ref="C61:C62"/>
    <mergeCell ref="E61:E62"/>
    <mergeCell ref="C63:C64"/>
    <mergeCell ref="E63:E64"/>
    <mergeCell ref="C41:C42"/>
    <mergeCell ref="E41:E42"/>
    <mergeCell ref="C43:C44"/>
    <mergeCell ref="E43:E44"/>
    <mergeCell ref="C45:C46"/>
    <mergeCell ref="E45:E46"/>
    <mergeCell ref="C51:G51"/>
    <mergeCell ref="C53:C54"/>
    <mergeCell ref="E53:E54"/>
    <mergeCell ref="C47:C48"/>
    <mergeCell ref="E47:E48"/>
    <mergeCell ref="C31:C32"/>
    <mergeCell ref="E31:E32"/>
    <mergeCell ref="C33:C34"/>
    <mergeCell ref="E33:E34"/>
    <mergeCell ref="C35:C36"/>
    <mergeCell ref="E35:E36"/>
    <mergeCell ref="C37:C38"/>
    <mergeCell ref="E37:E38"/>
    <mergeCell ref="C39:C40"/>
    <mergeCell ref="E39:E40"/>
    <mergeCell ref="C27:G27"/>
    <mergeCell ref="C29:C30"/>
    <mergeCell ref="E29:E30"/>
    <mergeCell ref="E14:E15"/>
    <mergeCell ref="E16:E17"/>
    <mergeCell ref="E18:E19"/>
    <mergeCell ref="E20:E21"/>
    <mergeCell ref="E22:E23"/>
    <mergeCell ref="C14:C15"/>
    <mergeCell ref="C16:C17"/>
    <mergeCell ref="C18:C19"/>
    <mergeCell ref="C20:C21"/>
    <mergeCell ref="C22:C23"/>
    <mergeCell ref="C24:C25"/>
    <mergeCell ref="E24:E25"/>
    <mergeCell ref="J12:J13"/>
    <mergeCell ref="L12:L13"/>
    <mergeCell ref="J14:J15"/>
    <mergeCell ref="L14:L15"/>
    <mergeCell ref="J16:J17"/>
    <mergeCell ref="L16:L17"/>
    <mergeCell ref="J18:J19"/>
    <mergeCell ref="L18:L19"/>
    <mergeCell ref="C12:C13"/>
    <mergeCell ref="E12:E13"/>
    <mergeCell ref="J4:M4"/>
    <mergeCell ref="J6:J7"/>
    <mergeCell ref="L6:L7"/>
    <mergeCell ref="J8:J9"/>
    <mergeCell ref="L8:L9"/>
    <mergeCell ref="E6:E7"/>
    <mergeCell ref="C6:C7"/>
    <mergeCell ref="J10:J11"/>
    <mergeCell ref="L10:L11"/>
    <mergeCell ref="C4:G4"/>
    <mergeCell ref="C8:C9"/>
    <mergeCell ref="E8:E9"/>
    <mergeCell ref="C10:C11"/>
    <mergeCell ref="E10:E11"/>
    <mergeCell ref="J29:J30"/>
    <mergeCell ref="L29:L30"/>
    <mergeCell ref="J31:J32"/>
    <mergeCell ref="L31:L32"/>
    <mergeCell ref="J33:J34"/>
    <mergeCell ref="L33:L34"/>
    <mergeCell ref="J20:J21"/>
    <mergeCell ref="L20:L21"/>
    <mergeCell ref="J22:J23"/>
    <mergeCell ref="L22:L23"/>
    <mergeCell ref="J27:M27"/>
    <mergeCell ref="L55:L56"/>
    <mergeCell ref="J41:J42"/>
    <mergeCell ref="L41:L42"/>
    <mergeCell ref="J43:J44"/>
    <mergeCell ref="L43:L44"/>
    <mergeCell ref="J45:J46"/>
    <mergeCell ref="L45:L46"/>
    <mergeCell ref="J35:J36"/>
    <mergeCell ref="L35:L36"/>
    <mergeCell ref="J37:J38"/>
    <mergeCell ref="L37:L38"/>
    <mergeCell ref="J39:J40"/>
    <mergeCell ref="L39:L40"/>
    <mergeCell ref="J86:J87"/>
    <mergeCell ref="L86:L87"/>
    <mergeCell ref="J88:J89"/>
    <mergeCell ref="L88:L89"/>
    <mergeCell ref="J90:J91"/>
    <mergeCell ref="L90:L91"/>
    <mergeCell ref="J80:J81"/>
    <mergeCell ref="L80:L81"/>
    <mergeCell ref="J82:J83"/>
    <mergeCell ref="L82:L83"/>
    <mergeCell ref="J84:J85"/>
    <mergeCell ref="L84:L85"/>
    <mergeCell ref="J69:J70"/>
    <mergeCell ref="L69:L70"/>
    <mergeCell ref="J76:M76"/>
    <mergeCell ref="J78:J79"/>
    <mergeCell ref="L78:L79"/>
    <mergeCell ref="J63:J64"/>
    <mergeCell ref="L63:L64"/>
    <mergeCell ref="J65:J66"/>
    <mergeCell ref="L65:L66"/>
    <mergeCell ref="J67:J68"/>
    <mergeCell ref="L67:L68"/>
    <mergeCell ref="P12:P13"/>
    <mergeCell ref="R12:R13"/>
    <mergeCell ref="P14:P15"/>
    <mergeCell ref="R14:R15"/>
    <mergeCell ref="P16:P17"/>
    <mergeCell ref="R16:R17"/>
    <mergeCell ref="P6:P7"/>
    <mergeCell ref="R6:R7"/>
    <mergeCell ref="P8:P9"/>
    <mergeCell ref="R8:R9"/>
    <mergeCell ref="P10:P11"/>
    <mergeCell ref="R10:R11"/>
    <mergeCell ref="P29:P30"/>
    <mergeCell ref="R29:R30"/>
    <mergeCell ref="P31:P32"/>
    <mergeCell ref="R31:R32"/>
    <mergeCell ref="P18:P19"/>
    <mergeCell ref="R18:R19"/>
    <mergeCell ref="P20:P21"/>
    <mergeCell ref="R20:R21"/>
    <mergeCell ref="P22:P23"/>
    <mergeCell ref="R22:R23"/>
    <mergeCell ref="P24:P25"/>
    <mergeCell ref="R24:R25"/>
    <mergeCell ref="P39:P40"/>
    <mergeCell ref="R39:R40"/>
    <mergeCell ref="P41:P42"/>
    <mergeCell ref="R41:R42"/>
    <mergeCell ref="P43:P44"/>
    <mergeCell ref="R43:R44"/>
    <mergeCell ref="P33:P34"/>
    <mergeCell ref="R33:R34"/>
    <mergeCell ref="P35:P36"/>
    <mergeCell ref="R35:R36"/>
    <mergeCell ref="P37:P38"/>
    <mergeCell ref="R37:R38"/>
    <mergeCell ref="C109:D109"/>
    <mergeCell ref="C111:D111"/>
    <mergeCell ref="C110:D110"/>
    <mergeCell ref="C108:E108"/>
    <mergeCell ref="P45:P46"/>
    <mergeCell ref="R45:R46"/>
    <mergeCell ref="C103:D103"/>
    <mergeCell ref="C105:D105"/>
    <mergeCell ref="C106:D106"/>
    <mergeCell ref="C102:E102"/>
    <mergeCell ref="J92:J93"/>
    <mergeCell ref="L92:L93"/>
    <mergeCell ref="J94:J95"/>
    <mergeCell ref="L94:L95"/>
    <mergeCell ref="J57:J58"/>
    <mergeCell ref="L57:L58"/>
    <mergeCell ref="J59:J60"/>
    <mergeCell ref="L59:L60"/>
    <mergeCell ref="J61:J62"/>
    <mergeCell ref="L61:L62"/>
    <mergeCell ref="J51:M51"/>
    <mergeCell ref="J53:J54"/>
    <mergeCell ref="L53:L54"/>
    <mergeCell ref="J55:J56"/>
  </mergeCells>
  <hyperlinks>
    <hyperlink ref="F103" r:id="rId1" display="https://www.eia.gov/dnav/ng/ng_pri_sum_dcu_nus_m.htm" xr:uid="{5057BA54-C5A2-42E4-9DD4-AC9A5972A24D}"/>
  </hyperlinks>
  <pageMargins left="0.7" right="0.7" top="0.75" bottom="0.75" header="0.3" footer="0.3"/>
  <pageSetup orientation="portrait" r:id="rId2"/>
  <ignoredErrors>
    <ignoredError sqref="E103 E107 E110"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FD883-8A25-4096-B83A-E5684135360B}">
  <sheetPr>
    <tabColor theme="0"/>
  </sheetPr>
  <dimension ref="B2:T99"/>
  <sheetViews>
    <sheetView showGridLines="0" zoomScale="80" zoomScaleNormal="80" workbookViewId="0">
      <selection activeCell="J16" sqref="J16"/>
    </sheetView>
  </sheetViews>
  <sheetFormatPr defaultRowHeight="15"/>
  <cols>
    <col min="1" max="1" width="9.140625" style="175"/>
    <col min="2" max="2" width="22.85546875" style="175" bestFit="1" customWidth="1"/>
    <col min="3" max="5" width="15.140625" style="202" customWidth="1"/>
    <col min="6" max="6" width="12.28515625" style="175" customWidth="1"/>
    <col min="7" max="7" width="22.85546875" style="175" bestFit="1" customWidth="1"/>
    <col min="8" max="10" width="15.140625" style="175" customWidth="1"/>
    <col min="11" max="11" width="12.28515625" style="175" customWidth="1"/>
    <col min="12" max="12" width="22.85546875" style="175" bestFit="1" customWidth="1"/>
    <col min="13" max="15" width="15.140625" style="175" customWidth="1"/>
    <col min="16" max="16" width="12.28515625" style="175" customWidth="1"/>
    <col min="17" max="17" width="22.85546875" style="175" bestFit="1" customWidth="1"/>
    <col min="18" max="20" width="15.140625" style="175" customWidth="1"/>
    <col min="21" max="16384" width="9.140625" style="175"/>
  </cols>
  <sheetData>
    <row r="2" spans="2:20">
      <c r="B2" s="312" t="s">
        <v>83</v>
      </c>
      <c r="C2" s="312"/>
      <c r="D2" s="312"/>
      <c r="E2" s="312"/>
      <c r="F2" s="312"/>
      <c r="G2" s="312"/>
      <c r="H2" s="312"/>
      <c r="I2" s="312"/>
      <c r="J2" s="312"/>
      <c r="L2" s="312" t="s">
        <v>86</v>
      </c>
      <c r="M2" s="312"/>
      <c r="N2" s="312"/>
      <c r="O2" s="312"/>
      <c r="P2" s="312"/>
      <c r="Q2" s="312"/>
      <c r="R2" s="312"/>
      <c r="S2" s="312"/>
      <c r="T2" s="312"/>
    </row>
    <row r="3" spans="2:20" s="177" customFormat="1">
      <c r="B3" s="315" t="s">
        <v>5</v>
      </c>
      <c r="C3" s="315"/>
      <c r="D3" s="315"/>
      <c r="E3" s="315"/>
      <c r="F3" s="176"/>
      <c r="G3" s="315" t="s">
        <v>6</v>
      </c>
      <c r="H3" s="315"/>
      <c r="I3" s="315"/>
      <c r="J3" s="315"/>
      <c r="L3" s="313" t="s">
        <v>8</v>
      </c>
      <c r="M3" s="313"/>
      <c r="N3" s="313"/>
      <c r="O3" s="313"/>
      <c r="P3" s="178"/>
      <c r="Q3" s="313" t="s">
        <v>9</v>
      </c>
      <c r="R3" s="313"/>
      <c r="S3" s="313"/>
      <c r="T3" s="313"/>
    </row>
    <row r="4" spans="2:20" ht="15.75" thickBot="1">
      <c r="B4" s="316"/>
      <c r="C4" s="316"/>
      <c r="D4" s="316"/>
      <c r="E4" s="316"/>
      <c r="G4" s="316"/>
      <c r="H4" s="316"/>
      <c r="I4" s="316"/>
      <c r="J4" s="316"/>
      <c r="L4" s="314"/>
      <c r="M4" s="314"/>
      <c r="N4" s="314"/>
      <c r="O4" s="314"/>
      <c r="P4" s="179"/>
      <c r="Q4" s="314"/>
      <c r="R4" s="314"/>
      <c r="S4" s="314"/>
      <c r="T4" s="314"/>
    </row>
    <row r="5" spans="2:20" ht="15.75" thickBot="1">
      <c r="B5" s="180"/>
      <c r="C5" s="181" t="s">
        <v>121</v>
      </c>
      <c r="D5" s="182" t="s">
        <v>122</v>
      </c>
      <c r="E5" s="183" t="s">
        <v>123</v>
      </c>
      <c r="G5" s="184"/>
      <c r="H5" s="185" t="s">
        <v>121</v>
      </c>
      <c r="I5" s="186" t="s">
        <v>122</v>
      </c>
      <c r="J5" s="187" t="s">
        <v>123</v>
      </c>
      <c r="L5" s="184"/>
      <c r="M5" s="185" t="s">
        <v>121</v>
      </c>
      <c r="N5" s="186" t="s">
        <v>122</v>
      </c>
      <c r="O5" s="187" t="s">
        <v>123</v>
      </c>
      <c r="Q5" s="184"/>
      <c r="R5" s="185" t="s">
        <v>121</v>
      </c>
      <c r="S5" s="186" t="s">
        <v>122</v>
      </c>
      <c r="T5" s="187" t="s">
        <v>123</v>
      </c>
    </row>
    <row r="6" spans="2:20">
      <c r="B6" s="188" t="s">
        <v>124</v>
      </c>
      <c r="C6" s="189">
        <f>'Team 1'!$C$20</f>
        <v>5</v>
      </c>
      <c r="D6" s="190">
        <f>'Team 1'!$D$20</f>
        <v>5</v>
      </c>
      <c r="E6" s="191">
        <f>((D6-C6)/D6)*100</f>
        <v>0</v>
      </c>
      <c r="G6" s="192" t="s">
        <v>124</v>
      </c>
      <c r="H6" s="189">
        <f>'Team 1'!$K$20</f>
        <v>10</v>
      </c>
      <c r="I6" s="190">
        <f>'Team 1'!$J$20</f>
        <v>15</v>
      </c>
      <c r="J6" s="191">
        <f>((I6-H6)/I6)*100</f>
        <v>33.333333333333329</v>
      </c>
      <c r="L6" s="192" t="s">
        <v>124</v>
      </c>
      <c r="M6" s="189">
        <f>'Team 2'!$C$20</f>
        <v>0</v>
      </c>
      <c r="N6" s="190">
        <f>'Team 2'!$D$20</f>
        <v>0</v>
      </c>
      <c r="O6" s="191">
        <f>0</f>
        <v>0</v>
      </c>
      <c r="Q6" s="192" t="s">
        <v>124</v>
      </c>
      <c r="R6" s="189">
        <f>'Team 2'!$K$20</f>
        <v>0</v>
      </c>
      <c r="S6" s="190">
        <f>'Team 2'!$J$20</f>
        <v>0</v>
      </c>
      <c r="T6" s="191">
        <v>0</v>
      </c>
    </row>
    <row r="7" spans="2:20" ht="16.5">
      <c r="B7" s="193" t="s">
        <v>125</v>
      </c>
      <c r="C7" s="194">
        <f>'Team 1'!$D$12</f>
        <v>1527.06</v>
      </c>
      <c r="D7" s="195">
        <f>'Team 1'!$C$12</f>
        <v>1169.8699999999999</v>
      </c>
      <c r="E7" s="191">
        <f>((D7-C7)/D7)*100</f>
        <v>-30.532452323762477</v>
      </c>
      <c r="G7" s="196" t="s">
        <v>125</v>
      </c>
      <c r="H7" s="194">
        <f>'Team 1'!$K$12</f>
        <v>94.42</v>
      </c>
      <c r="I7" s="195">
        <f>'Team 1'!$J$12</f>
        <v>186.16</v>
      </c>
      <c r="J7" s="191">
        <f>((I7-H7)/I7)*100</f>
        <v>49.280189084658353</v>
      </c>
      <c r="L7" s="196" t="s">
        <v>125</v>
      </c>
      <c r="M7" s="194">
        <f>'Team 2'!$D$12</f>
        <v>69.628981481481475</v>
      </c>
      <c r="N7" s="195">
        <f>'Team 2'!$C$12</f>
        <v>108.1412037037037</v>
      </c>
      <c r="O7" s="191">
        <f>((N7-M7)/N7)*100</f>
        <v>35.612903225806456</v>
      </c>
      <c r="Q7" s="196" t="s">
        <v>125</v>
      </c>
      <c r="R7" s="194">
        <f>'Team 2'!$K$12</f>
        <v>16504</v>
      </c>
      <c r="S7" s="195">
        <f>'Team 2'!$J$12</f>
        <v>14936</v>
      </c>
      <c r="T7" s="191">
        <f>((S7-R7)/S7)*100</f>
        <v>-10.498125334761649</v>
      </c>
    </row>
    <row r="8" spans="2:20" ht="16.5">
      <c r="B8" s="193" t="s">
        <v>126</v>
      </c>
      <c r="C8" s="194">
        <f>'Team 1'!$D$13</f>
        <v>3211361.29</v>
      </c>
      <c r="D8" s="195">
        <f>'Team 1'!$C$13</f>
        <v>2042437.24</v>
      </c>
      <c r="E8" s="191">
        <f>((C8-D8)/C8)*100</f>
        <v>36.399643155691152</v>
      </c>
      <c r="G8" s="196" t="s">
        <v>126</v>
      </c>
      <c r="H8" s="194">
        <f>'Team 1'!$K$13</f>
        <v>2382</v>
      </c>
      <c r="I8" s="195">
        <f>'Team 1'!$J$13</f>
        <v>1800</v>
      </c>
      <c r="J8" s="191">
        <f>((H8-I8)/H8)*100</f>
        <v>24.433249370277078</v>
      </c>
      <c r="L8" s="196" t="s">
        <v>126</v>
      </c>
      <c r="M8" s="194">
        <f>'Team 2'!$D$13</f>
        <v>9066.0388000000003</v>
      </c>
      <c r="N8" s="195">
        <f>'Team 2'!$C$13</f>
        <v>8289.8101119940948</v>
      </c>
      <c r="O8" s="191">
        <f>((M8-N8)/M8)*100</f>
        <v>8.5619387378521417</v>
      </c>
      <c r="Q8" s="196" t="s">
        <v>126</v>
      </c>
      <c r="R8" s="194">
        <f>'Team 2'!$K$13</f>
        <v>270000000</v>
      </c>
      <c r="S8" s="195">
        <f>'Team 2'!$J$13</f>
        <v>243000000.00000003</v>
      </c>
      <c r="T8" s="191">
        <f>((R8-S8)/R8)*100</f>
        <v>9.9999999999999893</v>
      </c>
    </row>
    <row r="9" spans="2:20" ht="16.5">
      <c r="B9" s="193" t="s">
        <v>127</v>
      </c>
      <c r="C9" s="194">
        <f>'Team 1'!$D$14</f>
        <v>32157.07</v>
      </c>
      <c r="D9" s="195">
        <f>'Team 1'!$C$14</f>
        <v>21140.3</v>
      </c>
      <c r="E9" s="191">
        <f>((D9-C9)/D9)*100</f>
        <v>-52.112647408031108</v>
      </c>
      <c r="G9" s="196" t="s">
        <v>127</v>
      </c>
      <c r="H9" s="194">
        <f>'Team 1'!$K$14</f>
        <v>100</v>
      </c>
      <c r="I9" s="195">
        <f>'Team 1'!$J$14</f>
        <v>83.33</v>
      </c>
      <c r="J9" s="191">
        <f>((I9-H9)/I9)*100</f>
        <v>-20.004800192007682</v>
      </c>
      <c r="L9" s="196" t="s">
        <v>127</v>
      </c>
      <c r="M9" s="194">
        <f>'Team 2'!$D$14</f>
        <v>19000</v>
      </c>
      <c r="N9" s="195">
        <f>'Team 2'!$C$14</f>
        <v>20661.666666666701</v>
      </c>
      <c r="O9" s="191">
        <f>((N9-M9)/N9)*100</f>
        <v>8.0422682907156471</v>
      </c>
      <c r="Q9" s="196" t="s">
        <v>127</v>
      </c>
      <c r="R9" s="194">
        <f>'Team 2'!$K$14</f>
        <v>7625</v>
      </c>
      <c r="S9" s="195">
        <f>'Team 2'!$J$14</f>
        <v>8801</v>
      </c>
      <c r="T9" s="191">
        <f>((S9-R9)/S9)*100</f>
        <v>13.362117941143051</v>
      </c>
    </row>
    <row r="10" spans="2:20">
      <c r="B10" s="193" t="s">
        <v>128</v>
      </c>
      <c r="C10" s="285">
        <f>'Team 1'!$D$18</f>
        <v>4.3709177868852499E-3</v>
      </c>
      <c r="D10" s="286"/>
      <c r="E10" s="294"/>
      <c r="G10" s="196" t="s">
        <v>128</v>
      </c>
      <c r="H10" s="285">
        <f>'Team 1'!$K$18</f>
        <v>0.04</v>
      </c>
      <c r="I10" s="286"/>
      <c r="J10" s="287"/>
      <c r="L10" s="196" t="s">
        <v>128</v>
      </c>
      <c r="M10" s="285">
        <f>'Team 2'!$D$18</f>
        <v>0.04</v>
      </c>
      <c r="N10" s="286"/>
      <c r="O10" s="287"/>
      <c r="Q10" s="196" t="s">
        <v>128</v>
      </c>
      <c r="R10" s="285">
        <f>'Team 2'!$K$18</f>
        <v>4.3709177868852499E-3</v>
      </c>
      <c r="S10" s="286"/>
      <c r="T10" s="287"/>
    </row>
    <row r="11" spans="2:20">
      <c r="B11" s="193" t="s">
        <v>34</v>
      </c>
      <c r="C11" s="295">
        <f>'Team 1'!$D$28</f>
        <v>-3.0557160664116718E-4</v>
      </c>
      <c r="D11" s="296"/>
      <c r="E11" s="297"/>
      <c r="G11" s="196" t="s">
        <v>34</v>
      </c>
      <c r="H11" s="263">
        <f>'Team 1'!$K$28</f>
        <v>0.15762886597938144</v>
      </c>
      <c r="I11" s="264"/>
      <c r="J11" s="265"/>
      <c r="L11" s="196" t="s">
        <v>34</v>
      </c>
      <c r="M11" s="263">
        <f>'Team 2'!$D$28</f>
        <v>4.9614530894443343E-2</v>
      </c>
      <c r="N11" s="264"/>
      <c r="O11" s="265"/>
      <c r="Q11" s="196" t="s">
        <v>34</v>
      </c>
      <c r="R11" s="263">
        <f>'Team 2'!$K$28</f>
        <v>-5.8074074074074138E-5</v>
      </c>
      <c r="S11" s="264"/>
      <c r="T11" s="265"/>
    </row>
    <row r="12" spans="2:20" ht="15.75" thickBot="1">
      <c r="B12" s="197" t="s">
        <v>129</v>
      </c>
      <c r="C12" s="266">
        <f>'Team 1'!$D$29</f>
        <v>-2.1562313231991053</v>
      </c>
      <c r="D12" s="267"/>
      <c r="E12" s="298"/>
      <c r="G12" s="198" t="s">
        <v>129</v>
      </c>
      <c r="H12" s="266">
        <f>'Team 1'!$K$29</f>
        <v>-0.71606529209621994</v>
      </c>
      <c r="I12" s="267"/>
      <c r="J12" s="268"/>
      <c r="L12" s="198" t="s">
        <v>129</v>
      </c>
      <c r="M12" s="266">
        <f>'Team 2'!$D$29</f>
        <v>53.517303996308193</v>
      </c>
      <c r="N12" s="267"/>
      <c r="O12" s="268"/>
      <c r="Q12" s="198" t="s">
        <v>129</v>
      </c>
      <c r="R12" s="266">
        <f>'Team 2'!$K$29</f>
        <v>9.9648535340202855E-3</v>
      </c>
      <c r="S12" s="267"/>
      <c r="T12" s="268"/>
    </row>
    <row r="13" spans="2:20" ht="16.5">
      <c r="B13" s="199" t="s">
        <v>130</v>
      </c>
      <c r="C13" s="269">
        <f>'Team 1'!$C$16</f>
        <v>8.548</v>
      </c>
      <c r="D13" s="270"/>
      <c r="E13" s="299"/>
      <c r="G13" s="200" t="s">
        <v>130</v>
      </c>
      <c r="H13" s="269">
        <f>'Team 1'!$J$16</f>
        <v>8.4</v>
      </c>
      <c r="I13" s="270"/>
      <c r="J13" s="271"/>
      <c r="L13" s="200" t="s">
        <v>130</v>
      </c>
      <c r="M13" s="269">
        <f>'Team 2'!$C$16</f>
        <v>0</v>
      </c>
      <c r="N13" s="270"/>
      <c r="O13" s="271"/>
      <c r="Q13" s="200" t="s">
        <v>130</v>
      </c>
      <c r="R13" s="269">
        <f>'Team 2'!$J$16</f>
        <v>0</v>
      </c>
      <c r="S13" s="270"/>
      <c r="T13" s="271"/>
    </row>
    <row r="14" spans="2:20" ht="17.25" thickBot="1">
      <c r="B14" s="201" t="s">
        <v>131</v>
      </c>
      <c r="C14" s="300">
        <f>'Summary Page'!$S53</f>
        <v>107.7194564999124</v>
      </c>
      <c r="D14" s="301"/>
      <c r="E14" s="302"/>
      <c r="G14" s="201" t="s">
        <v>131</v>
      </c>
      <c r="H14" s="288">
        <f>'Summary Page'!$S54</f>
        <v>506.66666955326411</v>
      </c>
      <c r="I14" s="289"/>
      <c r="J14" s="290"/>
      <c r="L14" s="201" t="s">
        <v>131</v>
      </c>
      <c r="M14" s="272">
        <f>'Summary Page'!S55</f>
        <v>-15521.254300379096</v>
      </c>
      <c r="N14" s="273"/>
      <c r="O14" s="274"/>
      <c r="Q14" s="201" t="s">
        <v>131</v>
      </c>
      <c r="R14" s="288">
        <f>'Summary Page'!S56</f>
        <v>31.977726844350329</v>
      </c>
      <c r="S14" s="318"/>
      <c r="T14" s="319"/>
    </row>
    <row r="15" spans="2:20">
      <c r="B15" s="202"/>
      <c r="G15" s="202"/>
      <c r="H15" s="202"/>
      <c r="I15" s="202"/>
      <c r="J15" s="202"/>
      <c r="L15" s="202"/>
      <c r="M15" s="202"/>
      <c r="N15" s="202"/>
      <c r="O15" s="202"/>
      <c r="Q15" s="202"/>
      <c r="R15" s="202"/>
      <c r="S15" s="202"/>
      <c r="T15" s="202"/>
    </row>
    <row r="16" spans="2:20" ht="15.75" thickBot="1">
      <c r="G16" s="351"/>
      <c r="H16" s="353" t="s">
        <v>191</v>
      </c>
      <c r="I16" s="354" t="s">
        <v>190</v>
      </c>
      <c r="M16" s="202"/>
      <c r="N16" s="202"/>
      <c r="O16" s="202"/>
      <c r="R16" s="202"/>
      <c r="S16" s="202"/>
      <c r="T16" s="202"/>
    </row>
    <row r="17" spans="2:20" ht="16.5">
      <c r="B17" s="203" t="s">
        <v>130</v>
      </c>
      <c r="C17" s="291">
        <f>C13</f>
        <v>8.548</v>
      </c>
      <c r="D17" s="292"/>
      <c r="E17" s="293"/>
      <c r="G17" s="351" t="s">
        <v>130</v>
      </c>
      <c r="H17" s="352">
        <f>H13</f>
        <v>8.4</v>
      </c>
      <c r="I17" s="351"/>
      <c r="L17" s="203" t="s">
        <v>130</v>
      </c>
      <c r="M17" s="275">
        <f>M13</f>
        <v>0</v>
      </c>
      <c r="N17" s="270"/>
      <c r="O17" s="271"/>
      <c r="Q17" s="203" t="s">
        <v>130</v>
      </c>
      <c r="R17" s="275">
        <f>R13</f>
        <v>0</v>
      </c>
      <c r="S17" s="303"/>
      <c r="T17" s="304"/>
    </row>
    <row r="18" spans="2:20">
      <c r="B18" s="204" t="s">
        <v>132</v>
      </c>
      <c r="C18" s="279">
        <f>C11*100</f>
        <v>-3.055716066411672E-2</v>
      </c>
      <c r="D18" s="280"/>
      <c r="E18" s="281"/>
      <c r="G18" s="351" t="s">
        <v>132</v>
      </c>
      <c r="H18" s="352">
        <f>H11*100</f>
        <v>15.762886597938145</v>
      </c>
      <c r="I18" s="351"/>
      <c r="L18" s="204" t="s">
        <v>132</v>
      </c>
      <c r="M18" s="276">
        <f>M11*100</f>
        <v>4.9614530894443343</v>
      </c>
      <c r="N18" s="277"/>
      <c r="O18" s="278"/>
      <c r="Q18" s="204" t="s">
        <v>132</v>
      </c>
      <c r="R18" s="276">
        <f>R11*100</f>
        <v>-5.8074074074074139E-3</v>
      </c>
      <c r="S18" s="277"/>
      <c r="T18" s="278"/>
    </row>
    <row r="19" spans="2:20" ht="15.75" thickBot="1">
      <c r="B19" s="205" t="s">
        <v>133</v>
      </c>
      <c r="C19" s="282">
        <f>' Figures - Economy Wide'!J4*100</f>
        <v>99.202013660576512</v>
      </c>
      <c r="D19" s="283"/>
      <c r="E19" s="284"/>
      <c r="G19" s="351" t="s">
        <v>133</v>
      </c>
      <c r="H19" s="352">
        <f>' Figures - Economy Wide'!J5*100</f>
        <v>482.50378295532596</v>
      </c>
      <c r="I19" s="351"/>
      <c r="L19" s="205" t="s">
        <v>133</v>
      </c>
      <c r="M19" s="317">
        <f>' Figures - Economy Wide'!J6*100</f>
        <v>-15526.215753468539</v>
      </c>
      <c r="N19" s="273"/>
      <c r="O19" s="274"/>
      <c r="Q19" s="205" t="s">
        <v>133</v>
      </c>
      <c r="R19" s="305">
        <f>' Figures - Economy Wide'!J7*100</f>
        <v>31.983534251757739</v>
      </c>
      <c r="S19" s="306"/>
      <c r="T19" s="307"/>
    </row>
    <row r="20" spans="2:20">
      <c r="M20" s="206"/>
    </row>
    <row r="22" spans="2:20">
      <c r="B22" s="312" t="s">
        <v>87</v>
      </c>
      <c r="C22" s="312"/>
      <c r="D22" s="312"/>
      <c r="E22" s="312"/>
      <c r="F22" s="312"/>
      <c r="G22" s="312"/>
      <c r="H22" s="312"/>
      <c r="I22" s="312"/>
      <c r="J22" s="312"/>
      <c r="L22" s="312" t="s">
        <v>88</v>
      </c>
      <c r="M22" s="312"/>
      <c r="N22" s="312"/>
      <c r="O22" s="312"/>
      <c r="P22" s="312"/>
      <c r="Q22" s="312"/>
      <c r="R22" s="312"/>
      <c r="S22" s="312"/>
      <c r="T22" s="312"/>
    </row>
    <row r="23" spans="2:20">
      <c r="B23" s="315" t="s">
        <v>11</v>
      </c>
      <c r="C23" s="315"/>
      <c r="D23" s="315"/>
      <c r="E23" s="315"/>
      <c r="F23" s="176"/>
      <c r="G23" s="315" t="s">
        <v>134</v>
      </c>
      <c r="H23" s="315"/>
      <c r="I23" s="315"/>
      <c r="J23" s="315"/>
      <c r="L23" s="315" t="s">
        <v>14</v>
      </c>
      <c r="M23" s="315"/>
      <c r="N23" s="315"/>
      <c r="O23" s="315"/>
      <c r="P23" s="176"/>
      <c r="Q23" s="315" t="s">
        <v>15</v>
      </c>
      <c r="R23" s="315"/>
      <c r="S23" s="315"/>
      <c r="T23" s="315"/>
    </row>
    <row r="24" spans="2:20" ht="15.75" thickBot="1">
      <c r="B24" s="316"/>
      <c r="C24" s="316"/>
      <c r="D24" s="316"/>
      <c r="E24" s="316"/>
      <c r="G24" s="316"/>
      <c r="H24" s="316"/>
      <c r="I24" s="316"/>
      <c r="J24" s="316"/>
      <c r="L24" s="316"/>
      <c r="M24" s="316"/>
      <c r="N24" s="316"/>
      <c r="O24" s="316"/>
      <c r="Q24" s="316"/>
      <c r="R24" s="316"/>
      <c r="S24" s="316"/>
      <c r="T24" s="316"/>
    </row>
    <row r="25" spans="2:20" ht="15.75" thickBot="1">
      <c r="B25" s="184"/>
      <c r="C25" s="185" t="s">
        <v>121</v>
      </c>
      <c r="D25" s="186" t="s">
        <v>122</v>
      </c>
      <c r="E25" s="187" t="s">
        <v>123</v>
      </c>
      <c r="G25" s="184"/>
      <c r="H25" s="185" t="s">
        <v>121</v>
      </c>
      <c r="I25" s="186" t="s">
        <v>122</v>
      </c>
      <c r="J25" s="187" t="s">
        <v>123</v>
      </c>
      <c r="L25" s="184"/>
      <c r="M25" s="185" t="s">
        <v>121</v>
      </c>
      <c r="N25" s="186" t="s">
        <v>122</v>
      </c>
      <c r="O25" s="187" t="s">
        <v>123</v>
      </c>
      <c r="Q25" s="184"/>
      <c r="R25" s="185" t="s">
        <v>121</v>
      </c>
      <c r="S25" s="186" t="s">
        <v>122</v>
      </c>
      <c r="T25" s="187" t="s">
        <v>123</v>
      </c>
    </row>
    <row r="26" spans="2:20">
      <c r="B26" s="192" t="s">
        <v>124</v>
      </c>
      <c r="C26" s="189">
        <f>'Team 3'!D20</f>
        <v>4</v>
      </c>
      <c r="D26" s="190">
        <f>'Team 3'!C20</f>
        <v>20</v>
      </c>
      <c r="E26" s="191">
        <f>((D26-C26)/D26)*100</f>
        <v>80</v>
      </c>
      <c r="G26" s="192" t="s">
        <v>124</v>
      </c>
      <c r="H26" s="189">
        <f>'Team 3'!$K$20</f>
        <v>12</v>
      </c>
      <c r="I26" s="190">
        <f>'Team 3'!$J$20</f>
        <v>12</v>
      </c>
      <c r="J26" s="191">
        <f>((I26-H26)/I26)*100</f>
        <v>0</v>
      </c>
      <c r="L26" s="192" t="s">
        <v>124</v>
      </c>
      <c r="M26" s="189">
        <f>'Team 4'!$C$20</f>
        <v>20</v>
      </c>
      <c r="N26" s="190">
        <f>'Team 4'!$D$20</f>
        <v>20</v>
      </c>
      <c r="O26" s="191">
        <f>((N26-M26)/N26)*100</f>
        <v>0</v>
      </c>
      <c r="Q26" s="192" t="s">
        <v>124</v>
      </c>
      <c r="R26" s="189">
        <f>'Team 4'!$K$20</f>
        <v>10</v>
      </c>
      <c r="S26" s="190">
        <f>'Team 4'!$J$20</f>
        <v>10</v>
      </c>
      <c r="T26" s="191">
        <f>((S26-R26)/S26)*100</f>
        <v>0</v>
      </c>
    </row>
    <row r="27" spans="2:20" ht="16.5">
      <c r="B27" s="196" t="s">
        <v>125</v>
      </c>
      <c r="C27" s="194">
        <f>'Team 3'!$D$12</f>
        <v>6691</v>
      </c>
      <c r="D27" s="195">
        <f>'Team 3'!$C$12</f>
        <v>15184</v>
      </c>
      <c r="E27" s="191">
        <f>((D27-C27)/D27)*100</f>
        <v>55.93387776606955</v>
      </c>
      <c r="G27" s="196" t="s">
        <v>125</v>
      </c>
      <c r="H27" s="194">
        <f>'Team 3'!$K$12</f>
        <v>2911</v>
      </c>
      <c r="I27" s="195">
        <f>'Team 3'!$J$12</f>
        <v>4340</v>
      </c>
      <c r="J27" s="191">
        <f>((I27-H27)/I27)*100</f>
        <v>32.926267281105993</v>
      </c>
      <c r="L27" s="196" t="s">
        <v>125</v>
      </c>
      <c r="M27" s="194">
        <f>'Team 4'!$D$12</f>
        <v>30</v>
      </c>
      <c r="N27" s="195">
        <f>'Team 4'!$C$12</f>
        <v>49</v>
      </c>
      <c r="O27" s="191">
        <f>((N27-M27)/N27)*100</f>
        <v>38.775510204081634</v>
      </c>
      <c r="Q27" s="196" t="s">
        <v>125</v>
      </c>
      <c r="R27" s="194">
        <f>'Team 4'!$K$12</f>
        <v>218.92</v>
      </c>
      <c r="S27" s="195">
        <f>'Team 4'!$J$12</f>
        <v>290</v>
      </c>
      <c r="T27" s="191">
        <f>((S27-R27)/S27)*100</f>
        <v>24.510344827586213</v>
      </c>
    </row>
    <row r="28" spans="2:20" ht="16.5">
      <c r="B28" s="196" t="s">
        <v>126</v>
      </c>
      <c r="C28" s="194">
        <f>'Team 3'!$D$13</f>
        <v>1519747</v>
      </c>
      <c r="D28" s="195">
        <f>'Team 3'!$C$13</f>
        <v>374043</v>
      </c>
      <c r="E28" s="191">
        <f>((C28-D28)/C28)*100</f>
        <v>75.3878112606901</v>
      </c>
      <c r="G28" s="196" t="s">
        <v>126</v>
      </c>
      <c r="H28" s="194">
        <f>'Team 3'!$K$13</f>
        <v>59531</v>
      </c>
      <c r="I28" s="195">
        <f>'Team 3'!$J$13</f>
        <v>38100</v>
      </c>
      <c r="J28" s="191">
        <f>((H28-I28)/H28)*100</f>
        <v>35.99973123246712</v>
      </c>
      <c r="L28" s="196" t="s">
        <v>126</v>
      </c>
      <c r="M28" s="194">
        <f>'Team 4'!$D$13</f>
        <v>5254</v>
      </c>
      <c r="N28" s="195">
        <f>'Team 4'!$C$13</f>
        <v>1416</v>
      </c>
      <c r="O28" s="191">
        <f>((M28-N28)/M28)*100</f>
        <v>73.049105443471646</v>
      </c>
      <c r="Q28" s="196" t="s">
        <v>126</v>
      </c>
      <c r="R28" s="194">
        <f>'Team 4'!$K$13</f>
        <v>109880</v>
      </c>
      <c r="S28" s="195">
        <f>'Team 4'!$J$13</f>
        <v>83113</v>
      </c>
      <c r="T28" s="191">
        <f>((R28-S28)/R28)*100</f>
        <v>24.360211139424827</v>
      </c>
    </row>
    <row r="29" spans="2:20" ht="16.5">
      <c r="B29" s="196" t="s">
        <v>127</v>
      </c>
      <c r="C29" s="194">
        <f>'Team 3'!$D$14</f>
        <v>9504.2800000000007</v>
      </c>
      <c r="D29" s="195">
        <f>'Team 3'!$C$14</f>
        <v>8721.0499999999993</v>
      </c>
      <c r="E29" s="191">
        <f>((D29-C29)/D29)*100</f>
        <v>-8.9809139954478123</v>
      </c>
      <c r="G29" s="196" t="s">
        <v>127</v>
      </c>
      <c r="H29" s="194">
        <f>'Team 3'!$K$14</f>
        <v>1400</v>
      </c>
      <c r="I29" s="195">
        <f>'Team 3'!$J$14</f>
        <v>2017</v>
      </c>
      <c r="J29" s="191">
        <f>((I29-H29)/I29)*100</f>
        <v>30.589985126425383</v>
      </c>
      <c r="L29" s="196" t="s">
        <v>127</v>
      </c>
      <c r="M29" s="194">
        <f>'Team 4'!$D$14</f>
        <v>66</v>
      </c>
      <c r="N29" s="195">
        <f>'Team 4'!$C$14</f>
        <v>97</v>
      </c>
      <c r="O29" s="191">
        <f>((N29-M29)/N29)*100</f>
        <v>31.958762886597935</v>
      </c>
      <c r="Q29" s="196" t="s">
        <v>127</v>
      </c>
      <c r="R29" s="194">
        <f>'Team 4'!$K$14</f>
        <v>377.8</v>
      </c>
      <c r="S29" s="195">
        <f>'Team 4'!$J$14</f>
        <v>398.48</v>
      </c>
      <c r="T29" s="191">
        <f>((S29-R29)/S29)*100</f>
        <v>5.1897209395703694</v>
      </c>
    </row>
    <row r="30" spans="2:20">
      <c r="B30" s="196" t="s">
        <v>128</v>
      </c>
      <c r="C30" s="285">
        <f>'Team 3'!$D$18</f>
        <v>2.2680555555555554E-2</v>
      </c>
      <c r="D30" s="286"/>
      <c r="E30" s="287"/>
      <c r="G30" s="196" t="s">
        <v>128</v>
      </c>
      <c r="H30" s="285">
        <f>'Team 3'!$K$18</f>
        <v>2.1100000000000001E-2</v>
      </c>
      <c r="I30" s="286"/>
      <c r="J30" s="287"/>
      <c r="L30" s="196" t="s">
        <v>128</v>
      </c>
      <c r="M30" s="285">
        <f>'Team 4'!$D$18</f>
        <v>5.0000000000000001E-3</v>
      </c>
      <c r="N30" s="286"/>
      <c r="O30" s="287"/>
      <c r="Q30" s="196" t="s">
        <v>128</v>
      </c>
      <c r="R30" s="309">
        <f>'Team 4'!$K$18</f>
        <v>1.052E-2</v>
      </c>
      <c r="S30" s="310"/>
      <c r="T30" s="311"/>
    </row>
    <row r="31" spans="2:20">
      <c r="B31" s="196" t="s">
        <v>34</v>
      </c>
      <c r="C31" s="295">
        <f>'Team 3'!$D$28</f>
        <v>7.4129094425785368E-3</v>
      </c>
      <c r="D31" s="296"/>
      <c r="E31" s="308"/>
      <c r="G31" s="196" t="s">
        <v>34</v>
      </c>
      <c r="H31" s="263">
        <f>'Team 3'!$K$28</f>
        <v>6.667910970090056E-2</v>
      </c>
      <c r="I31" s="264"/>
      <c r="J31" s="265"/>
      <c r="L31" s="196" t="s">
        <v>34</v>
      </c>
      <c r="M31" s="295">
        <f>'Team 4'!$D$28</f>
        <v>4.9504950495049506E-3</v>
      </c>
      <c r="N31" s="296"/>
      <c r="O31" s="308"/>
      <c r="Q31" s="196" t="s">
        <v>34</v>
      </c>
      <c r="R31" s="263">
        <f>'Team 4'!$K$28</f>
        <v>2.6555086487092322E-3</v>
      </c>
      <c r="S31" s="264"/>
      <c r="T31" s="265"/>
    </row>
    <row r="32" spans="2:20" ht="15.75" thickBot="1">
      <c r="B32" s="198" t="s">
        <v>129</v>
      </c>
      <c r="C32" s="266">
        <f>'Team 3'!$D$29</f>
        <v>-3.0141384437208974E-2</v>
      </c>
      <c r="D32" s="267"/>
      <c r="E32" s="268"/>
      <c r="G32" s="198" t="s">
        <v>129</v>
      </c>
      <c r="H32" s="266">
        <f>'Team 3'!$K$29</f>
        <v>1.3644583155773151</v>
      </c>
      <c r="I32" s="267"/>
      <c r="J32" s="268"/>
      <c r="L32" s="198" t="s">
        <v>129</v>
      </c>
      <c r="M32" s="266">
        <f>'Team 4'!$D$29</f>
        <v>1.6154247003647733</v>
      </c>
      <c r="N32" s="267"/>
      <c r="O32" s="268"/>
      <c r="Q32" s="198" t="s">
        <v>129</v>
      </c>
      <c r="R32" s="266">
        <f>'Team 4'!$K$29</f>
        <v>7.3440410493540886E-2</v>
      </c>
      <c r="S32" s="267"/>
      <c r="T32" s="268"/>
    </row>
    <row r="33" spans="2:20" ht="16.5">
      <c r="B33" s="200" t="s">
        <v>130</v>
      </c>
      <c r="C33" s="269">
        <f>'Team 3'!$C$16</f>
        <v>14.58</v>
      </c>
      <c r="D33" s="270"/>
      <c r="E33" s="271"/>
      <c r="G33" s="200" t="s">
        <v>130</v>
      </c>
      <c r="H33" s="269">
        <f>'Team 3'!$J$16</f>
        <v>6.04</v>
      </c>
      <c r="I33" s="270"/>
      <c r="J33" s="271"/>
      <c r="L33" s="200" t="s">
        <v>130</v>
      </c>
      <c r="M33" s="269">
        <f>'Team 4'!$C$16</f>
        <v>0</v>
      </c>
      <c r="N33" s="270"/>
      <c r="O33" s="271"/>
      <c r="Q33" s="200" t="s">
        <v>130</v>
      </c>
      <c r="R33" s="269">
        <f>'Team 4'!$J$16</f>
        <v>20</v>
      </c>
      <c r="S33" s="270"/>
      <c r="T33" s="271"/>
    </row>
    <row r="34" spans="2:20" ht="17.25" thickBot="1">
      <c r="B34" s="201" t="s">
        <v>131</v>
      </c>
      <c r="C34" s="288">
        <f>'Summary Page'!S57</f>
        <v>163.56519361771666</v>
      </c>
      <c r="D34" s="289"/>
      <c r="E34" s="290"/>
      <c r="G34" s="201" t="s">
        <v>131</v>
      </c>
      <c r="H34" s="288">
        <f>'Summary Page'!S58</f>
        <v>-53.548785830023746</v>
      </c>
      <c r="I34" s="289"/>
      <c r="J34" s="290"/>
      <c r="L34" s="201" t="s">
        <v>131</v>
      </c>
      <c r="M34" s="288">
        <f>'Summary Page'!S59</f>
        <v>-22.247970297029678</v>
      </c>
      <c r="N34" s="289"/>
      <c r="O34" s="290"/>
      <c r="Q34" s="201" t="s">
        <v>131</v>
      </c>
      <c r="R34" s="288">
        <f>'Summary Page'!S60</f>
        <v>76.757971126835244</v>
      </c>
      <c r="S34" s="289"/>
      <c r="T34" s="290"/>
    </row>
    <row r="35" spans="2:20">
      <c r="B35" s="202"/>
      <c r="G35" s="202"/>
      <c r="H35" s="202"/>
      <c r="I35" s="202"/>
      <c r="J35" s="202"/>
      <c r="L35" s="202"/>
      <c r="M35" s="202"/>
      <c r="N35" s="202"/>
      <c r="O35" s="202"/>
      <c r="Q35" s="202"/>
      <c r="R35" s="202"/>
      <c r="S35" s="202"/>
      <c r="T35" s="202"/>
    </row>
    <row r="36" spans="2:20" ht="15.75" thickBot="1">
      <c r="H36" s="202"/>
      <c r="I36" s="202"/>
      <c r="J36" s="202"/>
      <c r="M36" s="202"/>
      <c r="N36" s="202"/>
      <c r="O36" s="202"/>
      <c r="R36" s="202"/>
      <c r="S36" s="202"/>
      <c r="T36" s="202"/>
    </row>
    <row r="37" spans="2:20" ht="16.5">
      <c r="B37" s="203" t="s">
        <v>130</v>
      </c>
      <c r="C37" s="275">
        <f>C33</f>
        <v>14.58</v>
      </c>
      <c r="D37" s="303"/>
      <c r="E37" s="304"/>
      <c r="G37" s="203" t="s">
        <v>130</v>
      </c>
      <c r="H37" s="275">
        <f>H33</f>
        <v>6.04</v>
      </c>
      <c r="I37" s="303"/>
      <c r="J37" s="304"/>
      <c r="L37" s="203" t="s">
        <v>130</v>
      </c>
      <c r="M37" s="275">
        <f>M33</f>
        <v>0</v>
      </c>
      <c r="N37" s="303"/>
      <c r="O37" s="304"/>
      <c r="Q37" s="203" t="s">
        <v>130</v>
      </c>
      <c r="R37" s="275">
        <f>R33</f>
        <v>20</v>
      </c>
      <c r="S37" s="303"/>
      <c r="T37" s="304"/>
    </row>
    <row r="38" spans="2:20">
      <c r="B38" s="204" t="s">
        <v>132</v>
      </c>
      <c r="C38" s="276">
        <f>C31*100</f>
        <v>0.74129094425785369</v>
      </c>
      <c r="D38" s="277"/>
      <c r="E38" s="278"/>
      <c r="G38" s="204" t="s">
        <v>132</v>
      </c>
      <c r="H38" s="276">
        <f>H31*100</f>
        <v>6.6679109700900563</v>
      </c>
      <c r="I38" s="277"/>
      <c r="J38" s="278"/>
      <c r="L38" s="204" t="s">
        <v>132</v>
      </c>
      <c r="M38" s="276">
        <f>M31*100</f>
        <v>0.49504950495049505</v>
      </c>
      <c r="N38" s="277"/>
      <c r="O38" s="278"/>
      <c r="Q38" s="204" t="s">
        <v>132</v>
      </c>
      <c r="R38" s="276">
        <f>R31*100</f>
        <v>0.26555086487092322</v>
      </c>
      <c r="S38" s="277"/>
      <c r="T38" s="278"/>
    </row>
    <row r="39" spans="2:20" ht="15.75" thickBot="1">
      <c r="B39" s="205" t="s">
        <v>133</v>
      </c>
      <c r="C39" s="305">
        <f>' Figures - Economy Wide'!J8*100</f>
        <v>148.24390267345882</v>
      </c>
      <c r="D39" s="306"/>
      <c r="E39" s="307"/>
      <c r="G39" s="205" t="s">
        <v>133</v>
      </c>
      <c r="H39" s="305">
        <f>' Figures - Economy Wide'!J9*100</f>
        <v>-66.256696800113801</v>
      </c>
      <c r="I39" s="306"/>
      <c r="J39" s="307"/>
      <c r="L39" s="205" t="s">
        <v>133</v>
      </c>
      <c r="M39" s="305">
        <f>' Figures - Economy Wide'!J10*100</f>
        <v>-22.743019801980175</v>
      </c>
      <c r="N39" s="306"/>
      <c r="O39" s="307"/>
      <c r="Q39" s="205" t="s">
        <v>133</v>
      </c>
      <c r="R39" s="305">
        <f>' Figures - Economy Wide'!J11*100</f>
        <v>56.492420261964313</v>
      </c>
      <c r="S39" s="306"/>
      <c r="T39" s="307"/>
    </row>
    <row r="42" spans="2:20">
      <c r="B42" s="312" t="s">
        <v>89</v>
      </c>
      <c r="C42" s="312"/>
      <c r="D42" s="312"/>
      <c r="E42" s="312"/>
      <c r="F42" s="312"/>
      <c r="G42" s="312"/>
      <c r="H42" s="312"/>
      <c r="I42" s="312"/>
      <c r="J42" s="312"/>
      <c r="L42" s="312" t="s">
        <v>90</v>
      </c>
      <c r="M42" s="312"/>
      <c r="N42" s="312"/>
      <c r="O42" s="312"/>
      <c r="P42" s="312"/>
      <c r="Q42" s="312"/>
      <c r="R42" s="312"/>
      <c r="S42" s="312"/>
      <c r="T42" s="312"/>
    </row>
    <row r="43" spans="2:20">
      <c r="B43" s="315" t="s">
        <v>14</v>
      </c>
      <c r="C43" s="315"/>
      <c r="D43" s="315"/>
      <c r="E43" s="315"/>
      <c r="F43" s="176"/>
      <c r="G43" s="315" t="s">
        <v>135</v>
      </c>
      <c r="H43" s="315"/>
      <c r="I43" s="315"/>
      <c r="J43" s="315"/>
      <c r="L43" s="315" t="s">
        <v>19</v>
      </c>
      <c r="M43" s="315"/>
      <c r="N43" s="315"/>
      <c r="O43" s="315"/>
      <c r="P43" s="176"/>
      <c r="Q43" s="315" t="s">
        <v>20</v>
      </c>
      <c r="R43" s="315"/>
      <c r="S43" s="315"/>
      <c r="T43" s="315"/>
    </row>
    <row r="44" spans="2:20" ht="15.75" thickBot="1">
      <c r="B44" s="316"/>
      <c r="C44" s="316"/>
      <c r="D44" s="316"/>
      <c r="E44" s="316"/>
      <c r="G44" s="316"/>
      <c r="H44" s="316"/>
      <c r="I44" s="316"/>
      <c r="J44" s="316"/>
      <c r="L44" s="316"/>
      <c r="M44" s="316"/>
      <c r="N44" s="316"/>
      <c r="O44" s="316"/>
      <c r="Q44" s="316"/>
      <c r="R44" s="316"/>
      <c r="S44" s="316"/>
      <c r="T44" s="316"/>
    </row>
    <row r="45" spans="2:20" ht="15.75" thickBot="1">
      <c r="B45" s="184"/>
      <c r="C45" s="185" t="s">
        <v>121</v>
      </c>
      <c r="D45" s="186" t="s">
        <v>122</v>
      </c>
      <c r="E45" s="187" t="s">
        <v>123</v>
      </c>
      <c r="G45" s="184"/>
      <c r="H45" s="185" t="s">
        <v>121</v>
      </c>
      <c r="I45" s="186" t="s">
        <v>122</v>
      </c>
      <c r="J45" s="187" t="s">
        <v>123</v>
      </c>
      <c r="L45" s="184"/>
      <c r="M45" s="185" t="s">
        <v>121</v>
      </c>
      <c r="N45" s="186" t="s">
        <v>122</v>
      </c>
      <c r="O45" s="187" t="s">
        <v>123</v>
      </c>
      <c r="Q45" s="184"/>
      <c r="R45" s="185" t="s">
        <v>121</v>
      </c>
      <c r="S45" s="186" t="s">
        <v>122</v>
      </c>
      <c r="T45" s="187" t="s">
        <v>123</v>
      </c>
    </row>
    <row r="46" spans="2:20">
      <c r="B46" s="192" t="s">
        <v>124</v>
      </c>
      <c r="C46" s="189">
        <f>'Team 5'!$C$20</f>
        <v>15</v>
      </c>
      <c r="D46" s="190">
        <f>'Team 5'!$D$20</f>
        <v>15</v>
      </c>
      <c r="E46" s="191">
        <f>((D46-C46)/D46)*100</f>
        <v>0</v>
      </c>
      <c r="G46" s="192" t="s">
        <v>124</v>
      </c>
      <c r="H46" s="189">
        <f>'Team 5'!$K$20</f>
        <v>12</v>
      </c>
      <c r="I46" s="190">
        <f>'Team 5'!$J$20</f>
        <v>12</v>
      </c>
      <c r="J46" s="191">
        <f>((I46-H46)/I46)*100</f>
        <v>0</v>
      </c>
      <c r="L46" s="192" t="s">
        <v>124</v>
      </c>
      <c r="M46" s="189">
        <f>'Team 6'!$C$20</f>
        <v>5</v>
      </c>
      <c r="N46" s="190">
        <f>'Team 6'!C20</f>
        <v>5</v>
      </c>
      <c r="O46" s="191">
        <f>((N46-M46)/N46)*100</f>
        <v>0</v>
      </c>
      <c r="Q46" s="192" t="s">
        <v>124</v>
      </c>
      <c r="R46" s="189">
        <f>'Team 6'!$K$20</f>
        <v>10</v>
      </c>
      <c r="S46" s="190">
        <f>'Team 6'!$J$20</f>
        <v>10</v>
      </c>
      <c r="T46" s="191">
        <f>((S46-R46)/S46)*100</f>
        <v>0</v>
      </c>
    </row>
    <row r="47" spans="2:20" ht="16.5">
      <c r="B47" s="196" t="s">
        <v>125</v>
      </c>
      <c r="C47" s="194">
        <f>'Team 5'!$D$12</f>
        <v>88</v>
      </c>
      <c r="D47" s="195">
        <f>'Team 5'!$C$12</f>
        <v>113</v>
      </c>
      <c r="E47" s="191">
        <f>((D47-C47)/D47)*100</f>
        <v>22.123893805309734</v>
      </c>
      <c r="G47" s="196" t="s">
        <v>125</v>
      </c>
      <c r="H47" s="194">
        <f>'Team 5'!$K$12</f>
        <v>4223</v>
      </c>
      <c r="I47" s="195">
        <f>'Team 5'!$J$12</f>
        <v>4223</v>
      </c>
      <c r="J47" s="191">
        <f>((I47-H47)/I47)*100</f>
        <v>0</v>
      </c>
      <c r="L47" s="196" t="s">
        <v>125</v>
      </c>
      <c r="M47" s="194">
        <f>'Team 6'!$D$12</f>
        <v>4.25</v>
      </c>
      <c r="N47" s="195">
        <f>'Team 6'!$C$12</f>
        <v>33.68</v>
      </c>
      <c r="O47" s="191">
        <f>((N47-M47)/N47)*100</f>
        <v>87.381235154394304</v>
      </c>
      <c r="Q47" s="196" t="s">
        <v>125</v>
      </c>
      <c r="R47" s="194">
        <f>'Team 6'!$K$12</f>
        <v>0.69</v>
      </c>
      <c r="S47" s="195">
        <f>'Team 6'!$J$12</f>
        <v>14.015000000000001</v>
      </c>
      <c r="T47" s="191">
        <f>((S47-R47)/S47)*100</f>
        <v>95.076703531930079</v>
      </c>
    </row>
    <row r="48" spans="2:20" ht="16.5">
      <c r="B48" s="196" t="s">
        <v>126</v>
      </c>
      <c r="C48" s="194">
        <f>'Team 5'!$D$13</f>
        <v>1577</v>
      </c>
      <c r="D48" s="195">
        <f>'Team 5'!$C$13</f>
        <v>1017</v>
      </c>
      <c r="E48" s="191">
        <f>((C48-D48)/C48)*100</f>
        <v>35.510462904248577</v>
      </c>
      <c r="G48" s="196" t="s">
        <v>126</v>
      </c>
      <c r="H48" s="194">
        <f>'Team 5'!$K$13</f>
        <v>76200</v>
      </c>
      <c r="I48" s="195">
        <f>'Team 5'!$J$13</f>
        <v>65690</v>
      </c>
      <c r="J48" s="191">
        <f>((H48-I48)/H48)*100</f>
        <v>13.792650918635172</v>
      </c>
      <c r="L48" s="196" t="s">
        <v>126</v>
      </c>
      <c r="M48" s="194">
        <f>'Team 6'!$D$13</f>
        <v>1620.43</v>
      </c>
      <c r="N48" s="195">
        <f>'Team 6'!$C$13</f>
        <v>773.99</v>
      </c>
      <c r="O48" s="191">
        <f>((M48-N48)/M48)*100</f>
        <v>52.235517732947436</v>
      </c>
      <c r="Q48" s="196" t="s">
        <v>126</v>
      </c>
      <c r="R48" s="194">
        <f>'Team 6'!$K$13</f>
        <v>4011.933</v>
      </c>
      <c r="S48" s="195">
        <f>'Team 6'!$J$13</f>
        <v>1157.1669999999999</v>
      </c>
      <c r="T48" s="191">
        <f>((R48-S48)/R48)*100</f>
        <v>71.156871263802273</v>
      </c>
    </row>
    <row r="49" spans="2:20" ht="16.5">
      <c r="B49" s="196" t="s">
        <v>127</v>
      </c>
      <c r="C49" s="194">
        <f>'Team 5'!$D$14</f>
        <v>66.599999999999994</v>
      </c>
      <c r="D49" s="195">
        <f>'Team 5'!$C$14</f>
        <v>98.83</v>
      </c>
      <c r="E49" s="191">
        <f>((D49-C49)/D49)*100</f>
        <v>32.611555195790757</v>
      </c>
      <c r="G49" s="196" t="s">
        <v>127</v>
      </c>
      <c r="H49" s="194">
        <f>'Team 5'!$K$14</f>
        <v>2683</v>
      </c>
      <c r="I49" s="195">
        <f>'Team 5'!$J$14</f>
        <v>1986</v>
      </c>
      <c r="J49" s="191">
        <f>((I49-H49)/I49)*100</f>
        <v>-35.095669687814699</v>
      </c>
      <c r="L49" s="196" t="s">
        <v>127</v>
      </c>
      <c r="M49" s="194">
        <f>'Team 6'!$D$14</f>
        <v>1.18</v>
      </c>
      <c r="N49" s="195">
        <f>'Team 6'!$C$14</f>
        <v>18.399999999999999</v>
      </c>
      <c r="O49" s="191">
        <f>((N49-M49)/N49)*100</f>
        <v>93.586956521739125</v>
      </c>
      <c r="Q49" s="196" t="s">
        <v>127</v>
      </c>
      <c r="R49" s="194">
        <f>'Team 6'!$K$14</f>
        <v>1.22</v>
      </c>
      <c r="S49" s="195">
        <f>'Team 6'!$J$14</f>
        <v>5.0199999999999996</v>
      </c>
      <c r="T49" s="191">
        <f>((S49-R49)/S49)*100</f>
        <v>75.697211155378483</v>
      </c>
    </row>
    <row r="50" spans="2:20">
      <c r="B50" s="196" t="s">
        <v>128</v>
      </c>
      <c r="C50" s="285">
        <f>'Team 5'!$D$18</f>
        <v>5.0000000000000001E-3</v>
      </c>
      <c r="D50" s="286"/>
      <c r="E50" s="287"/>
      <c r="G50" s="196" t="s">
        <v>128</v>
      </c>
      <c r="H50" s="309">
        <f>'Team 5'!$K$18</f>
        <v>2.1100000000000001E-2</v>
      </c>
      <c r="I50" s="310"/>
      <c r="J50" s="311"/>
      <c r="L50" s="196" t="s">
        <v>128</v>
      </c>
      <c r="M50" s="285">
        <f>'Team 6'!$D$18</f>
        <v>0.04</v>
      </c>
      <c r="N50" s="286"/>
      <c r="O50" s="287"/>
      <c r="Q50" s="196" t="s">
        <v>128</v>
      </c>
      <c r="R50" s="309">
        <f>'Team 6'!$K$18</f>
        <v>2.2680555555555554E-2</v>
      </c>
      <c r="S50" s="310"/>
      <c r="T50" s="311"/>
    </row>
    <row r="51" spans="2:20">
      <c r="B51" s="196" t="s">
        <v>34</v>
      </c>
      <c r="C51" s="295">
        <f>'Team 5'!$D$28</f>
        <v>4.4642857142857144E-2</v>
      </c>
      <c r="D51" s="296"/>
      <c r="E51" s="308"/>
      <c r="G51" s="196" t="s">
        <v>34</v>
      </c>
      <c r="H51" s="263">
        <f>'Team 5'!$K$28</f>
        <v>0</v>
      </c>
      <c r="I51" s="264"/>
      <c r="J51" s="265"/>
      <c r="L51" s="196" t="s">
        <v>34</v>
      </c>
      <c r="M51" s="295">
        <f>'Team 6'!$D$28</f>
        <v>3.4769150796276169E-2</v>
      </c>
      <c r="N51" s="296"/>
      <c r="O51" s="308"/>
      <c r="Q51" s="196" t="s">
        <v>34</v>
      </c>
      <c r="R51" s="263">
        <f>'Team 6'!$K$28</f>
        <v>4.6676330038959409E-3</v>
      </c>
      <c r="S51" s="264"/>
      <c r="T51" s="265"/>
    </row>
    <row r="52" spans="2:20" ht="15.75" thickBot="1">
      <c r="B52" s="198" t="s">
        <v>129</v>
      </c>
      <c r="C52" s="266">
        <f>'Team 5'!$D$29</f>
        <v>11.510714285714286</v>
      </c>
      <c r="D52" s="267"/>
      <c r="E52" s="268"/>
      <c r="G52" s="198" t="s">
        <v>129</v>
      </c>
      <c r="H52" s="266">
        <f>'Team 5'!$K$29</f>
        <v>-3.1430233449524487</v>
      </c>
      <c r="I52" s="267"/>
      <c r="J52" s="268"/>
      <c r="L52" s="198" t="s">
        <v>129</v>
      </c>
      <c r="M52" s="266">
        <f>'Team 6'!$D$29</f>
        <v>0.50860072775388676</v>
      </c>
      <c r="N52" s="267"/>
      <c r="O52" s="268"/>
      <c r="Q52" s="198" t="s">
        <v>129</v>
      </c>
      <c r="R52" s="266">
        <f>'Team 6'!$K$29</f>
        <v>5.8689362566205661E-2</v>
      </c>
      <c r="S52" s="267"/>
      <c r="T52" s="268"/>
    </row>
    <row r="53" spans="2:20" ht="16.5">
      <c r="B53" s="200" t="s">
        <v>130</v>
      </c>
      <c r="C53" s="269">
        <f>'Team 5'!$C$16</f>
        <v>0</v>
      </c>
      <c r="D53" s="270"/>
      <c r="E53" s="271"/>
      <c r="G53" s="200" t="s">
        <v>130</v>
      </c>
      <c r="H53" s="269">
        <f>'Team 5'!$J$16</f>
        <v>6.04</v>
      </c>
      <c r="I53" s="270"/>
      <c r="J53" s="271"/>
      <c r="L53" s="200" t="s">
        <v>130</v>
      </c>
      <c r="M53" s="269">
        <f>'Team 6'!$C$16</f>
        <v>0</v>
      </c>
      <c r="N53" s="270"/>
      <c r="O53" s="271"/>
      <c r="Q53" s="200" t="s">
        <v>130</v>
      </c>
      <c r="R53" s="269">
        <f>'Team 6'!$J$16</f>
        <v>0</v>
      </c>
      <c r="S53" s="270"/>
      <c r="T53" s="271"/>
    </row>
    <row r="54" spans="2:20" ht="17.25" thickBot="1">
      <c r="B54" s="201" t="s">
        <v>131</v>
      </c>
      <c r="C54" s="288">
        <f>'Summary Page'!S61</f>
        <v>-383.95916071428536</v>
      </c>
      <c r="D54" s="289"/>
      <c r="E54" s="290"/>
      <c r="G54" s="201" t="s">
        <v>131</v>
      </c>
      <c r="H54" s="288">
        <f>'Summary Page'!S62</f>
        <v>642.72551890766817</v>
      </c>
      <c r="I54" s="289"/>
      <c r="J54" s="290"/>
      <c r="L54" s="201" t="s">
        <v>131</v>
      </c>
      <c r="M54" s="288">
        <f>'Summary Page'!S63</f>
        <v>148.75419592646838</v>
      </c>
      <c r="N54" s="289"/>
      <c r="O54" s="290"/>
      <c r="Q54" s="201" t="s">
        <v>131</v>
      </c>
      <c r="R54" s="288">
        <f>'Summary Page'!S64</f>
        <v>158.26053500093238</v>
      </c>
      <c r="S54" s="289"/>
      <c r="T54" s="290"/>
    </row>
    <row r="55" spans="2:20">
      <c r="B55" s="202"/>
      <c r="G55" s="202"/>
      <c r="H55" s="202"/>
      <c r="I55" s="202"/>
      <c r="J55" s="202"/>
      <c r="L55" s="202"/>
      <c r="M55" s="202"/>
      <c r="N55" s="202"/>
      <c r="O55" s="202"/>
      <c r="Q55" s="202"/>
      <c r="R55" s="202"/>
      <c r="S55" s="202"/>
      <c r="T55" s="202"/>
    </row>
    <row r="56" spans="2:20" ht="15.75" thickBot="1">
      <c r="H56" s="202"/>
      <c r="I56" s="202"/>
      <c r="J56" s="202"/>
      <c r="M56" s="202"/>
      <c r="N56" s="202"/>
      <c r="O56" s="202"/>
      <c r="R56" s="202"/>
      <c r="S56" s="202"/>
      <c r="T56" s="202"/>
    </row>
    <row r="57" spans="2:20" ht="16.5">
      <c r="B57" s="203" t="s">
        <v>130</v>
      </c>
      <c r="C57" s="275">
        <f>C53</f>
        <v>0</v>
      </c>
      <c r="D57" s="303"/>
      <c r="E57" s="304"/>
      <c r="G57" s="203" t="s">
        <v>130</v>
      </c>
      <c r="H57" s="275">
        <f>H53</f>
        <v>6.04</v>
      </c>
      <c r="I57" s="303"/>
      <c r="J57" s="304"/>
      <c r="L57" s="203" t="s">
        <v>130</v>
      </c>
      <c r="M57" s="275">
        <f>M53</f>
        <v>0</v>
      </c>
      <c r="N57" s="303"/>
      <c r="O57" s="304"/>
      <c r="Q57" s="203" t="s">
        <v>130</v>
      </c>
      <c r="R57" s="275">
        <f>R53</f>
        <v>0</v>
      </c>
      <c r="S57" s="303"/>
      <c r="T57" s="304"/>
    </row>
    <row r="58" spans="2:20">
      <c r="B58" s="204" t="s">
        <v>132</v>
      </c>
      <c r="C58" s="276">
        <f>C51*100</f>
        <v>4.4642857142857144</v>
      </c>
      <c r="D58" s="277"/>
      <c r="E58" s="278"/>
      <c r="G58" s="204" t="s">
        <v>132</v>
      </c>
      <c r="H58" s="276">
        <f>H51*100</f>
        <v>0</v>
      </c>
      <c r="I58" s="277"/>
      <c r="J58" s="278"/>
      <c r="L58" s="204" t="s">
        <v>132</v>
      </c>
      <c r="M58" s="276">
        <f>M51*100</f>
        <v>3.4769150796276169</v>
      </c>
      <c r="N58" s="277"/>
      <c r="O58" s="278"/>
      <c r="Q58" s="204" t="s">
        <v>132</v>
      </c>
      <c r="R58" s="276">
        <f>R51*100</f>
        <v>0.46676330038959407</v>
      </c>
      <c r="S58" s="277"/>
      <c r="T58" s="278"/>
    </row>
    <row r="59" spans="2:20" ht="15.75" thickBot="1">
      <c r="B59" s="205" t="s">
        <v>133</v>
      </c>
      <c r="C59" s="305">
        <f>' Figures - Economy Wide'!J12*100</f>
        <v>-388.42344642857108</v>
      </c>
      <c r="D59" s="306"/>
      <c r="E59" s="307"/>
      <c r="G59" s="205" t="s">
        <v>133</v>
      </c>
      <c r="H59" s="305">
        <f>' Figures - Economy Wide'!J13*100</f>
        <v>636.68551890766821</v>
      </c>
      <c r="I59" s="306"/>
      <c r="J59" s="307"/>
      <c r="L59" s="205" t="s">
        <v>133</v>
      </c>
      <c r="M59" s="305">
        <f>' Figures - Economy Wide'!J14*100</f>
        <v>145.27728084684077</v>
      </c>
      <c r="N59" s="306"/>
      <c r="O59" s="307"/>
      <c r="Q59" s="205" t="s">
        <v>133</v>
      </c>
      <c r="R59" s="320">
        <f>' Figures - Economy Wide'!J15*100</f>
        <v>157.79377170054278</v>
      </c>
      <c r="S59" s="321"/>
      <c r="T59" s="322"/>
    </row>
    <row r="62" spans="2:20">
      <c r="B62" s="323" t="s">
        <v>91</v>
      </c>
      <c r="C62" s="323"/>
      <c r="D62" s="323"/>
      <c r="E62" s="323"/>
      <c r="F62" s="323"/>
      <c r="G62" s="323"/>
      <c r="H62" s="323"/>
      <c r="I62" s="323"/>
      <c r="J62" s="323"/>
      <c r="L62" s="323" t="s">
        <v>92</v>
      </c>
      <c r="M62" s="323"/>
      <c r="N62" s="323"/>
      <c r="O62" s="323"/>
      <c r="P62" s="323"/>
      <c r="Q62" s="323"/>
      <c r="R62" s="323"/>
      <c r="S62" s="323"/>
      <c r="T62" s="323"/>
    </row>
    <row r="63" spans="2:20">
      <c r="B63" s="315" t="s">
        <v>11</v>
      </c>
      <c r="C63" s="315"/>
      <c r="D63" s="315"/>
      <c r="E63" s="315"/>
      <c r="F63" s="176"/>
      <c r="G63" s="315" t="s">
        <v>136</v>
      </c>
      <c r="H63" s="315"/>
      <c r="I63" s="315"/>
      <c r="J63" s="315"/>
      <c r="L63" s="315" t="s">
        <v>137</v>
      </c>
      <c r="M63" s="315"/>
      <c r="N63" s="315"/>
      <c r="O63" s="315"/>
      <c r="P63" s="176"/>
      <c r="Q63" s="315" t="s">
        <v>25</v>
      </c>
      <c r="R63" s="315"/>
      <c r="S63" s="315"/>
      <c r="T63" s="315"/>
    </row>
    <row r="64" spans="2:20" ht="15.75" thickBot="1">
      <c r="B64" s="316"/>
      <c r="C64" s="316"/>
      <c r="D64" s="316"/>
      <c r="E64" s="316"/>
      <c r="G64" s="316"/>
      <c r="H64" s="316"/>
      <c r="I64" s="316"/>
      <c r="J64" s="316"/>
      <c r="L64" s="316"/>
      <c r="M64" s="316"/>
      <c r="N64" s="316"/>
      <c r="O64" s="316"/>
      <c r="Q64" s="316"/>
      <c r="R64" s="316"/>
      <c r="S64" s="316"/>
      <c r="T64" s="316"/>
    </row>
    <row r="65" spans="2:20" ht="15.75" thickBot="1">
      <c r="B65" s="184"/>
      <c r="C65" s="185" t="s">
        <v>121</v>
      </c>
      <c r="D65" s="186" t="s">
        <v>122</v>
      </c>
      <c r="E65" s="187" t="s">
        <v>123</v>
      </c>
      <c r="G65" s="184"/>
      <c r="H65" s="185" t="s">
        <v>121</v>
      </c>
      <c r="I65" s="186" t="s">
        <v>122</v>
      </c>
      <c r="J65" s="187" t="s">
        <v>123</v>
      </c>
      <c r="L65" s="184"/>
      <c r="M65" s="185" t="s">
        <v>121</v>
      </c>
      <c r="N65" s="186" t="s">
        <v>122</v>
      </c>
      <c r="O65" s="187" t="s">
        <v>123</v>
      </c>
      <c r="Q65" s="184"/>
      <c r="R65" s="185" t="s">
        <v>121</v>
      </c>
      <c r="S65" s="186" t="s">
        <v>122</v>
      </c>
      <c r="T65" s="187" t="s">
        <v>123</v>
      </c>
    </row>
    <row r="66" spans="2:20">
      <c r="B66" s="192" t="s">
        <v>124</v>
      </c>
      <c r="C66" s="189">
        <f>'Team A'!D20</f>
        <v>1.8</v>
      </c>
      <c r="D66" s="190">
        <f>'Team A'!C20</f>
        <v>22.8</v>
      </c>
      <c r="E66" s="191">
        <f>((D66-C66)/D66)*100</f>
        <v>92.10526315789474</v>
      </c>
      <c r="G66" s="192" t="s">
        <v>124</v>
      </c>
      <c r="H66" s="189">
        <f>'Team A'!$K$20</f>
        <v>20</v>
      </c>
      <c r="I66" s="190">
        <f>'Team A'!$J$20</f>
        <v>20</v>
      </c>
      <c r="J66" s="191">
        <f>((I66-H66)/I66)*100</f>
        <v>0</v>
      </c>
      <c r="L66" s="192" t="s">
        <v>124</v>
      </c>
      <c r="M66" s="189">
        <f>'Team B'!D20</f>
        <v>30</v>
      </c>
      <c r="N66" s="190">
        <f>'Team B'!C20</f>
        <v>10</v>
      </c>
      <c r="O66" s="191">
        <f>((N66-M66)/N66)*100</f>
        <v>-200</v>
      </c>
      <c r="Q66" s="192" t="s">
        <v>124</v>
      </c>
      <c r="R66" s="189">
        <f>'Team B'!$K$20</f>
        <v>14</v>
      </c>
      <c r="S66" s="190">
        <f>'Team B'!$J$20</f>
        <v>14</v>
      </c>
      <c r="T66" s="191">
        <f>((S66-R66)/S66)*100</f>
        <v>0</v>
      </c>
    </row>
    <row r="67" spans="2:20" ht="16.5">
      <c r="B67" s="196" t="s">
        <v>125</v>
      </c>
      <c r="C67" s="194">
        <f>'Team A'!D12</f>
        <v>2.64</v>
      </c>
      <c r="D67" s="195">
        <f>'Team A'!$C$12</f>
        <v>0.59599999999999997</v>
      </c>
      <c r="E67" s="191">
        <f>((D67-C67)/D67)*100</f>
        <v>-342.95302013422821</v>
      </c>
      <c r="G67" s="196" t="s">
        <v>125</v>
      </c>
      <c r="H67" s="194">
        <f>'Team A'!$K$12</f>
        <v>30.1</v>
      </c>
      <c r="I67" s="195">
        <f>'Team A'!$J$12</f>
        <v>86.5</v>
      </c>
      <c r="J67" s="191">
        <f>((I67-H67)/I67)*100</f>
        <v>65.202312138728331</v>
      </c>
      <c r="L67" s="196" t="s">
        <v>125</v>
      </c>
      <c r="M67" s="194">
        <f>'Team B'!$D$12</f>
        <v>0.39505000000000001</v>
      </c>
      <c r="N67" s="195">
        <f>'Team B'!$C$12</f>
        <v>14.015000000000001</v>
      </c>
      <c r="O67" s="191">
        <f>((N67-M67)/N67)*100</f>
        <v>97.181234391723166</v>
      </c>
      <c r="Q67" s="196" t="s">
        <v>125</v>
      </c>
      <c r="R67" s="194">
        <f>'Team B'!$K$12</f>
        <v>436.697</v>
      </c>
      <c r="S67" s="195">
        <f>'Team B'!$J$12</f>
        <v>436.697</v>
      </c>
      <c r="T67" s="191">
        <f>((S67-R67)/S67)*100</f>
        <v>0</v>
      </c>
    </row>
    <row r="68" spans="2:20" ht="16.5">
      <c r="B68" s="196" t="s">
        <v>126</v>
      </c>
      <c r="C68" s="194">
        <f>'Team A'!$D$13</f>
        <v>223.82</v>
      </c>
      <c r="D68" s="195">
        <f>'Team A'!$C$13</f>
        <v>39.42</v>
      </c>
      <c r="E68" s="191">
        <f>((C68-D68)/C68)*100</f>
        <v>82.38763291931015</v>
      </c>
      <c r="G68" s="196" t="s">
        <v>126</v>
      </c>
      <c r="H68" s="194">
        <f>'Team A'!$K$13</f>
        <v>5253.5</v>
      </c>
      <c r="I68" s="195">
        <f>'Team A'!$J$13</f>
        <v>1133</v>
      </c>
      <c r="J68" s="191">
        <f>((H68-I68)/H68)*100</f>
        <v>78.433425335490625</v>
      </c>
      <c r="L68" s="196" t="s">
        <v>126</v>
      </c>
      <c r="M68" s="194">
        <f>'Team B'!$D$13</f>
        <v>4461.6499999999996</v>
      </c>
      <c r="N68" s="195">
        <f>'Team B'!$C$13</f>
        <v>1579.0219999999999</v>
      </c>
      <c r="O68" s="191">
        <f>((M68-N68)/M68)*100</f>
        <v>64.609012360897879</v>
      </c>
      <c r="Q68" s="196" t="s">
        <v>126</v>
      </c>
      <c r="R68" s="194">
        <f>'Team B'!$K$13</f>
        <v>1454.4</v>
      </c>
      <c r="S68" s="195">
        <f>'Team B'!$J$13</f>
        <v>1306.8</v>
      </c>
      <c r="T68" s="191">
        <f>((R68-S68)/R68)*100</f>
        <v>10.148514851485157</v>
      </c>
    </row>
    <row r="69" spans="2:20" ht="16.5">
      <c r="B69" s="196" t="s">
        <v>127</v>
      </c>
      <c r="C69" s="194">
        <f>'Team A'!$D$14</f>
        <v>1.1100000000000001</v>
      </c>
      <c r="D69" s="195">
        <f>'Team A'!$C$14</f>
        <v>0.17199999999999999</v>
      </c>
      <c r="E69" s="191">
        <f>((D69-C69)/D69)*100</f>
        <v>-545.34883720930247</v>
      </c>
      <c r="G69" s="196" t="s">
        <v>127</v>
      </c>
      <c r="H69" s="194">
        <f>'Team A'!$K$14</f>
        <v>39.9</v>
      </c>
      <c r="I69" s="195">
        <f>'Team A'!$J$14</f>
        <v>98.8</v>
      </c>
      <c r="J69" s="191">
        <f>((I69-H69)/I69)*100</f>
        <v>59.615384615384613</v>
      </c>
      <c r="L69" s="196" t="s">
        <v>127</v>
      </c>
      <c r="M69" s="194">
        <f>'Team B'!$D$14</f>
        <v>0.65</v>
      </c>
      <c r="N69" s="195">
        <f>'Team B'!$C$14</f>
        <v>8.5389999999999997</v>
      </c>
      <c r="O69" s="191">
        <f>((N69-M69)/N69)*100</f>
        <v>92.387867431783576</v>
      </c>
      <c r="Q69" s="196" t="s">
        <v>127</v>
      </c>
      <c r="R69" s="194">
        <f>'Team B'!$K$14</f>
        <v>46.7</v>
      </c>
      <c r="S69" s="195">
        <f>'Team B'!$J$14</f>
        <v>53.15</v>
      </c>
      <c r="T69" s="191">
        <f>((S69-R69)/S69)*100</f>
        <v>12.135465663217301</v>
      </c>
    </row>
    <row r="70" spans="2:20">
      <c r="B70" s="196" t="s">
        <v>128</v>
      </c>
      <c r="C70" s="285">
        <f>'Team A'!$D$18</f>
        <v>2.2680555555555554E-2</v>
      </c>
      <c r="D70" s="286"/>
      <c r="E70" s="287"/>
      <c r="G70" s="196" t="s">
        <v>128</v>
      </c>
      <c r="H70" s="285">
        <f>'Team A'!$K$18</f>
        <v>5.0000000000000001E-3</v>
      </c>
      <c r="I70" s="286"/>
      <c r="J70" s="287"/>
      <c r="L70" s="196" t="s">
        <v>128</v>
      </c>
      <c r="M70" s="285">
        <f>'Team B'!$D$18</f>
        <v>2.2680555555555554E-2</v>
      </c>
      <c r="N70" s="286"/>
      <c r="O70" s="287"/>
      <c r="Q70" s="196" t="s">
        <v>128</v>
      </c>
      <c r="R70" s="309">
        <f>'Team B'!$K$18</f>
        <v>0.04</v>
      </c>
      <c r="S70" s="310"/>
      <c r="T70" s="311"/>
    </row>
    <row r="71" spans="2:20">
      <c r="B71" s="196" t="s">
        <v>34</v>
      </c>
      <c r="C71" s="295">
        <f>'Team A'!$D$28</f>
        <v>-1.1084598698481564E-2</v>
      </c>
      <c r="D71" s="296"/>
      <c r="E71" s="308"/>
      <c r="G71" s="196" t="s">
        <v>34</v>
      </c>
      <c r="H71" s="263">
        <f>'Team A'!$K$28</f>
        <v>1.3687659264652348E-2</v>
      </c>
      <c r="I71" s="264"/>
      <c r="J71" s="265"/>
      <c r="L71" s="196" t="s">
        <v>34</v>
      </c>
      <c r="M71" s="295">
        <f>'Team B'!$D$28</f>
        <v>4.7248378909800371E-3</v>
      </c>
      <c r="N71" s="296"/>
      <c r="O71" s="308"/>
      <c r="Q71" s="196" t="s">
        <v>34</v>
      </c>
      <c r="R71" s="263">
        <f>'Team B'!$K$28</f>
        <v>0</v>
      </c>
      <c r="S71" s="264"/>
      <c r="T71" s="265"/>
    </row>
    <row r="72" spans="2:20" ht="15.75" thickBot="1">
      <c r="B72" s="198" t="s">
        <v>129</v>
      </c>
      <c r="C72" s="266">
        <f>'Team A'!$D$29</f>
        <v>-0.22427880496218858</v>
      </c>
      <c r="D72" s="267"/>
      <c r="E72" s="268"/>
      <c r="G72" s="198" t="s">
        <v>129</v>
      </c>
      <c r="H72" s="266">
        <f>'Team A'!$K$29</f>
        <v>2.8588763499575296</v>
      </c>
      <c r="I72" s="267"/>
      <c r="J72" s="268"/>
      <c r="L72" s="198" t="s">
        <v>129</v>
      </c>
      <c r="M72" s="266">
        <f>'Team B'!$D$29</f>
        <v>0.1206645414932114</v>
      </c>
      <c r="N72" s="267"/>
      <c r="O72" s="268"/>
      <c r="Q72" s="198" t="s">
        <v>129</v>
      </c>
      <c r="R72" s="266">
        <f>'Team B'!$K$29</f>
        <v>1.0924796747967462</v>
      </c>
      <c r="S72" s="267"/>
      <c r="T72" s="268"/>
    </row>
    <row r="73" spans="2:20" ht="16.5">
      <c r="B73" s="200" t="s">
        <v>130</v>
      </c>
      <c r="C73" s="269">
        <f>'Team A'!$C$16</f>
        <v>10</v>
      </c>
      <c r="D73" s="270"/>
      <c r="E73" s="271"/>
      <c r="G73" s="200" t="s">
        <v>130</v>
      </c>
      <c r="H73" s="269">
        <f>'Team A'!$J$16</f>
        <v>0</v>
      </c>
      <c r="I73" s="270"/>
      <c r="J73" s="271"/>
      <c r="L73" s="200" t="s">
        <v>130</v>
      </c>
      <c r="M73" s="269">
        <f>'Team B'!$C$16</f>
        <v>0</v>
      </c>
      <c r="N73" s="270"/>
      <c r="O73" s="271"/>
      <c r="Q73" s="200" t="s">
        <v>130</v>
      </c>
      <c r="R73" s="269">
        <f>'Team B'!$J$16</f>
        <v>0</v>
      </c>
      <c r="S73" s="270"/>
      <c r="T73" s="271"/>
    </row>
    <row r="74" spans="2:20" ht="17.25" thickBot="1">
      <c r="B74" s="201" t="s">
        <v>131</v>
      </c>
      <c r="C74" s="288">
        <f>'Summary Page'!S65</f>
        <v>197.35662914858983</v>
      </c>
      <c r="D74" s="289"/>
      <c r="E74" s="290"/>
      <c r="G74" s="201" t="s">
        <v>131</v>
      </c>
      <c r="H74" s="288">
        <f>'Summary Page'!S66</f>
        <v>-67.326009586215221</v>
      </c>
      <c r="I74" s="289"/>
      <c r="J74" s="290"/>
      <c r="L74" s="201" t="s">
        <v>131</v>
      </c>
      <c r="M74" s="288">
        <f>'Summary Page'!S67</f>
        <v>147.87723315651539</v>
      </c>
      <c r="N74" s="289"/>
      <c r="O74" s="290"/>
      <c r="Q74" s="201" t="s">
        <v>131</v>
      </c>
      <c r="R74" s="288">
        <f>'Summary Page'!S68</f>
        <v>-27.340691056910039</v>
      </c>
      <c r="S74" s="289"/>
      <c r="T74" s="290"/>
    </row>
    <row r="75" spans="2:20">
      <c r="B75" s="202"/>
      <c r="G75" s="202"/>
      <c r="H75" s="202"/>
      <c r="I75" s="202"/>
      <c r="J75" s="202"/>
      <c r="L75" s="202"/>
      <c r="M75" s="202"/>
      <c r="N75" s="202"/>
      <c r="O75" s="202"/>
      <c r="Q75" s="202"/>
      <c r="R75" s="202"/>
      <c r="S75" s="202"/>
      <c r="T75" s="202"/>
    </row>
    <row r="76" spans="2:20" ht="15.75" thickBot="1">
      <c r="H76" s="202"/>
      <c r="I76" s="202"/>
      <c r="J76" s="202"/>
      <c r="M76" s="202"/>
      <c r="N76" s="202"/>
      <c r="O76" s="202"/>
      <c r="R76" s="202"/>
      <c r="S76" s="202"/>
      <c r="T76" s="202"/>
    </row>
    <row r="77" spans="2:20" ht="16.5">
      <c r="B77" s="203" t="s">
        <v>130</v>
      </c>
      <c r="C77" s="275">
        <f>C73</f>
        <v>10</v>
      </c>
      <c r="D77" s="303"/>
      <c r="E77" s="304"/>
      <c r="G77" s="203" t="s">
        <v>130</v>
      </c>
      <c r="H77" s="275">
        <f>H73</f>
        <v>0</v>
      </c>
      <c r="I77" s="303"/>
      <c r="J77" s="304"/>
      <c r="L77" s="203" t="s">
        <v>130</v>
      </c>
      <c r="M77" s="275">
        <f>M73</f>
        <v>0</v>
      </c>
      <c r="N77" s="303"/>
      <c r="O77" s="304"/>
      <c r="Q77" s="203" t="s">
        <v>130</v>
      </c>
      <c r="R77" s="275">
        <f>R73</f>
        <v>0</v>
      </c>
      <c r="S77" s="303"/>
      <c r="T77" s="304"/>
    </row>
    <row r="78" spans="2:20">
      <c r="B78" s="204" t="s">
        <v>132</v>
      </c>
      <c r="C78" s="276">
        <f>C71*100</f>
        <v>-1.1084598698481563</v>
      </c>
      <c r="D78" s="277"/>
      <c r="E78" s="278"/>
      <c r="G78" s="204" t="s">
        <v>132</v>
      </c>
      <c r="H78" s="276">
        <f>H71*100</f>
        <v>1.3687659264652348</v>
      </c>
      <c r="I78" s="277"/>
      <c r="J78" s="278"/>
      <c r="L78" s="204" t="s">
        <v>132</v>
      </c>
      <c r="M78" s="276">
        <f>M71*100</f>
        <v>0.4724837890980037</v>
      </c>
      <c r="N78" s="277"/>
      <c r="O78" s="278"/>
      <c r="Q78" s="204" t="s">
        <v>132</v>
      </c>
      <c r="R78" s="276">
        <f>R71*100</f>
        <v>0</v>
      </c>
      <c r="S78" s="277"/>
      <c r="T78" s="278"/>
    </row>
    <row r="79" spans="2:20" ht="15.75" thickBot="1">
      <c r="B79" s="205" t="s">
        <v>133</v>
      </c>
      <c r="C79" s="305">
        <f>' Figures - Economy Wide'!J16*100</f>
        <v>188.46508901843799</v>
      </c>
      <c r="D79" s="306"/>
      <c r="E79" s="307"/>
      <c r="G79" s="205" t="s">
        <v>133</v>
      </c>
      <c r="H79" s="305">
        <f>' Figures - Economy Wide'!J17*100</f>
        <v>-68.694775512680451</v>
      </c>
      <c r="I79" s="306"/>
      <c r="J79" s="307"/>
      <c r="L79" s="205" t="s">
        <v>133</v>
      </c>
      <c r="M79" s="305">
        <f>' Figures - Economy Wide'!J18*100</f>
        <v>147.40474936741737</v>
      </c>
      <c r="N79" s="306"/>
      <c r="O79" s="307"/>
      <c r="Q79" s="205" t="s">
        <v>133</v>
      </c>
      <c r="R79" s="305">
        <f>' Figures - Economy Wide'!J19*100</f>
        <v>-27.340691056910039</v>
      </c>
      <c r="S79" s="306"/>
      <c r="T79" s="307"/>
    </row>
    <row r="82" spans="2:20">
      <c r="B82" s="323" t="s">
        <v>93</v>
      </c>
      <c r="C82" s="323"/>
      <c r="D82" s="323"/>
      <c r="E82" s="323"/>
      <c r="F82" s="323"/>
      <c r="G82" s="323"/>
      <c r="H82" s="323"/>
      <c r="I82" s="323"/>
      <c r="J82" s="323"/>
      <c r="L82" s="323" t="s">
        <v>94</v>
      </c>
      <c r="M82" s="323"/>
      <c r="N82" s="323"/>
      <c r="O82" s="323"/>
      <c r="P82" s="323"/>
      <c r="Q82" s="323"/>
      <c r="R82" s="323"/>
      <c r="S82" s="323"/>
      <c r="T82" s="323"/>
    </row>
    <row r="83" spans="2:20">
      <c r="B83" s="315" t="s">
        <v>138</v>
      </c>
      <c r="C83" s="315"/>
      <c r="D83" s="315"/>
      <c r="E83" s="315"/>
      <c r="F83" s="176"/>
      <c r="G83" s="315" t="s">
        <v>139</v>
      </c>
      <c r="H83" s="315"/>
      <c r="I83" s="315"/>
      <c r="J83" s="315"/>
      <c r="L83" s="315" t="s">
        <v>140</v>
      </c>
      <c r="M83" s="315"/>
      <c r="N83" s="315"/>
      <c r="O83" s="315"/>
      <c r="P83" s="176"/>
      <c r="Q83" s="315" t="s">
        <v>141</v>
      </c>
      <c r="R83" s="315"/>
      <c r="S83" s="315"/>
      <c r="T83" s="315"/>
    </row>
    <row r="84" spans="2:20" ht="15.75" thickBot="1">
      <c r="B84" s="316"/>
      <c r="C84" s="316"/>
      <c r="D84" s="316"/>
      <c r="E84" s="316"/>
      <c r="G84" s="316"/>
      <c r="H84" s="316"/>
      <c r="I84" s="316"/>
      <c r="J84" s="316"/>
      <c r="L84" s="316"/>
      <c r="M84" s="316"/>
      <c r="N84" s="316"/>
      <c r="O84" s="316"/>
      <c r="Q84" s="316"/>
      <c r="R84" s="316"/>
      <c r="S84" s="316"/>
      <c r="T84" s="316"/>
    </row>
    <row r="85" spans="2:20" ht="15.75" thickBot="1">
      <c r="B85" s="184"/>
      <c r="C85" s="185" t="s">
        <v>121</v>
      </c>
      <c r="D85" s="186" t="s">
        <v>122</v>
      </c>
      <c r="E85" s="187" t="s">
        <v>123</v>
      </c>
      <c r="G85" s="184"/>
      <c r="H85" s="185" t="s">
        <v>121</v>
      </c>
      <c r="I85" s="186" t="s">
        <v>122</v>
      </c>
      <c r="J85" s="187" t="s">
        <v>123</v>
      </c>
      <c r="L85" s="184"/>
      <c r="M85" s="185" t="s">
        <v>121</v>
      </c>
      <c r="N85" s="186" t="s">
        <v>122</v>
      </c>
      <c r="O85" s="187" t="s">
        <v>123</v>
      </c>
      <c r="Q85" s="184"/>
      <c r="R85" s="185" t="s">
        <v>121</v>
      </c>
      <c r="S85" s="186" t="s">
        <v>122</v>
      </c>
      <c r="T85" s="187" t="s">
        <v>123</v>
      </c>
    </row>
    <row r="86" spans="2:20">
      <c r="B86" s="192" t="s">
        <v>124</v>
      </c>
      <c r="C86" s="189">
        <f>'Team C'!D20</f>
        <v>15</v>
      </c>
      <c r="D86" s="190">
        <f>'Team C'!C20</f>
        <v>10</v>
      </c>
      <c r="E86" s="191">
        <f>((D86-C86)/D86)*100</f>
        <v>-50</v>
      </c>
      <c r="G86" s="192" t="s">
        <v>124</v>
      </c>
      <c r="H86" s="189">
        <f>'Team C'!$K$20</f>
        <v>12</v>
      </c>
      <c r="I86" s="190">
        <f>'Team C'!$J$20</f>
        <v>12</v>
      </c>
      <c r="J86" s="191">
        <f>((I86-H86)/I86)*100</f>
        <v>0</v>
      </c>
      <c r="L86" s="192" t="s">
        <v>124</v>
      </c>
      <c r="M86" s="189">
        <f>'Team D'!$C$20</f>
        <v>10</v>
      </c>
      <c r="N86" s="190">
        <f>'Team D'!$D$20</f>
        <v>10</v>
      </c>
      <c r="O86" s="191">
        <f>((N86-M86)/N86)*100</f>
        <v>0</v>
      </c>
      <c r="Q86" s="192" t="s">
        <v>124</v>
      </c>
      <c r="R86" s="189">
        <f>'Team D'!$K$20</f>
        <v>12</v>
      </c>
      <c r="S86" s="190">
        <f>'Team D'!$J$20</f>
        <v>12</v>
      </c>
      <c r="T86" s="191">
        <f>((S86-R86)/S86)*100</f>
        <v>0</v>
      </c>
    </row>
    <row r="87" spans="2:20" ht="16.5">
      <c r="B87" s="196" t="s">
        <v>125</v>
      </c>
      <c r="C87" s="194">
        <f>'Team C'!$D$12</f>
        <v>3.28</v>
      </c>
      <c r="D87" s="195">
        <f>'Team C'!$C$12</f>
        <v>9.61</v>
      </c>
      <c r="E87" s="191">
        <f>((D87-C87)/D87)*100</f>
        <v>65.868886576482836</v>
      </c>
      <c r="G87" s="196" t="s">
        <v>125</v>
      </c>
      <c r="H87" s="194">
        <f>'Team C'!$K$12</f>
        <v>6765</v>
      </c>
      <c r="I87" s="195">
        <f>'Team C'!$J$12</f>
        <v>6959</v>
      </c>
      <c r="J87" s="191">
        <f>((I87-H87)/I87)*100</f>
        <v>2.7877568616180488</v>
      </c>
      <c r="L87" s="196" t="s">
        <v>125</v>
      </c>
      <c r="M87" s="194">
        <f>'Team D'!$D$12</f>
        <v>112.3</v>
      </c>
      <c r="N87" s="195">
        <f>'Team D'!$C$12</f>
        <v>104.7</v>
      </c>
      <c r="O87" s="191">
        <f>((N87-M87)/N87)*100</f>
        <v>-7.2588347659980847</v>
      </c>
      <c r="Q87" s="196" t="s">
        <v>125</v>
      </c>
      <c r="R87" s="194">
        <f>'Team D'!$K$12</f>
        <v>10516</v>
      </c>
      <c r="S87" s="195">
        <f>'Team D'!$J$12</f>
        <v>9406</v>
      </c>
      <c r="T87" s="191">
        <f>((S87-R87)/S87)*100</f>
        <v>-11.80097809908569</v>
      </c>
    </row>
    <row r="88" spans="2:20" ht="16.5">
      <c r="B88" s="196" t="s">
        <v>126</v>
      </c>
      <c r="C88" s="194">
        <f>'Team C'!$D$13</f>
        <v>1472.4</v>
      </c>
      <c r="D88" s="195">
        <f>'Team C'!$C$13</f>
        <v>1098</v>
      </c>
      <c r="E88" s="191">
        <f>((C88-D88)/C88)*100</f>
        <v>25.427872860635702</v>
      </c>
      <c r="G88" s="196" t="s">
        <v>126</v>
      </c>
      <c r="H88" s="194">
        <f>'Team C'!$K$13</f>
        <v>70556</v>
      </c>
      <c r="I88" s="195">
        <f>'Team C'!$J$13</f>
        <v>45357</v>
      </c>
      <c r="J88" s="191">
        <f>((H88-I88)/H88)*100</f>
        <v>35.714893134531437</v>
      </c>
      <c r="L88" s="196" t="s">
        <v>126</v>
      </c>
      <c r="M88" s="194">
        <f>'Team D'!$D$13</f>
        <v>226</v>
      </c>
      <c r="N88" s="195">
        <f>'Team D'!$C$13</f>
        <v>104</v>
      </c>
      <c r="O88" s="191">
        <f>((M88-N88)/M88)*100</f>
        <v>53.982300884955748</v>
      </c>
      <c r="Q88" s="196" t="s">
        <v>126</v>
      </c>
      <c r="R88" s="194">
        <f>'Team D'!$K$13</f>
        <v>70556</v>
      </c>
      <c r="S88" s="195">
        <f>'Team D'!$J$13</f>
        <v>56029</v>
      </c>
      <c r="T88" s="191">
        <f>((R88-S88)/R88)*100</f>
        <v>20.589319122399232</v>
      </c>
    </row>
    <row r="89" spans="2:20" ht="16.5">
      <c r="B89" s="196" t="s">
        <v>127</v>
      </c>
      <c r="C89" s="194">
        <f>'Team C'!$D$14</f>
        <v>0.96699999999999997</v>
      </c>
      <c r="D89" s="195">
        <f>'Team C'!$C$14</f>
        <v>7.9989999999999997</v>
      </c>
      <c r="E89" s="191">
        <f>((D89-C89)/D89)*100</f>
        <v>87.910988873609213</v>
      </c>
      <c r="G89" s="196" t="s">
        <v>127</v>
      </c>
      <c r="H89" s="194">
        <f>'Team C'!$K$14</f>
        <v>6355.34</v>
      </c>
      <c r="I89" s="195">
        <f>'Team C'!$J$14</f>
        <v>6714.19</v>
      </c>
      <c r="J89" s="191">
        <f>((I89-H89)/I89)*100</f>
        <v>5.3446506577859649</v>
      </c>
      <c r="L89" s="196" t="s">
        <v>127</v>
      </c>
      <c r="M89" s="194">
        <f>'Team D'!$D$14</f>
        <v>9.4</v>
      </c>
      <c r="N89" s="195">
        <f>'Team D'!$C$14</f>
        <v>11.9</v>
      </c>
      <c r="O89" s="191">
        <f>((N89-M89)/N89)*100</f>
        <v>21.008403361344538</v>
      </c>
      <c r="Q89" s="196" t="s">
        <v>127</v>
      </c>
      <c r="R89" s="194">
        <f>'Team D'!$K$14</f>
        <v>2944</v>
      </c>
      <c r="S89" s="195">
        <f>'Team D'!$J$14</f>
        <v>2803</v>
      </c>
      <c r="T89" s="191">
        <f>((S89-R89)/S89)*100</f>
        <v>-5.0303246521584013</v>
      </c>
    </row>
    <row r="90" spans="2:20">
      <c r="B90" s="196" t="s">
        <v>128</v>
      </c>
      <c r="C90" s="285">
        <f>'Team C'!$D$18</f>
        <v>2.2680555555555554E-2</v>
      </c>
      <c r="D90" s="286"/>
      <c r="E90" s="287"/>
      <c r="G90" s="196" t="s">
        <v>128</v>
      </c>
      <c r="H90" s="309">
        <f>'Team C'!$K$18</f>
        <v>2.1100000000000001E-2</v>
      </c>
      <c r="I90" s="310"/>
      <c r="J90" s="311"/>
      <c r="L90" s="196" t="s">
        <v>128</v>
      </c>
      <c r="M90" s="285">
        <f>'Team D'!$D$18</f>
        <v>2.2680555555555554E-2</v>
      </c>
      <c r="N90" s="286"/>
      <c r="O90" s="287"/>
      <c r="Q90" s="196" t="s">
        <v>128</v>
      </c>
      <c r="R90" s="309">
        <f>'Team D'!$K$18</f>
        <v>2.1100000000000001E-2</v>
      </c>
      <c r="S90" s="310"/>
      <c r="T90" s="311"/>
    </row>
    <row r="91" spans="2:20">
      <c r="B91" s="196" t="s">
        <v>34</v>
      </c>
      <c r="C91" s="295">
        <f>'Team C'!$D$28</f>
        <v>1.6907051282051277E-2</v>
      </c>
      <c r="D91" s="296"/>
      <c r="E91" s="308"/>
      <c r="G91" s="196" t="s">
        <v>34</v>
      </c>
      <c r="H91" s="263">
        <f>'Team C'!$K$28</f>
        <v>7.6987182031032974E-3</v>
      </c>
      <c r="I91" s="264"/>
      <c r="J91" s="265"/>
      <c r="L91" s="196" t="s">
        <v>34</v>
      </c>
      <c r="M91" s="295">
        <f>'Team D'!$D$28</f>
        <v>-6.2295081967213069E-2</v>
      </c>
      <c r="N91" s="296"/>
      <c r="O91" s="308"/>
      <c r="Q91" s="196" t="s">
        <v>34</v>
      </c>
      <c r="R91" s="263">
        <f>'Team D'!$K$28</f>
        <v>-7.6409444482687411E-2</v>
      </c>
      <c r="S91" s="264"/>
      <c r="T91" s="265"/>
    </row>
    <row r="92" spans="2:20" ht="15.75" thickBot="1">
      <c r="B92" s="198" t="s">
        <v>129</v>
      </c>
      <c r="C92" s="266">
        <f>'Team C'!$D$29</f>
        <v>0.82811248763483891</v>
      </c>
      <c r="D92" s="267"/>
      <c r="E92" s="268"/>
      <c r="G92" s="198" t="s">
        <v>129</v>
      </c>
      <c r="H92" s="266">
        <f>'Team C'!$K$29</f>
        <v>0.67491206019045646</v>
      </c>
      <c r="I92" s="267"/>
      <c r="J92" s="268"/>
      <c r="L92" s="198" t="s">
        <v>129</v>
      </c>
      <c r="M92" s="266">
        <f>'Team D'!$D$29</f>
        <v>0.90349653157720378</v>
      </c>
      <c r="N92" s="267"/>
      <c r="O92" s="268"/>
      <c r="Q92" s="198" t="s">
        <v>129</v>
      </c>
      <c r="R92" s="266">
        <f>'Team D'!$K$29</f>
        <v>-0.46000306016220166</v>
      </c>
      <c r="S92" s="267"/>
      <c r="T92" s="268"/>
    </row>
    <row r="93" spans="2:20" ht="16.5">
      <c r="B93" s="200" t="s">
        <v>130</v>
      </c>
      <c r="C93" s="269">
        <f>'Team C'!$C$16</f>
        <v>7.1</v>
      </c>
      <c r="D93" s="270"/>
      <c r="E93" s="271"/>
      <c r="G93" s="200" t="s">
        <v>130</v>
      </c>
      <c r="H93" s="269">
        <f>'Team C'!$J$16</f>
        <v>20</v>
      </c>
      <c r="I93" s="270"/>
      <c r="J93" s="271"/>
      <c r="L93" s="200" t="s">
        <v>130</v>
      </c>
      <c r="M93" s="269">
        <f>'Team D'!$C$16</f>
        <v>0</v>
      </c>
      <c r="N93" s="270"/>
      <c r="O93" s="271"/>
      <c r="Q93" s="200" t="s">
        <v>130</v>
      </c>
      <c r="R93" s="269">
        <f>'Team D'!$J$16</f>
        <v>6.04</v>
      </c>
      <c r="S93" s="270"/>
      <c r="T93" s="271"/>
    </row>
    <row r="94" spans="2:20" ht="17.25" thickBot="1">
      <c r="B94" s="201" t="s">
        <v>131</v>
      </c>
      <c r="C94" s="288">
        <f>'Summary Page'!S69</f>
        <v>25.702679199786356</v>
      </c>
      <c r="D94" s="289"/>
      <c r="E94" s="290"/>
      <c r="G94" s="201" t="s">
        <v>131</v>
      </c>
      <c r="H94" s="288">
        <f>'Summary Page'!S70</f>
        <v>40.277348542402613</v>
      </c>
      <c r="I94" s="289"/>
      <c r="J94" s="290"/>
      <c r="L94" s="201" t="s">
        <v>131</v>
      </c>
      <c r="M94" s="288">
        <f>'Summary Page'!S71</f>
        <v>9.9475598816029045</v>
      </c>
      <c r="N94" s="289"/>
      <c r="O94" s="290"/>
      <c r="Q94" s="201" t="s">
        <v>131</v>
      </c>
      <c r="R94" s="288">
        <f>'Summary Page'!S72</f>
        <v>216.6672927443324</v>
      </c>
      <c r="S94" s="318"/>
      <c r="T94" s="319"/>
    </row>
    <row r="95" spans="2:20">
      <c r="B95" s="202"/>
      <c r="G95" s="202"/>
      <c r="H95" s="202"/>
      <c r="I95" s="202"/>
      <c r="J95" s="202"/>
      <c r="L95" s="202"/>
      <c r="M95" s="202"/>
      <c r="N95" s="202"/>
      <c r="O95" s="202"/>
      <c r="Q95" s="202"/>
      <c r="R95" s="202"/>
      <c r="S95" s="202"/>
      <c r="T95" s="202"/>
    </row>
    <row r="96" spans="2:20" ht="15.75" thickBot="1">
      <c r="H96" s="202"/>
      <c r="I96" s="202"/>
      <c r="J96" s="202"/>
      <c r="M96" s="202"/>
      <c r="N96" s="202"/>
      <c r="O96" s="202"/>
      <c r="R96" s="202"/>
      <c r="S96" s="202"/>
      <c r="T96" s="202"/>
    </row>
    <row r="97" spans="2:20" ht="16.5">
      <c r="B97" s="203" t="s">
        <v>130</v>
      </c>
      <c r="C97" s="275">
        <f>C93</f>
        <v>7.1</v>
      </c>
      <c r="D97" s="303"/>
      <c r="E97" s="304"/>
      <c r="G97" s="203" t="s">
        <v>130</v>
      </c>
      <c r="H97" s="275">
        <f>H93</f>
        <v>20</v>
      </c>
      <c r="I97" s="303"/>
      <c r="J97" s="304"/>
      <c r="L97" s="203" t="s">
        <v>130</v>
      </c>
      <c r="M97" s="275">
        <f>M93</f>
        <v>0</v>
      </c>
      <c r="N97" s="303"/>
      <c r="O97" s="304"/>
      <c r="Q97" s="203" t="s">
        <v>130</v>
      </c>
      <c r="R97" s="275">
        <f>R93</f>
        <v>6.04</v>
      </c>
      <c r="S97" s="303"/>
      <c r="T97" s="304"/>
    </row>
    <row r="98" spans="2:20">
      <c r="B98" s="204" t="s">
        <v>132</v>
      </c>
      <c r="C98" s="276">
        <f>C91*100</f>
        <v>1.6907051282051277</v>
      </c>
      <c r="D98" s="277"/>
      <c r="E98" s="278"/>
      <c r="G98" s="204" t="s">
        <v>132</v>
      </c>
      <c r="H98" s="276">
        <f>H91*100</f>
        <v>0.76987182031032975</v>
      </c>
      <c r="I98" s="277"/>
      <c r="J98" s="278"/>
      <c r="L98" s="204" t="s">
        <v>132</v>
      </c>
      <c r="M98" s="276">
        <f>M91*100</f>
        <v>-6.2295081967213068</v>
      </c>
      <c r="N98" s="277"/>
      <c r="O98" s="278"/>
      <c r="Q98" s="204" t="s">
        <v>132</v>
      </c>
      <c r="R98" s="276">
        <f>R91*100</f>
        <v>-7.6409444482687414</v>
      </c>
      <c r="S98" s="277"/>
      <c r="T98" s="278"/>
    </row>
    <row r="99" spans="2:20" ht="15.75" thickBot="1">
      <c r="B99" s="205" t="s">
        <v>133</v>
      </c>
      <c r="C99" s="305">
        <f>' Figures - Economy Wide'!J21*100</f>
        <v>19.507476722092285</v>
      </c>
      <c r="D99" s="306"/>
      <c r="E99" s="307"/>
      <c r="G99" s="205" t="s">
        <v>133</v>
      </c>
      <c r="H99" s="305">
        <f>' Figures - Economy Wide'!J20*100</f>
        <v>16.911974071581227</v>
      </c>
      <c r="I99" s="306"/>
      <c r="J99" s="307"/>
      <c r="L99" s="205" t="s">
        <v>133</v>
      </c>
      <c r="M99" s="305">
        <f>' Figures - Economy Wide'!J22*100</f>
        <v>16.177068078324211</v>
      </c>
      <c r="N99" s="306"/>
      <c r="O99" s="307"/>
      <c r="Q99" s="205" t="s">
        <v>133</v>
      </c>
      <c r="R99" s="305">
        <f>' Figures - Economy Wide'!J23*100</f>
        <v>218.26823719260116</v>
      </c>
      <c r="S99" s="306"/>
      <c r="T99" s="307"/>
    </row>
  </sheetData>
  <mergeCells count="187">
    <mergeCell ref="C99:E99"/>
    <mergeCell ref="H99:J99"/>
    <mergeCell ref="M99:O99"/>
    <mergeCell ref="R99:T99"/>
    <mergeCell ref="C97:E97"/>
    <mergeCell ref="H97:J97"/>
    <mergeCell ref="M97:O97"/>
    <mergeCell ref="R97:T97"/>
    <mergeCell ref="C98:E98"/>
    <mergeCell ref="H98:J98"/>
    <mergeCell ref="M98:O98"/>
    <mergeCell ref="R98:T98"/>
    <mergeCell ref="C93:E93"/>
    <mergeCell ref="H93:J93"/>
    <mergeCell ref="M93:O93"/>
    <mergeCell ref="R93:T93"/>
    <mergeCell ref="C94:E94"/>
    <mergeCell ref="H94:J94"/>
    <mergeCell ref="M94:O94"/>
    <mergeCell ref="R94:T94"/>
    <mergeCell ref="C91:E91"/>
    <mergeCell ref="H91:J91"/>
    <mergeCell ref="M91:O91"/>
    <mergeCell ref="R91:T91"/>
    <mergeCell ref="C92:E92"/>
    <mergeCell ref="H92:J92"/>
    <mergeCell ref="M92:O92"/>
    <mergeCell ref="R92:T92"/>
    <mergeCell ref="B83:E84"/>
    <mergeCell ref="G83:J84"/>
    <mergeCell ref="L83:O84"/>
    <mergeCell ref="Q83:T84"/>
    <mergeCell ref="C90:E90"/>
    <mergeCell ref="H90:J90"/>
    <mergeCell ref="M90:O90"/>
    <mergeCell ref="R90:T90"/>
    <mergeCell ref="C79:E79"/>
    <mergeCell ref="H79:J79"/>
    <mergeCell ref="M79:O79"/>
    <mergeCell ref="R79:T79"/>
    <mergeCell ref="B82:J82"/>
    <mergeCell ref="L82:T82"/>
    <mergeCell ref="C77:E77"/>
    <mergeCell ref="H77:J77"/>
    <mergeCell ref="M77:O77"/>
    <mergeCell ref="R77:T77"/>
    <mergeCell ref="C78:E78"/>
    <mergeCell ref="H78:J78"/>
    <mergeCell ref="M78:O78"/>
    <mergeCell ref="R78:T78"/>
    <mergeCell ref="C73:E73"/>
    <mergeCell ref="H73:J73"/>
    <mergeCell ref="M73:O73"/>
    <mergeCell ref="R73:T73"/>
    <mergeCell ref="C74:E74"/>
    <mergeCell ref="H74:J74"/>
    <mergeCell ref="M74:O74"/>
    <mergeCell ref="R74:T74"/>
    <mergeCell ref="C71:E71"/>
    <mergeCell ref="H71:J71"/>
    <mergeCell ref="M71:O71"/>
    <mergeCell ref="R71:T71"/>
    <mergeCell ref="C72:E72"/>
    <mergeCell ref="H72:J72"/>
    <mergeCell ref="M72:O72"/>
    <mergeCell ref="R72:T72"/>
    <mergeCell ref="B63:E64"/>
    <mergeCell ref="G63:J64"/>
    <mergeCell ref="L63:O64"/>
    <mergeCell ref="Q63:T64"/>
    <mergeCell ref="C70:E70"/>
    <mergeCell ref="H70:J70"/>
    <mergeCell ref="M70:O70"/>
    <mergeCell ref="R70:T70"/>
    <mergeCell ref="C59:E59"/>
    <mergeCell ref="H59:J59"/>
    <mergeCell ref="M59:O59"/>
    <mergeCell ref="R59:T59"/>
    <mergeCell ref="B62:J62"/>
    <mergeCell ref="L62:T62"/>
    <mergeCell ref="M54:O54"/>
    <mergeCell ref="R54:T54"/>
    <mergeCell ref="M57:O57"/>
    <mergeCell ref="R57:T57"/>
    <mergeCell ref="M58:O58"/>
    <mergeCell ref="R58:T58"/>
    <mergeCell ref="H57:J57"/>
    <mergeCell ref="H58:J58"/>
    <mergeCell ref="C54:E54"/>
    <mergeCell ref="H54:J54"/>
    <mergeCell ref="C57:E57"/>
    <mergeCell ref="C58:E58"/>
    <mergeCell ref="M51:O51"/>
    <mergeCell ref="R51:T51"/>
    <mergeCell ref="M52:O52"/>
    <mergeCell ref="R52:T52"/>
    <mergeCell ref="M53:O53"/>
    <mergeCell ref="R53:T53"/>
    <mergeCell ref="L42:T42"/>
    <mergeCell ref="B43:E44"/>
    <mergeCell ref="G43:J44"/>
    <mergeCell ref="L43:O44"/>
    <mergeCell ref="Q43:T44"/>
    <mergeCell ref="M50:O50"/>
    <mergeCell ref="R50:T50"/>
    <mergeCell ref="B42:J42"/>
    <mergeCell ref="H50:J50"/>
    <mergeCell ref="H51:J51"/>
    <mergeCell ref="H52:J52"/>
    <mergeCell ref="H53:J53"/>
    <mergeCell ref="C50:E50"/>
    <mergeCell ref="C51:E51"/>
    <mergeCell ref="C52:E52"/>
    <mergeCell ref="C53:E53"/>
    <mergeCell ref="L2:T2"/>
    <mergeCell ref="L3:O4"/>
    <mergeCell ref="Q3:T4"/>
    <mergeCell ref="B22:J22"/>
    <mergeCell ref="B23:E24"/>
    <mergeCell ref="G23:J24"/>
    <mergeCell ref="L23:O24"/>
    <mergeCell ref="Q23:T24"/>
    <mergeCell ref="L22:T22"/>
    <mergeCell ref="B2:J2"/>
    <mergeCell ref="B3:E4"/>
    <mergeCell ref="G3:J4"/>
    <mergeCell ref="M19:O19"/>
    <mergeCell ref="R10:T10"/>
    <mergeCell ref="R11:T11"/>
    <mergeCell ref="R12:T12"/>
    <mergeCell ref="R13:T13"/>
    <mergeCell ref="R14:T14"/>
    <mergeCell ref="R17:T17"/>
    <mergeCell ref="R18:T18"/>
    <mergeCell ref="R19:T19"/>
    <mergeCell ref="M10:O10"/>
    <mergeCell ref="M30:O30"/>
    <mergeCell ref="M31:O31"/>
    <mergeCell ref="M32:O32"/>
    <mergeCell ref="M33:O33"/>
    <mergeCell ref="M34:O34"/>
    <mergeCell ref="M37:O37"/>
    <mergeCell ref="M38:O38"/>
    <mergeCell ref="M39:O39"/>
    <mergeCell ref="R30:T30"/>
    <mergeCell ref="R31:T31"/>
    <mergeCell ref="R32:T32"/>
    <mergeCell ref="R33:T33"/>
    <mergeCell ref="R34:T34"/>
    <mergeCell ref="R37:T37"/>
    <mergeCell ref="R38:T38"/>
    <mergeCell ref="R39:T39"/>
    <mergeCell ref="C37:E37"/>
    <mergeCell ref="C38:E38"/>
    <mergeCell ref="C39:E39"/>
    <mergeCell ref="H30:J30"/>
    <mergeCell ref="H31:J31"/>
    <mergeCell ref="H32:J32"/>
    <mergeCell ref="H33:J33"/>
    <mergeCell ref="H34:J34"/>
    <mergeCell ref="H37:J37"/>
    <mergeCell ref="C30:E30"/>
    <mergeCell ref="C31:E31"/>
    <mergeCell ref="C32:E32"/>
    <mergeCell ref="C33:E33"/>
    <mergeCell ref="C34:E34"/>
    <mergeCell ref="H38:J38"/>
    <mergeCell ref="H39:J39"/>
    <mergeCell ref="M11:O11"/>
    <mergeCell ref="M12:O12"/>
    <mergeCell ref="M13:O13"/>
    <mergeCell ref="M14:O14"/>
    <mergeCell ref="M17:O17"/>
    <mergeCell ref="M18:O18"/>
    <mergeCell ref="C18:E18"/>
    <mergeCell ref="C19:E19"/>
    <mergeCell ref="H10:J10"/>
    <mergeCell ref="H11:J11"/>
    <mergeCell ref="H12:J12"/>
    <mergeCell ref="H13:J13"/>
    <mergeCell ref="H14:J14"/>
    <mergeCell ref="C10:E10"/>
    <mergeCell ref="C11:E11"/>
    <mergeCell ref="C12:E12"/>
    <mergeCell ref="C13:E13"/>
    <mergeCell ref="C14:E14"/>
    <mergeCell ref="C17:E17"/>
  </mergeCells>
  <pageMargins left="0.7" right="0.7" top="0.75" bottom="0.75" header="0.3" footer="0.3"/>
  <pageSetup orientation="portrait" r:id="rId1"/>
  <ignoredErrors>
    <ignoredError sqref="E8 J8 O8 T8 T28 O28 J28 E28 E48 J48 O48 T48 E68 J68 O68 T68 O88 J88 E88 T88"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Y29"/>
  <sheetViews>
    <sheetView zoomScale="80" zoomScaleNormal="80" workbookViewId="0">
      <selection activeCell="G20" sqref="G20"/>
    </sheetView>
  </sheetViews>
  <sheetFormatPr defaultColWidth="9.140625" defaultRowHeight="15"/>
  <cols>
    <col min="1" max="1" width="9.140625" style="2"/>
    <col min="2" max="2" width="14.7109375" style="2" customWidth="1"/>
    <col min="3" max="3" width="13.7109375" style="2" customWidth="1"/>
    <col min="4" max="4" width="13.42578125" style="2" customWidth="1"/>
    <col min="5" max="7" width="9.140625" style="2"/>
    <col min="8" max="8" width="14.140625" style="2" customWidth="1"/>
    <col min="9" max="9" width="13.7109375" style="2" customWidth="1"/>
    <col min="10" max="10" width="14.42578125" style="2" customWidth="1"/>
    <col min="11" max="11" width="13.42578125" style="2" customWidth="1"/>
    <col min="12" max="14" width="9.140625" style="39"/>
    <col min="15" max="15" width="25.42578125" style="68" customWidth="1"/>
    <col min="16" max="25" width="9.140625" style="68"/>
    <col min="26" max="16384" width="9.140625" style="2"/>
  </cols>
  <sheetData>
    <row r="1" spans="1:25" s="326" customFormat="1">
      <c r="A1" s="326" t="s">
        <v>142</v>
      </c>
    </row>
    <row r="2" spans="1:25" s="326" customFormat="1"/>
    <row r="4" spans="1:25">
      <c r="B4" s="5" t="s">
        <v>143</v>
      </c>
      <c r="C4" s="3"/>
      <c r="N4" s="12"/>
      <c r="O4" s="12"/>
      <c r="P4" s="12"/>
      <c r="Q4" s="12"/>
      <c r="R4" s="12"/>
      <c r="S4" s="12"/>
      <c r="T4" s="12"/>
    </row>
    <row r="5" spans="1:25">
      <c r="N5" s="12"/>
      <c r="O5" s="12"/>
      <c r="P5" s="12"/>
      <c r="Q5" s="12"/>
      <c r="R5" s="12"/>
      <c r="S5" s="12"/>
      <c r="T5" s="12"/>
    </row>
    <row r="6" spans="1:25">
      <c r="B6" s="7" t="s">
        <v>144</v>
      </c>
      <c r="C6" s="324" t="s">
        <v>5</v>
      </c>
      <c r="D6" s="324"/>
      <c r="E6" s="324"/>
      <c r="I6" s="1" t="s">
        <v>145</v>
      </c>
      <c r="J6" s="325" t="s">
        <v>6</v>
      </c>
      <c r="K6" s="325"/>
      <c r="L6" s="325"/>
      <c r="N6" s="12"/>
      <c r="O6" s="12" t="s">
        <v>146</v>
      </c>
      <c r="P6" s="74">
        <f>'Summary Page'!E103</f>
        <v>1.052E-2</v>
      </c>
      <c r="Q6" s="13">
        <f>IF($C$18="Natural Gas - Commercial",P6,0)</f>
        <v>0</v>
      </c>
      <c r="R6" s="12"/>
      <c r="S6" s="12"/>
      <c r="T6" s="12"/>
    </row>
    <row r="7" spans="1:25" s="90" customFormat="1">
      <c r="B7" s="91"/>
      <c r="C7" s="92"/>
      <c r="D7" s="92"/>
      <c r="E7" s="92"/>
      <c r="I7" s="93"/>
      <c r="J7" s="94"/>
      <c r="K7" s="94"/>
      <c r="L7" s="94"/>
      <c r="M7" s="95"/>
      <c r="N7" s="96"/>
      <c r="O7" s="96" t="s">
        <v>147</v>
      </c>
      <c r="P7" s="97">
        <f>'Summary Page'!E104</f>
        <v>4.3709177868852499E-3</v>
      </c>
      <c r="Q7" s="97">
        <f>IF($C$18="Natural Gas - Calvin",P7,0)</f>
        <v>4.3709177868852499E-3</v>
      </c>
      <c r="R7" s="96"/>
      <c r="S7" s="96"/>
      <c r="T7" s="96"/>
      <c r="U7" s="99"/>
      <c r="V7" s="99"/>
      <c r="W7" s="99"/>
      <c r="X7" s="99"/>
      <c r="Y7" s="99"/>
    </row>
    <row r="8" spans="1:25" ht="18.75" customHeight="1">
      <c r="B8" s="88" t="s">
        <v>148</v>
      </c>
      <c r="C8" s="329" t="s">
        <v>149</v>
      </c>
      <c r="D8" s="330"/>
      <c r="E8" s="331"/>
      <c r="F8" s="87"/>
      <c r="G8" s="87"/>
      <c r="H8" s="87"/>
      <c r="I8" s="89" t="s">
        <v>148</v>
      </c>
      <c r="J8" s="329" t="s">
        <v>150</v>
      </c>
      <c r="K8" s="330"/>
      <c r="L8" s="331"/>
      <c r="N8" s="12"/>
      <c r="O8" s="12" t="s">
        <v>151</v>
      </c>
      <c r="P8" s="74">
        <f>'Summary Page'!E105</f>
        <v>2.1100000000000001E-2</v>
      </c>
      <c r="Q8" s="13">
        <f>IF($C$18="Gasoline",P8,0)</f>
        <v>0</v>
      </c>
      <c r="R8" s="12"/>
      <c r="S8" s="12"/>
      <c r="T8" s="12"/>
    </row>
    <row r="9" spans="1:25" ht="66.75" customHeight="1">
      <c r="B9" s="88"/>
      <c r="C9" s="332"/>
      <c r="D9" s="333"/>
      <c r="E9" s="334"/>
      <c r="F9" s="87"/>
      <c r="G9" s="87"/>
      <c r="H9" s="87"/>
      <c r="I9" s="88"/>
      <c r="J9" s="332"/>
      <c r="K9" s="333"/>
      <c r="L9" s="334"/>
      <c r="N9" s="12"/>
      <c r="O9" s="12" t="s">
        <v>152</v>
      </c>
      <c r="P9" s="74">
        <f>'Summary Page'!E106</f>
        <v>0.04</v>
      </c>
      <c r="Q9" s="13">
        <f>IF($C$18="Electricity - Commercial",P9,0)</f>
        <v>0</v>
      </c>
      <c r="R9" s="12"/>
      <c r="S9" s="12"/>
      <c r="T9" s="12"/>
    </row>
    <row r="10" spans="1:25">
      <c r="B10" s="6"/>
      <c r="C10" s="5"/>
      <c r="D10" s="5"/>
      <c r="E10" s="5"/>
      <c r="F10" s="5"/>
      <c r="G10" s="5"/>
      <c r="H10" s="5"/>
      <c r="I10" s="5"/>
      <c r="J10" s="5"/>
      <c r="K10" s="5"/>
      <c r="L10" s="59"/>
      <c r="N10" s="12"/>
      <c r="O10" s="12" t="s">
        <v>153</v>
      </c>
      <c r="P10" s="74">
        <f>'Summary Page'!E107</f>
        <v>2.2680555555555554E-2</v>
      </c>
      <c r="Q10" s="13">
        <f>IF($C$18="Electricity - Calvin",P10,0)</f>
        <v>0</v>
      </c>
      <c r="R10" s="12"/>
      <c r="S10" s="12"/>
      <c r="T10" s="12"/>
    </row>
    <row r="11" spans="1:25">
      <c r="C11" s="212" t="s">
        <v>79</v>
      </c>
      <c r="D11" s="212" t="s">
        <v>80</v>
      </c>
      <c r="J11" s="212" t="s">
        <v>79</v>
      </c>
      <c r="K11" s="212" t="s">
        <v>80</v>
      </c>
      <c r="N11" s="12"/>
      <c r="O11" s="12"/>
      <c r="P11" s="74"/>
      <c r="Q11" s="74">
        <f>SUM(Q6:Q10)</f>
        <v>4.3709177868852499E-3</v>
      </c>
      <c r="R11" s="12"/>
      <c r="S11" s="12"/>
      <c r="T11" s="12"/>
    </row>
    <row r="12" spans="1:25" ht="30">
      <c r="B12" s="213" t="s">
        <v>154</v>
      </c>
      <c r="C12" s="71">
        <v>1169.8699999999999</v>
      </c>
      <c r="D12" s="71">
        <v>1527.06</v>
      </c>
      <c r="I12" s="213" t="s">
        <v>154</v>
      </c>
      <c r="J12" s="71">
        <v>186.16</v>
      </c>
      <c r="K12" s="71">
        <v>94.42</v>
      </c>
      <c r="N12" s="12"/>
      <c r="O12" s="12"/>
      <c r="P12" s="74"/>
      <c r="Q12" s="12"/>
      <c r="R12" s="12"/>
      <c r="S12" s="12"/>
      <c r="T12" s="12"/>
    </row>
    <row r="13" spans="1:25" ht="30">
      <c r="B13" s="213" t="s">
        <v>155</v>
      </c>
      <c r="C13" s="71">
        <v>2042437.24</v>
      </c>
      <c r="D13" s="71">
        <v>3211361.29</v>
      </c>
      <c r="I13" s="213" t="s">
        <v>155</v>
      </c>
      <c r="J13" s="71">
        <v>1800</v>
      </c>
      <c r="K13" s="71">
        <v>2382</v>
      </c>
      <c r="N13" s="12"/>
      <c r="O13" s="12" t="s">
        <v>146</v>
      </c>
      <c r="P13" s="74">
        <f>'Summary Page'!E103</f>
        <v>1.052E-2</v>
      </c>
      <c r="Q13" s="13">
        <f>IF($J$18="Natural Gas - Commercial",P13,0)</f>
        <v>0</v>
      </c>
      <c r="R13" s="12"/>
      <c r="S13" s="12"/>
      <c r="T13" s="12"/>
    </row>
    <row r="14" spans="1:25" ht="30">
      <c r="B14" s="213" t="s">
        <v>156</v>
      </c>
      <c r="C14" s="71">
        <v>21140.3</v>
      </c>
      <c r="D14" s="71">
        <v>32157.07</v>
      </c>
      <c r="I14" s="213" t="s">
        <v>156</v>
      </c>
      <c r="J14" s="71">
        <v>83.33</v>
      </c>
      <c r="K14" s="71">
        <v>100</v>
      </c>
      <c r="N14" s="12"/>
      <c r="O14" s="12" t="s">
        <v>147</v>
      </c>
      <c r="P14" s="74">
        <f>'Summary Page'!E104</f>
        <v>4.3709177868852499E-3</v>
      </c>
      <c r="Q14" s="13">
        <f>IF($J$18="Natural Gas - Calvin",P14,0)</f>
        <v>0</v>
      </c>
      <c r="R14" s="12"/>
      <c r="S14" s="12"/>
      <c r="T14" s="12"/>
    </row>
    <row r="15" spans="1:25">
      <c r="B15" s="213"/>
      <c r="I15" s="213"/>
      <c r="N15" s="12"/>
      <c r="O15" s="12" t="s">
        <v>151</v>
      </c>
      <c r="P15" s="74">
        <f>'Summary Page'!E105</f>
        <v>2.1100000000000001E-2</v>
      </c>
      <c r="Q15" s="13">
        <f>IF($J$18="Gasoline",P15,0)</f>
        <v>0</v>
      </c>
      <c r="R15" s="12"/>
      <c r="S15" s="12"/>
      <c r="T15" s="12"/>
    </row>
    <row r="16" spans="1:25" ht="30">
      <c r="B16" s="213" t="s">
        <v>157</v>
      </c>
      <c r="C16" s="143">
        <v>8.548</v>
      </c>
      <c r="I16" s="213" t="s">
        <v>157</v>
      </c>
      <c r="J16" s="9">
        <v>8.4</v>
      </c>
      <c r="N16" s="12"/>
      <c r="O16" s="12" t="s">
        <v>152</v>
      </c>
      <c r="P16" s="74">
        <f>'Summary Page'!E106</f>
        <v>0.04</v>
      </c>
      <c r="Q16" s="13">
        <f>IF($J$18="Electricity - Commercial",P16,0)</f>
        <v>0.04</v>
      </c>
      <c r="R16" s="12"/>
      <c r="S16" s="12"/>
      <c r="T16" s="12"/>
    </row>
    <row r="17" spans="2:20">
      <c r="B17" s="213"/>
      <c r="C17" s="213"/>
      <c r="D17" s="213"/>
      <c r="E17" s="213"/>
      <c r="F17" s="213"/>
      <c r="G17" s="213"/>
      <c r="H17" s="213"/>
      <c r="I17" s="213"/>
      <c r="J17" s="213"/>
      <c r="N17" s="12"/>
      <c r="O17" s="12" t="s">
        <v>153</v>
      </c>
      <c r="P17" s="74">
        <f>'Summary Page'!E107</f>
        <v>2.2680555555555554E-2</v>
      </c>
      <c r="Q17" s="13">
        <f>IF($J$18="Electricity - Calvin",P17,0)</f>
        <v>0</v>
      </c>
      <c r="R17" s="12"/>
      <c r="S17" s="12"/>
      <c r="T17" s="12"/>
    </row>
    <row r="18" spans="2:20" ht="30">
      <c r="B18" s="14" t="s">
        <v>158</v>
      </c>
      <c r="C18" s="23" t="s">
        <v>147</v>
      </c>
      <c r="D18" s="72">
        <f>Q11</f>
        <v>4.3709177868852499E-3</v>
      </c>
      <c r="E18" s="213" t="s">
        <v>159</v>
      </c>
      <c r="F18" s="213"/>
      <c r="G18" s="213"/>
      <c r="H18" s="213"/>
      <c r="I18" s="14" t="s">
        <v>158</v>
      </c>
      <c r="J18" s="23" t="s">
        <v>152</v>
      </c>
      <c r="K18" s="100">
        <f>Q18</f>
        <v>0.04</v>
      </c>
      <c r="L18" s="60" t="s">
        <v>159</v>
      </c>
      <c r="N18" s="12"/>
      <c r="O18" s="12"/>
      <c r="P18" s="12"/>
      <c r="Q18" s="13">
        <f>SUM(Q13:Q17)</f>
        <v>0.04</v>
      </c>
      <c r="R18" s="12"/>
      <c r="S18" s="12"/>
      <c r="T18" s="12"/>
    </row>
    <row r="19" spans="2:20" ht="29.1" customHeight="1">
      <c r="B19" s="14"/>
      <c r="C19" s="212" t="s">
        <v>79</v>
      </c>
      <c r="D19" s="212" t="s">
        <v>80</v>
      </c>
      <c r="E19" s="14"/>
      <c r="F19" s="14"/>
      <c r="G19" s="14"/>
      <c r="H19" s="14"/>
      <c r="I19" s="14"/>
      <c r="J19" s="212" t="s">
        <v>79</v>
      </c>
      <c r="K19" s="212" t="s">
        <v>80</v>
      </c>
      <c r="L19" s="60"/>
      <c r="N19" s="12"/>
      <c r="O19" s="12"/>
      <c r="P19" s="12"/>
      <c r="Q19" s="12"/>
      <c r="R19" s="12"/>
      <c r="S19" s="12"/>
      <c r="T19" s="12"/>
    </row>
    <row r="20" spans="2:20" ht="29.1" customHeight="1">
      <c r="B20" s="174" t="s">
        <v>124</v>
      </c>
      <c r="C20" s="23">
        <v>5</v>
      </c>
      <c r="D20" s="23">
        <v>5</v>
      </c>
      <c r="E20" s="213"/>
      <c r="F20" s="213"/>
      <c r="G20" s="213"/>
      <c r="H20" s="213"/>
      <c r="I20" s="174" t="s">
        <v>124</v>
      </c>
      <c r="J20" s="23">
        <v>15</v>
      </c>
      <c r="K20" s="23">
        <v>10</v>
      </c>
      <c r="L20" s="60"/>
      <c r="N20" s="12"/>
      <c r="O20" s="12"/>
      <c r="P20" s="12"/>
      <c r="Q20" s="12"/>
      <c r="R20" s="12"/>
      <c r="S20" s="12"/>
      <c r="T20" s="12"/>
    </row>
    <row r="21" spans="2:20" ht="29.1" customHeight="1"/>
    <row r="22" spans="2:20" ht="29.1" customHeight="1">
      <c r="B22" s="5" t="s">
        <v>160</v>
      </c>
      <c r="C22" s="4"/>
      <c r="I22" s="5"/>
    </row>
    <row r="23" spans="2:20" ht="29.1" customHeight="1"/>
    <row r="24" spans="2:20" ht="29.1" customHeight="1">
      <c r="B24" s="327" t="s">
        <v>161</v>
      </c>
      <c r="C24" s="328"/>
      <c r="D24" s="8">
        <f>C12-D12</f>
        <v>-357.19000000000005</v>
      </c>
      <c r="I24" s="327" t="s">
        <v>161</v>
      </c>
      <c r="J24" s="328"/>
      <c r="K24" s="8">
        <f>J12-K12</f>
        <v>91.74</v>
      </c>
    </row>
    <row r="25" spans="2:20">
      <c r="B25" s="327" t="s">
        <v>162</v>
      </c>
      <c r="C25" s="327"/>
      <c r="D25" s="8">
        <f>D13-C13</f>
        <v>1168924.05</v>
      </c>
      <c r="I25" s="327" t="s">
        <v>162</v>
      </c>
      <c r="J25" s="327"/>
      <c r="K25" s="8">
        <f>K13-J13</f>
        <v>582</v>
      </c>
    </row>
    <row r="26" spans="2:20">
      <c r="B26" s="335" t="s">
        <v>163</v>
      </c>
      <c r="C26" s="336"/>
      <c r="D26" s="8">
        <f>C14-D14</f>
        <v>-11016.77</v>
      </c>
      <c r="I26" s="335" t="s">
        <v>163</v>
      </c>
      <c r="J26" s="336"/>
      <c r="K26" s="8">
        <f>J14-K14</f>
        <v>-16.670000000000002</v>
      </c>
    </row>
    <row r="27" spans="2:20">
      <c r="B27" s="335" t="s">
        <v>164</v>
      </c>
      <c r="C27" s="336"/>
      <c r="D27" s="8">
        <f>D25*(1-(C16/100))</f>
        <v>1069004.422206</v>
      </c>
      <c r="I27" s="335" t="s">
        <v>164</v>
      </c>
      <c r="J27" s="336"/>
      <c r="K27" s="8">
        <f>K25*(1-(J16/100))</f>
        <v>533.11199999999997</v>
      </c>
    </row>
    <row r="28" spans="2:20">
      <c r="B28" s="335" t="s">
        <v>165</v>
      </c>
      <c r="C28" s="336"/>
      <c r="D28" s="8">
        <f>D24/D25</f>
        <v>-3.0557160664116718E-4</v>
      </c>
      <c r="I28" s="335" t="s">
        <v>165</v>
      </c>
      <c r="J28" s="336"/>
      <c r="K28" s="8">
        <f>K24/K25</f>
        <v>0.15762886597938144</v>
      </c>
    </row>
    <row r="29" spans="2:20">
      <c r="B29" s="335" t="s">
        <v>166</v>
      </c>
      <c r="C29" s="336"/>
      <c r="D29" s="62">
        <f>D26/(D18*D25)</f>
        <v>-2.1562313231991053</v>
      </c>
      <c r="I29" s="335" t="s">
        <v>166</v>
      </c>
      <c r="J29" s="336"/>
      <c r="K29" s="61">
        <f>K26/(K18*K25)</f>
        <v>-0.71606529209621994</v>
      </c>
    </row>
  </sheetData>
  <sheetProtection sheet="1" objects="1" scenarios="1"/>
  <mergeCells count="17">
    <mergeCell ref="I26:J26"/>
    <mergeCell ref="B27:C27"/>
    <mergeCell ref="I27:J27"/>
    <mergeCell ref="B28:C28"/>
    <mergeCell ref="B29:C29"/>
    <mergeCell ref="I28:J28"/>
    <mergeCell ref="I29:J29"/>
    <mergeCell ref="B26:C26"/>
    <mergeCell ref="C6:E6"/>
    <mergeCell ref="J6:L6"/>
    <mergeCell ref="A1:XFD2"/>
    <mergeCell ref="B24:C24"/>
    <mergeCell ref="B25:C25"/>
    <mergeCell ref="I24:J24"/>
    <mergeCell ref="I25:J25"/>
    <mergeCell ref="J8:L9"/>
    <mergeCell ref="C8:E9"/>
  </mergeCells>
  <dataValidations count="4">
    <dataValidation type="list" allowBlank="1" showInputMessage="1" showErrorMessage="1" sqref="O13:O14 O6:O10 O16:O17" xr:uid="{105CD877-239E-4E06-8909-444C0EDD5D69}">
      <formula1>$O$6:$O$10</formula1>
    </dataValidation>
    <dataValidation type="list" allowBlank="1" showInputMessage="1" showErrorMessage="1" sqref="O15" xr:uid="{349C3A1F-0661-4423-8A21-B1D8C4BA72CA}">
      <formula1>$O$6:$O$9</formula1>
    </dataValidation>
    <dataValidation type="list" allowBlank="1" showInputMessage="1" showErrorMessage="1" sqref="J18" xr:uid="{C843113F-F350-469A-89F4-5A1947C9C59C}">
      <formula1>$O$12:$O$17</formula1>
    </dataValidation>
    <dataValidation type="list" allowBlank="1" showInputMessage="1" showErrorMessage="1" sqref="C18" xr:uid="{A8ACE189-1576-4941-828C-F0FA8928C051}">
      <formula1>$O$5:$O$10</formula1>
    </dataValidation>
  </dataValidations>
  <pageMargins left="0.7" right="0.7" top="0.75" bottom="0.75" header="0.3" footer="0.3"/>
  <pageSetup orientation="portrait" r:id="rId1"/>
  <ignoredErrors>
    <ignoredError sqref="K25" formula="1"/>
    <ignoredError sqref="K28" evalErro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FDA0-2918-4725-A0F8-B37026D5B6A1}">
  <sheetPr>
    <tabColor theme="9" tint="0.79998168889431442"/>
  </sheetPr>
  <dimension ref="A1:Y29"/>
  <sheetViews>
    <sheetView topLeftCell="A3" zoomScale="73" zoomScaleNormal="73" workbookViewId="0">
      <selection activeCell="J21" sqref="J21"/>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5" width="9.140625" style="39"/>
    <col min="26" max="16384" width="9.140625" style="2"/>
  </cols>
  <sheetData>
    <row r="1" spans="1:25" s="326" customFormat="1">
      <c r="A1" s="326" t="s">
        <v>142</v>
      </c>
    </row>
    <row r="2" spans="1:25" s="326" customFormat="1"/>
    <row r="4" spans="1:25">
      <c r="B4" s="5" t="s">
        <v>143</v>
      </c>
      <c r="C4" s="3"/>
    </row>
    <row r="6" spans="1:25">
      <c r="B6" s="7" t="s">
        <v>144</v>
      </c>
      <c r="C6" s="325" t="s">
        <v>8</v>
      </c>
      <c r="D6" s="325"/>
      <c r="E6" s="325"/>
      <c r="I6" s="1" t="s">
        <v>145</v>
      </c>
      <c r="J6" s="325" t="s">
        <v>9</v>
      </c>
      <c r="K6" s="325"/>
      <c r="L6" s="325"/>
      <c r="O6" s="12" t="s">
        <v>146</v>
      </c>
      <c r="P6" s="74">
        <f>'Summary Page'!E103</f>
        <v>1.052E-2</v>
      </c>
      <c r="Q6" s="74">
        <f>IF($C$18="Natural Gas - Commercial",P6,0)</f>
        <v>0</v>
      </c>
    </row>
    <row r="7" spans="1:25" s="90" customFormat="1">
      <c r="B7" s="91"/>
      <c r="C7" s="94"/>
      <c r="D7" s="94"/>
      <c r="E7" s="94"/>
      <c r="I7" s="93"/>
      <c r="J7" s="94"/>
      <c r="K7" s="94"/>
      <c r="L7" s="94"/>
      <c r="M7" s="95"/>
      <c r="N7" s="95"/>
      <c r="O7" s="96" t="s">
        <v>147</v>
      </c>
      <c r="P7" s="97">
        <f>'Summary Page'!E104</f>
        <v>4.3709177868852499E-3</v>
      </c>
      <c r="Q7" s="97">
        <f>IF($C$18="Natural Gas - Calvin",P7,0)</f>
        <v>0</v>
      </c>
      <c r="R7" s="95"/>
      <c r="S7" s="95"/>
      <c r="T7" s="95"/>
      <c r="U7" s="95"/>
      <c r="V7" s="95"/>
      <c r="W7" s="95"/>
      <c r="X7" s="95"/>
      <c r="Y7" s="95"/>
    </row>
    <row r="8" spans="1:25" ht="33.75" customHeight="1">
      <c r="B8" s="85" t="s">
        <v>148</v>
      </c>
      <c r="C8" s="337" t="s">
        <v>167</v>
      </c>
      <c r="D8" s="338"/>
      <c r="E8" s="339"/>
      <c r="I8" s="86" t="s">
        <v>148</v>
      </c>
      <c r="J8" s="337" t="s">
        <v>168</v>
      </c>
      <c r="K8" s="338"/>
      <c r="L8" s="339"/>
      <c r="O8" s="12" t="s">
        <v>151</v>
      </c>
      <c r="P8" s="74">
        <f>'Summary Page'!E105</f>
        <v>2.1100000000000001E-2</v>
      </c>
      <c r="Q8" s="74">
        <f>IF($C$18="Gasoline",P8,0)</f>
        <v>0</v>
      </c>
    </row>
    <row r="9" spans="1:25" ht="48" customHeight="1">
      <c r="B9" s="82"/>
      <c r="C9" s="340"/>
      <c r="D9" s="341"/>
      <c r="E9" s="342"/>
      <c r="I9" s="83"/>
      <c r="J9" s="340"/>
      <c r="K9" s="341"/>
      <c r="L9" s="342"/>
      <c r="O9" s="12" t="s">
        <v>152</v>
      </c>
      <c r="P9" s="74">
        <f>'Summary Page'!E106</f>
        <v>0.04</v>
      </c>
      <c r="Q9" s="74">
        <f>IF($C$18="Electricity - Commercial",P9,0)</f>
        <v>0.04</v>
      </c>
    </row>
    <row r="10" spans="1:25">
      <c r="B10" s="82"/>
      <c r="C10" s="84"/>
      <c r="D10" s="84"/>
      <c r="E10" s="84"/>
      <c r="I10" s="83"/>
      <c r="J10" s="84"/>
      <c r="K10" s="84"/>
      <c r="L10" s="84"/>
      <c r="O10" s="12" t="s">
        <v>153</v>
      </c>
      <c r="P10" s="74">
        <f>'Summary Page'!E107</f>
        <v>2.2680555555555554E-2</v>
      </c>
      <c r="Q10" s="74">
        <f>IF($C$18="Electricity - Calvin",P10,0)</f>
        <v>0</v>
      </c>
    </row>
    <row r="11" spans="1:25">
      <c r="C11" s="212" t="s">
        <v>79</v>
      </c>
      <c r="D11" s="212" t="s">
        <v>80</v>
      </c>
      <c r="J11" s="212" t="s">
        <v>79</v>
      </c>
      <c r="K11" s="212" t="s">
        <v>80</v>
      </c>
      <c r="O11" s="12"/>
      <c r="P11" s="74"/>
      <c r="Q11" s="74">
        <f>SUM(Q6:Q10)</f>
        <v>0.04</v>
      </c>
    </row>
    <row r="12" spans="1:25" ht="30">
      <c r="B12" s="213" t="s">
        <v>154</v>
      </c>
      <c r="C12" s="71">
        <v>108.1412037037037</v>
      </c>
      <c r="D12" s="71">
        <v>69.628981481481475</v>
      </c>
      <c r="I12" s="213" t="s">
        <v>154</v>
      </c>
      <c r="J12" s="71">
        <v>14936</v>
      </c>
      <c r="K12" s="71">
        <v>16504</v>
      </c>
      <c r="O12" s="12"/>
      <c r="P12" s="74"/>
      <c r="Q12" s="74"/>
    </row>
    <row r="13" spans="1:25" ht="30">
      <c r="B13" s="213" t="s">
        <v>155</v>
      </c>
      <c r="C13" s="71">
        <v>8289.8101119940948</v>
      </c>
      <c r="D13" s="71">
        <v>9066.0388000000003</v>
      </c>
      <c r="I13" s="213" t="s">
        <v>155</v>
      </c>
      <c r="J13" s="71">
        <f>2.43*10^8</f>
        <v>243000000.00000003</v>
      </c>
      <c r="K13" s="71">
        <f>2.7*10^8</f>
        <v>270000000</v>
      </c>
      <c r="O13" s="12" t="s">
        <v>146</v>
      </c>
      <c r="P13" s="74">
        <f>'Summary Page'!E103</f>
        <v>1.052E-2</v>
      </c>
      <c r="Q13" s="74">
        <f>IF($J$18="Natural Gas - Commercial",P13,0)</f>
        <v>0</v>
      </c>
    </row>
    <row r="14" spans="1:25" ht="30">
      <c r="B14" s="213" t="s">
        <v>156</v>
      </c>
      <c r="C14" s="71">
        <v>20661.666666666701</v>
      </c>
      <c r="D14" s="71">
        <v>19000</v>
      </c>
      <c r="I14" s="213" t="s">
        <v>156</v>
      </c>
      <c r="J14" s="71">
        <v>8801</v>
      </c>
      <c r="K14" s="71">
        <v>7625</v>
      </c>
      <c r="O14" s="12" t="s">
        <v>147</v>
      </c>
      <c r="P14" s="74">
        <f>'Summary Page'!E104</f>
        <v>4.3709177868852499E-3</v>
      </c>
      <c r="Q14" s="74">
        <f>IF($J$18="Natural Gas - Calvin",P14,0)</f>
        <v>4.3709177868852499E-3</v>
      </c>
    </row>
    <row r="15" spans="1:25">
      <c r="B15" s="213"/>
      <c r="I15" s="213"/>
      <c r="O15" s="12" t="s">
        <v>151</v>
      </c>
      <c r="P15" s="74">
        <f>'Summary Page'!E105</f>
        <v>2.1100000000000001E-2</v>
      </c>
      <c r="Q15" s="74">
        <f>IF($J$18="Gasoline",P15,0)</f>
        <v>0</v>
      </c>
    </row>
    <row r="16" spans="1:25" ht="30">
      <c r="B16" s="213" t="s">
        <v>157</v>
      </c>
      <c r="C16" s="9">
        <v>0</v>
      </c>
      <c r="I16" s="213" t="s">
        <v>157</v>
      </c>
      <c r="J16" s="9">
        <v>0</v>
      </c>
      <c r="O16" s="12" t="s">
        <v>152</v>
      </c>
      <c r="P16" s="74">
        <f>'Summary Page'!E106</f>
        <v>0.04</v>
      </c>
      <c r="Q16" s="74">
        <f>IF($J$18="Electricity - Commercial",P16,0)</f>
        <v>0</v>
      </c>
    </row>
    <row r="17" spans="2:18">
      <c r="B17" s="213"/>
      <c r="C17" s="213"/>
      <c r="D17" s="213"/>
      <c r="E17" s="213"/>
      <c r="F17" s="213"/>
      <c r="G17" s="213"/>
      <c r="H17" s="213"/>
      <c r="I17" s="213"/>
      <c r="J17" s="213"/>
      <c r="O17" s="12" t="s">
        <v>153</v>
      </c>
      <c r="P17" s="74">
        <f>'Summary Page'!E107</f>
        <v>2.2680555555555554E-2</v>
      </c>
      <c r="Q17" s="74">
        <f>IF($J$18="Electricity - Calvin",P17,0)</f>
        <v>0</v>
      </c>
    </row>
    <row r="18" spans="2:18" ht="30">
      <c r="B18" s="14" t="s">
        <v>158</v>
      </c>
      <c r="C18" s="23" t="s">
        <v>152</v>
      </c>
      <c r="D18" s="72">
        <f>Q11</f>
        <v>0.04</v>
      </c>
      <c r="E18" s="213" t="s">
        <v>159</v>
      </c>
      <c r="F18" s="213"/>
      <c r="G18" s="213"/>
      <c r="H18" s="213"/>
      <c r="I18" s="14" t="s">
        <v>158</v>
      </c>
      <c r="J18" s="23" t="s">
        <v>147</v>
      </c>
      <c r="K18" s="100">
        <f>Q18</f>
        <v>4.3709177868852499E-3</v>
      </c>
      <c r="L18" s="214" t="s">
        <v>159</v>
      </c>
      <c r="O18" s="12"/>
      <c r="P18" s="74"/>
      <c r="Q18" s="74">
        <f>SUM(Q13:Q17)</f>
        <v>4.3709177868852499E-3</v>
      </c>
    </row>
    <row r="19" spans="2:18" ht="29.1" customHeight="1">
      <c r="B19" s="14"/>
      <c r="C19" s="212" t="s">
        <v>79</v>
      </c>
      <c r="D19" s="212" t="s">
        <v>80</v>
      </c>
      <c r="E19" s="14"/>
      <c r="F19" s="14"/>
      <c r="G19" s="14"/>
      <c r="H19" s="14"/>
      <c r="I19" s="14"/>
      <c r="J19" s="212" t="s">
        <v>79</v>
      </c>
      <c r="K19" s="212" t="s">
        <v>80</v>
      </c>
      <c r="L19" s="60"/>
      <c r="O19" s="12"/>
      <c r="P19" s="12"/>
      <c r="Q19" s="12"/>
      <c r="R19" s="12"/>
    </row>
    <row r="20" spans="2:18" ht="29.1" customHeight="1">
      <c r="B20" s="174" t="s">
        <v>124</v>
      </c>
      <c r="C20" s="23"/>
      <c r="D20" s="23"/>
      <c r="E20" s="213"/>
      <c r="F20" s="213"/>
      <c r="G20" s="213"/>
      <c r="H20" s="213"/>
      <c r="I20" s="174" t="s">
        <v>124</v>
      </c>
      <c r="J20" s="23"/>
      <c r="K20" s="23"/>
      <c r="L20" s="60"/>
    </row>
    <row r="21" spans="2:18" ht="29.1" customHeight="1"/>
    <row r="22" spans="2:18" ht="29.1" customHeight="1">
      <c r="B22" s="5" t="s">
        <v>160</v>
      </c>
      <c r="C22" s="4"/>
      <c r="I22" s="5"/>
    </row>
    <row r="23" spans="2:18" ht="29.1" customHeight="1"/>
    <row r="24" spans="2:18" ht="29.1" customHeight="1">
      <c r="B24" s="327" t="s">
        <v>161</v>
      </c>
      <c r="C24" s="328"/>
      <c r="D24" s="8">
        <f>C12-D12</f>
        <v>38.512222222222221</v>
      </c>
      <c r="I24" s="327" t="s">
        <v>161</v>
      </c>
      <c r="J24" s="328"/>
      <c r="K24" s="8">
        <f>J12-K12</f>
        <v>-1568</v>
      </c>
    </row>
    <row r="25" spans="2:18">
      <c r="B25" s="327" t="s">
        <v>162</v>
      </c>
      <c r="C25" s="327"/>
      <c r="D25" s="8">
        <f>D13-C13</f>
        <v>776.2286880059055</v>
      </c>
      <c r="I25" s="327" t="s">
        <v>162</v>
      </c>
      <c r="J25" s="327"/>
      <c r="K25" s="8">
        <f>K13-J13</f>
        <v>26999999.99999997</v>
      </c>
    </row>
    <row r="26" spans="2:18">
      <c r="B26" s="335" t="s">
        <v>163</v>
      </c>
      <c r="C26" s="336"/>
      <c r="D26" s="110">
        <f>C14-D14</f>
        <v>1661.6666666667006</v>
      </c>
      <c r="I26" s="335" t="s">
        <v>163</v>
      </c>
      <c r="J26" s="336"/>
      <c r="K26" s="8">
        <f>J14-K14</f>
        <v>1176</v>
      </c>
    </row>
    <row r="27" spans="2:18">
      <c r="B27" s="335" t="s">
        <v>164</v>
      </c>
      <c r="C27" s="336"/>
      <c r="D27" s="8">
        <f>D25*(1-(C16/100))</f>
        <v>776.2286880059055</v>
      </c>
      <c r="I27" s="335" t="s">
        <v>164</v>
      </c>
      <c r="J27" s="336"/>
      <c r="K27" s="8">
        <f>K25*(1-(J16/100))</f>
        <v>26999999.99999997</v>
      </c>
    </row>
    <row r="28" spans="2:18">
      <c r="B28" s="335" t="s">
        <v>165</v>
      </c>
      <c r="C28" s="336"/>
      <c r="D28" s="8">
        <f>D24/D25</f>
        <v>4.9614530894443343E-2</v>
      </c>
      <c r="I28" s="335" t="s">
        <v>165</v>
      </c>
      <c r="J28" s="336"/>
      <c r="K28" s="8">
        <f>K24/K25</f>
        <v>-5.8074074074074138E-5</v>
      </c>
    </row>
    <row r="29" spans="2:18">
      <c r="B29" s="335" t="s">
        <v>166</v>
      </c>
      <c r="C29" s="336"/>
      <c r="D29" s="61">
        <f>D26/(D18*D25)</f>
        <v>53.517303996308193</v>
      </c>
      <c r="I29" s="335" t="s">
        <v>166</v>
      </c>
      <c r="J29" s="336"/>
      <c r="K29" s="102">
        <f>K26/(K18*K25)</f>
        <v>9.9648535340202855E-3</v>
      </c>
    </row>
  </sheetData>
  <sheetProtection sheet="1" objects="1" scenarios="1"/>
  <mergeCells count="17">
    <mergeCell ref="B29:C29"/>
    <mergeCell ref="I29:J29"/>
    <mergeCell ref="B26:C26"/>
    <mergeCell ref="I26:J26"/>
    <mergeCell ref="B27:C27"/>
    <mergeCell ref="I27:J27"/>
    <mergeCell ref="B28:C28"/>
    <mergeCell ref="I28:J28"/>
    <mergeCell ref="B25:C25"/>
    <mergeCell ref="I25:J25"/>
    <mergeCell ref="A1:XFD2"/>
    <mergeCell ref="C6:E6"/>
    <mergeCell ref="J6:L6"/>
    <mergeCell ref="B24:C24"/>
    <mergeCell ref="I24:J24"/>
    <mergeCell ref="C8:E9"/>
    <mergeCell ref="J8:L9"/>
  </mergeCells>
  <dataValidations count="4">
    <dataValidation type="list" allowBlank="1" showInputMessage="1" showErrorMessage="1" sqref="O15" xr:uid="{57F42E68-FD9E-4EB6-B447-E02AB586C345}">
      <formula1>$O$6:$O$9</formula1>
    </dataValidation>
    <dataValidation type="list" allowBlank="1" showInputMessage="1" showErrorMessage="1" sqref="O13:O14 O6:O10 O16:O17" xr:uid="{DFEE7570-7ED6-4001-8D4F-D7AE31E4CCFD}">
      <formula1>$O$6:$O$10</formula1>
    </dataValidation>
    <dataValidation type="list" allowBlank="1" showInputMessage="1" showErrorMessage="1" sqref="C18" xr:uid="{A42723AF-BD2C-42DC-9D03-00B1E6F9AB63}">
      <formula1>$O$5:$O$10</formula1>
    </dataValidation>
    <dataValidation type="list" allowBlank="1" showInputMessage="1" showErrorMessage="1" sqref="J18" xr:uid="{4AF1E1C0-401D-421D-9E12-CBAD56893128}">
      <formula1>$O$12:$O$17</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14506-D9AC-4424-B088-B25348461454}">
  <sheetPr>
    <tabColor theme="9" tint="0.79998168889431442"/>
  </sheetPr>
  <dimension ref="A1:W29"/>
  <sheetViews>
    <sheetView topLeftCell="A7" zoomScale="80" zoomScaleNormal="80" workbookViewId="0">
      <selection activeCell="D14" sqref="D14"/>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3" width="9.140625" style="39"/>
    <col min="24" max="16384" width="9.140625" style="2"/>
  </cols>
  <sheetData>
    <row r="1" spans="1:23" s="326" customFormat="1">
      <c r="A1" s="326" t="s">
        <v>142</v>
      </c>
    </row>
    <row r="2" spans="1:23" s="326" customFormat="1"/>
    <row r="4" spans="1:23">
      <c r="B4" s="5" t="s">
        <v>143</v>
      </c>
      <c r="C4" s="3"/>
    </row>
    <row r="5" spans="1:23">
      <c r="O5" s="12"/>
      <c r="P5" s="12"/>
      <c r="Q5" s="12"/>
    </row>
    <row r="6" spans="1:23">
      <c r="B6" s="7" t="s">
        <v>144</v>
      </c>
      <c r="C6" s="325" t="s">
        <v>169</v>
      </c>
      <c r="D6" s="325"/>
      <c r="E6" s="325"/>
      <c r="I6" s="1" t="s">
        <v>145</v>
      </c>
      <c r="J6" s="325" t="s">
        <v>170</v>
      </c>
      <c r="K6" s="325"/>
      <c r="L6" s="325"/>
      <c r="O6" s="12" t="s">
        <v>146</v>
      </c>
      <c r="P6" s="74">
        <f>'Summary Page'!E103</f>
        <v>1.052E-2</v>
      </c>
      <c r="Q6" s="74">
        <f>IF($C$18="Natural Gas - Commercial",P6,0)</f>
        <v>0</v>
      </c>
    </row>
    <row r="7" spans="1:23" s="90" customFormat="1">
      <c r="B7" s="91"/>
      <c r="C7" s="94"/>
      <c r="D7" s="94"/>
      <c r="E7" s="94"/>
      <c r="I7" s="93"/>
      <c r="J7" s="94"/>
      <c r="K7" s="94"/>
      <c r="L7" s="94"/>
      <c r="M7" s="95"/>
      <c r="N7" s="95"/>
      <c r="O7" s="96" t="s">
        <v>147</v>
      </c>
      <c r="P7" s="97">
        <f>'Summary Page'!E104</f>
        <v>4.3709177868852499E-3</v>
      </c>
      <c r="Q7" s="97">
        <f>IF($C$18="Natural Gas - Calvin",P7,0)</f>
        <v>0</v>
      </c>
      <c r="R7" s="95"/>
      <c r="S7" s="95"/>
      <c r="T7" s="95"/>
      <c r="U7" s="95"/>
      <c r="V7" s="95"/>
      <c r="W7" s="95"/>
    </row>
    <row r="8" spans="1:23" ht="36.75" customHeight="1">
      <c r="B8" s="86" t="s">
        <v>148</v>
      </c>
      <c r="C8" s="337" t="s">
        <v>171</v>
      </c>
      <c r="D8" s="338"/>
      <c r="E8" s="339"/>
      <c r="I8" s="86" t="s">
        <v>148</v>
      </c>
      <c r="J8" s="337" t="s">
        <v>172</v>
      </c>
      <c r="K8" s="338"/>
      <c r="L8" s="339"/>
      <c r="O8" s="12" t="s">
        <v>151</v>
      </c>
      <c r="P8" s="74">
        <f>'Summary Page'!E105</f>
        <v>2.1100000000000001E-2</v>
      </c>
      <c r="Q8" s="74">
        <f>IF($C$18="Gasoline",P8,0)</f>
        <v>0</v>
      </c>
    </row>
    <row r="9" spans="1:23" ht="44.25" customHeight="1">
      <c r="B9" s="80"/>
      <c r="C9" s="340"/>
      <c r="D9" s="341"/>
      <c r="E9" s="342"/>
      <c r="I9" s="81"/>
      <c r="J9" s="340"/>
      <c r="K9" s="341"/>
      <c r="L9" s="342"/>
      <c r="O9" s="12" t="s">
        <v>152</v>
      </c>
      <c r="P9" s="74">
        <f>'Summary Page'!E106</f>
        <v>0.04</v>
      </c>
      <c r="Q9" s="74">
        <f>IF($C$18="Electricity - Commercial",P9,0)</f>
        <v>0</v>
      </c>
    </row>
    <row r="10" spans="1:23">
      <c r="B10" s="6"/>
      <c r="C10" s="5"/>
      <c r="D10" s="5"/>
      <c r="E10" s="5"/>
      <c r="F10" s="5"/>
      <c r="G10" s="5"/>
      <c r="H10" s="5"/>
      <c r="I10" s="5"/>
      <c r="J10" s="5"/>
      <c r="K10" s="5"/>
      <c r="L10" s="5"/>
      <c r="O10" s="12" t="s">
        <v>153</v>
      </c>
      <c r="P10" s="74">
        <f>'Summary Page'!E107</f>
        <v>2.2680555555555554E-2</v>
      </c>
      <c r="Q10" s="74">
        <f>IF($C$18="Electricity - Calvin",P10,0)</f>
        <v>2.2680555555555554E-2</v>
      </c>
    </row>
    <row r="11" spans="1:23">
      <c r="C11" s="212" t="s">
        <v>79</v>
      </c>
      <c r="D11" s="212" t="s">
        <v>80</v>
      </c>
      <c r="J11" s="212" t="s">
        <v>79</v>
      </c>
      <c r="K11" s="212" t="s">
        <v>80</v>
      </c>
      <c r="O11" s="12"/>
      <c r="P11" s="74"/>
      <c r="Q11" s="74">
        <f>SUM(Q6:Q10)</f>
        <v>2.2680555555555554E-2</v>
      </c>
    </row>
    <row r="12" spans="1:23" ht="30">
      <c r="B12" s="213" t="s">
        <v>154</v>
      </c>
      <c r="C12" s="71">
        <v>15184</v>
      </c>
      <c r="D12" s="71">
        <v>6691</v>
      </c>
      <c r="I12" s="213" t="s">
        <v>154</v>
      </c>
      <c r="J12" s="71">
        <v>4340</v>
      </c>
      <c r="K12" s="71">
        <v>2911</v>
      </c>
      <c r="O12" s="12"/>
      <c r="P12" s="74"/>
      <c r="Q12" s="74"/>
    </row>
    <row r="13" spans="1:23" ht="30">
      <c r="B13" s="213" t="s">
        <v>155</v>
      </c>
      <c r="C13" s="71">
        <v>374043</v>
      </c>
      <c r="D13" s="71">
        <v>1519747</v>
      </c>
      <c r="I13" s="213" t="s">
        <v>155</v>
      </c>
      <c r="J13" s="71">
        <v>38100</v>
      </c>
      <c r="K13" s="71">
        <v>59531</v>
      </c>
      <c r="O13" s="12" t="s">
        <v>146</v>
      </c>
      <c r="P13" s="74">
        <f>'Summary Page'!E103</f>
        <v>1.052E-2</v>
      </c>
      <c r="Q13" s="74">
        <f>IF($J$18="Natural Gas - Commercial",P13,0)</f>
        <v>0</v>
      </c>
    </row>
    <row r="14" spans="1:23" ht="30">
      <c r="B14" s="213" t="s">
        <v>156</v>
      </c>
      <c r="C14" s="71">
        <v>8721.0499999999993</v>
      </c>
      <c r="D14" s="71">
        <v>9504.2800000000007</v>
      </c>
      <c r="I14" s="213" t="s">
        <v>156</v>
      </c>
      <c r="J14" s="71">
        <v>2017</v>
      </c>
      <c r="K14" s="71">
        <v>1400</v>
      </c>
      <c r="O14" s="12" t="s">
        <v>147</v>
      </c>
      <c r="P14" s="74">
        <f>'Summary Page'!E104</f>
        <v>4.3709177868852499E-3</v>
      </c>
      <c r="Q14" s="74">
        <f>IF($J$18="Natural Gas - Calvin",P14,0)</f>
        <v>0</v>
      </c>
    </row>
    <row r="15" spans="1:23">
      <c r="B15" s="213"/>
      <c r="I15" s="213"/>
      <c r="O15" s="12" t="s">
        <v>151</v>
      </c>
      <c r="P15" s="74">
        <f>'Summary Page'!E105</f>
        <v>2.1100000000000001E-2</v>
      </c>
      <c r="Q15" s="74">
        <f>IF($J$18="Gasoline",P15,0)</f>
        <v>2.1100000000000001E-2</v>
      </c>
    </row>
    <row r="16" spans="1:23" ht="30">
      <c r="B16" s="213" t="s">
        <v>157</v>
      </c>
      <c r="C16" s="9">
        <v>14.58</v>
      </c>
      <c r="I16" s="213" t="s">
        <v>157</v>
      </c>
      <c r="J16" s="9">
        <v>6.04</v>
      </c>
      <c r="O16" s="12" t="s">
        <v>152</v>
      </c>
      <c r="P16" s="74">
        <f>'Summary Page'!E106</f>
        <v>0.04</v>
      </c>
      <c r="Q16" s="74">
        <f>IF($J$18="Electricity - Commercial",P16,0)</f>
        <v>0</v>
      </c>
    </row>
    <row r="17" spans="2:20">
      <c r="B17" s="213"/>
      <c r="C17" s="213"/>
      <c r="D17" s="213"/>
      <c r="E17" s="213"/>
      <c r="F17" s="213"/>
      <c r="G17" s="213"/>
      <c r="H17" s="213"/>
      <c r="I17" s="213"/>
      <c r="J17" s="213"/>
      <c r="O17" s="12" t="s">
        <v>153</v>
      </c>
      <c r="P17" s="74">
        <f>'Summary Page'!E107</f>
        <v>2.2680555555555554E-2</v>
      </c>
      <c r="Q17" s="74">
        <f>IF($J$18="Electricity - Calvin",P17,0)</f>
        <v>0</v>
      </c>
    </row>
    <row r="18" spans="2:20" ht="30">
      <c r="B18" s="14" t="s">
        <v>158</v>
      </c>
      <c r="C18" s="23" t="s">
        <v>153</v>
      </c>
      <c r="D18" s="11">
        <f>Q11</f>
        <v>2.2680555555555554E-2</v>
      </c>
      <c r="E18" s="213" t="s">
        <v>159</v>
      </c>
      <c r="F18" s="213"/>
      <c r="G18" s="213"/>
      <c r="H18" s="213"/>
      <c r="I18" s="14" t="s">
        <v>158</v>
      </c>
      <c r="J18" s="23" t="s">
        <v>151</v>
      </c>
      <c r="K18" s="101">
        <f>Q18</f>
        <v>2.1100000000000001E-2</v>
      </c>
      <c r="L18" s="214" t="s">
        <v>159</v>
      </c>
      <c r="O18" s="12"/>
      <c r="P18" s="12"/>
      <c r="Q18" s="13">
        <f>SUM(Q13:Q17)</f>
        <v>2.1100000000000001E-2</v>
      </c>
    </row>
    <row r="19" spans="2:20" ht="29.1" customHeight="1">
      <c r="B19" s="14"/>
      <c r="C19" s="212" t="s">
        <v>79</v>
      </c>
      <c r="D19" s="212" t="s">
        <v>80</v>
      </c>
      <c r="E19" s="14"/>
      <c r="F19" s="14"/>
      <c r="G19" s="14"/>
      <c r="H19" s="14"/>
      <c r="I19" s="14"/>
      <c r="J19" s="212" t="s">
        <v>79</v>
      </c>
      <c r="K19" s="212" t="s">
        <v>80</v>
      </c>
      <c r="L19" s="60"/>
      <c r="N19" s="12"/>
      <c r="O19" s="12"/>
      <c r="P19" s="12"/>
      <c r="Q19" s="12"/>
      <c r="R19" s="12"/>
      <c r="S19" s="12"/>
      <c r="T19" s="12"/>
    </row>
    <row r="20" spans="2:20" ht="29.1" customHeight="1">
      <c r="B20" s="174" t="s">
        <v>124</v>
      </c>
      <c r="C20" s="23">
        <v>20</v>
      </c>
      <c r="D20" s="23">
        <v>4</v>
      </c>
      <c r="E20" s="213"/>
      <c r="F20" s="213"/>
      <c r="G20" s="213"/>
      <c r="H20" s="213"/>
      <c r="I20" s="174" t="s">
        <v>124</v>
      </c>
      <c r="J20" s="23">
        <v>12</v>
      </c>
      <c r="K20" s="23">
        <v>12</v>
      </c>
      <c r="L20" s="60"/>
      <c r="N20" s="12"/>
      <c r="O20" s="12"/>
      <c r="P20" s="12"/>
      <c r="Q20" s="12"/>
      <c r="R20" s="12"/>
      <c r="S20" s="12"/>
      <c r="T20" s="12"/>
    </row>
    <row r="21" spans="2:20" ht="29.1" customHeight="1"/>
    <row r="22" spans="2:20" ht="29.1" customHeight="1">
      <c r="B22" s="5" t="s">
        <v>160</v>
      </c>
      <c r="C22" s="4"/>
      <c r="I22" s="5"/>
    </row>
    <row r="23" spans="2:20" ht="29.1" customHeight="1"/>
    <row r="24" spans="2:20" ht="29.1" customHeight="1">
      <c r="B24" s="327" t="s">
        <v>161</v>
      </c>
      <c r="C24" s="328"/>
      <c r="D24" s="8">
        <f>C12-D12</f>
        <v>8493</v>
      </c>
      <c r="I24" s="327" t="s">
        <v>161</v>
      </c>
      <c r="J24" s="328"/>
      <c r="K24" s="8">
        <f>J12-K12</f>
        <v>1429</v>
      </c>
    </row>
    <row r="25" spans="2:20">
      <c r="B25" s="327" t="s">
        <v>162</v>
      </c>
      <c r="C25" s="327"/>
      <c r="D25" s="8">
        <f>D13-C13</f>
        <v>1145704</v>
      </c>
      <c r="I25" s="327" t="s">
        <v>162</v>
      </c>
      <c r="J25" s="327"/>
      <c r="K25" s="8">
        <f>K13-J13</f>
        <v>21431</v>
      </c>
    </row>
    <row r="26" spans="2:20">
      <c r="B26" s="335" t="s">
        <v>163</v>
      </c>
      <c r="C26" s="336"/>
      <c r="D26" s="8">
        <f>C14-D14</f>
        <v>-783.23000000000138</v>
      </c>
      <c r="I26" s="335" t="s">
        <v>163</v>
      </c>
      <c r="J26" s="336"/>
      <c r="K26" s="8">
        <f>J14-K14</f>
        <v>617</v>
      </c>
    </row>
    <row r="27" spans="2:20">
      <c r="B27" s="335" t="s">
        <v>164</v>
      </c>
      <c r="C27" s="336"/>
      <c r="D27" s="8">
        <f>D25*(1-(C16/100))</f>
        <v>978660.35679999995</v>
      </c>
      <c r="I27" s="335" t="s">
        <v>164</v>
      </c>
      <c r="J27" s="336"/>
      <c r="K27" s="8">
        <f>K25*(1-(J16/100))</f>
        <v>20136.567599999998</v>
      </c>
    </row>
    <row r="28" spans="2:20">
      <c r="B28" s="335" t="s">
        <v>165</v>
      </c>
      <c r="C28" s="336"/>
      <c r="D28" s="8">
        <f>D24/D25</f>
        <v>7.4129094425785368E-3</v>
      </c>
      <c r="I28" s="335" t="s">
        <v>165</v>
      </c>
      <c r="J28" s="336"/>
      <c r="K28" s="8">
        <f>K24/K25</f>
        <v>6.667910970090056E-2</v>
      </c>
    </row>
    <row r="29" spans="2:20">
      <c r="B29" s="335" t="s">
        <v>166</v>
      </c>
      <c r="C29" s="336"/>
      <c r="D29" s="20">
        <f>D26/(D18*D25)</f>
        <v>-3.0141384437208974E-2</v>
      </c>
      <c r="I29" s="335" t="s">
        <v>166</v>
      </c>
      <c r="J29" s="336"/>
      <c r="K29" s="102">
        <f>K26/(K18*K25)</f>
        <v>1.3644583155773151</v>
      </c>
    </row>
  </sheetData>
  <sheetProtection sheet="1" objects="1" scenarios="1"/>
  <mergeCells count="17">
    <mergeCell ref="B29:C29"/>
    <mergeCell ref="I29:J29"/>
    <mergeCell ref="B26:C26"/>
    <mergeCell ref="I26:J26"/>
    <mergeCell ref="B27:C27"/>
    <mergeCell ref="I27:J27"/>
    <mergeCell ref="B28:C28"/>
    <mergeCell ref="I28:J28"/>
    <mergeCell ref="B25:C25"/>
    <mergeCell ref="I25:J25"/>
    <mergeCell ref="A1:XFD2"/>
    <mergeCell ref="C6:E6"/>
    <mergeCell ref="J6:L6"/>
    <mergeCell ref="B24:C24"/>
    <mergeCell ref="I24:J24"/>
    <mergeCell ref="C8:E9"/>
    <mergeCell ref="J8:L9"/>
  </mergeCells>
  <dataValidations count="4">
    <dataValidation type="list" allowBlank="1" showInputMessage="1" showErrorMessage="1" sqref="O13:O14 O6:O10 O16:O17" xr:uid="{72D81E99-BE0B-4B0A-83A1-28F0F51E2B76}">
      <formula1>$O$6:$O$10</formula1>
    </dataValidation>
    <dataValidation type="list" allowBlank="1" showInputMessage="1" showErrorMessage="1" sqref="O15" xr:uid="{7FBF1909-1D2F-4293-8E68-8AF3156106C3}">
      <formula1>$O$6:$O$9</formula1>
    </dataValidation>
    <dataValidation type="list" allowBlank="1" showInputMessage="1" showErrorMessage="1" sqref="J18" xr:uid="{748F85E5-1702-4F6D-8D08-EA381CABE2A4}">
      <formula1>$O$12:$O$17</formula1>
    </dataValidation>
    <dataValidation type="list" allowBlank="1" showInputMessage="1" showErrorMessage="1" sqref="C18" xr:uid="{68E5087B-9A81-4BF1-8C54-1320BF8B28CB}">
      <formula1>$O$5:$O$10</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8FD43-C5AB-47ED-A564-46FD6ACB6114}">
  <sheetPr>
    <tabColor theme="9" tint="0.79998168889431442"/>
  </sheetPr>
  <dimension ref="A1:V29"/>
  <sheetViews>
    <sheetView zoomScale="80" zoomScaleNormal="80" workbookViewId="0">
      <selection activeCell="J21" sqref="J21"/>
    </sheetView>
  </sheetViews>
  <sheetFormatPr defaultColWidth="9.140625" defaultRowHeight="15"/>
  <cols>
    <col min="1" max="1" width="9.140625" style="2"/>
    <col min="2" max="2" width="14.7109375" style="2" customWidth="1"/>
    <col min="3" max="3" width="16.42578125" style="2" customWidth="1"/>
    <col min="4"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2" width="9.140625" style="39"/>
    <col min="23" max="16384" width="9.140625" style="2"/>
  </cols>
  <sheetData>
    <row r="1" spans="1:22" s="326" customFormat="1">
      <c r="A1" s="326" t="s">
        <v>142</v>
      </c>
    </row>
    <row r="2" spans="1:22" s="326" customFormat="1"/>
    <row r="3" spans="1:22">
      <c r="N3" s="68"/>
      <c r="O3" s="68"/>
      <c r="P3" s="68"/>
      <c r="Q3" s="68"/>
      <c r="R3" s="68"/>
      <c r="S3" s="68"/>
      <c r="T3" s="68"/>
      <c r="U3" s="68"/>
      <c r="V3" s="68"/>
    </row>
    <row r="4" spans="1:22">
      <c r="B4" s="5" t="s">
        <v>143</v>
      </c>
      <c r="C4" s="3"/>
      <c r="N4" s="68"/>
      <c r="O4" s="12"/>
      <c r="P4" s="12"/>
      <c r="Q4" s="12"/>
      <c r="R4" s="68"/>
      <c r="S4" s="68"/>
      <c r="T4" s="68"/>
      <c r="U4" s="68"/>
      <c r="V4" s="68"/>
    </row>
    <row r="5" spans="1:22">
      <c r="N5" s="68"/>
      <c r="O5" s="12"/>
      <c r="P5" s="12"/>
      <c r="Q5" s="12"/>
      <c r="R5" s="68"/>
      <c r="S5" s="68"/>
      <c r="T5" s="68"/>
      <c r="U5" s="68"/>
      <c r="V5" s="68"/>
    </row>
    <row r="6" spans="1:22">
      <c r="B6" s="7" t="s">
        <v>144</v>
      </c>
      <c r="C6" s="325" t="s">
        <v>14</v>
      </c>
      <c r="D6" s="325"/>
      <c r="E6" s="325"/>
      <c r="I6" s="1" t="s">
        <v>145</v>
      </c>
      <c r="J6" s="325" t="s">
        <v>15</v>
      </c>
      <c r="K6" s="325"/>
      <c r="L6" s="325"/>
      <c r="N6" s="68"/>
      <c r="O6" s="12" t="s">
        <v>146</v>
      </c>
      <c r="P6" s="13">
        <f>'Summary Page'!E103</f>
        <v>1.052E-2</v>
      </c>
      <c r="Q6" s="13">
        <f>IF($C$18="Natural Gas - Commercial",P6,0)</f>
        <v>0</v>
      </c>
      <c r="R6" s="68"/>
      <c r="S6" s="68"/>
      <c r="T6" s="68"/>
      <c r="U6" s="68"/>
      <c r="V6" s="68"/>
    </row>
    <row r="7" spans="1:22" s="90" customFormat="1">
      <c r="B7" s="91"/>
      <c r="C7" s="94"/>
      <c r="D7" s="94"/>
      <c r="E7" s="94"/>
      <c r="I7" s="93"/>
      <c r="J7" s="94"/>
      <c r="K7" s="94"/>
      <c r="L7" s="94"/>
      <c r="M7" s="95"/>
      <c r="N7" s="99"/>
      <c r="O7" s="96" t="s">
        <v>147</v>
      </c>
      <c r="P7" s="98">
        <f>'Summary Page'!E104</f>
        <v>4.3709177868852499E-3</v>
      </c>
      <c r="Q7" s="98">
        <f>IF($C$18="Natural Gas - Calvin",P7,0)</f>
        <v>0</v>
      </c>
      <c r="R7" s="99"/>
      <c r="S7" s="99"/>
      <c r="T7" s="99"/>
      <c r="U7" s="99"/>
      <c r="V7" s="99"/>
    </row>
    <row r="8" spans="1:22" ht="40.5" customHeight="1">
      <c r="B8" s="86" t="s">
        <v>148</v>
      </c>
      <c r="C8" s="337" t="s">
        <v>173</v>
      </c>
      <c r="D8" s="338"/>
      <c r="E8" s="339"/>
      <c r="I8" s="86" t="s">
        <v>148</v>
      </c>
      <c r="J8" s="337" t="s">
        <v>173</v>
      </c>
      <c r="K8" s="338"/>
      <c r="L8" s="339"/>
      <c r="N8" s="68"/>
      <c r="O8" s="12" t="s">
        <v>151</v>
      </c>
      <c r="P8" s="13">
        <f>'Summary Page'!E105</f>
        <v>2.1100000000000001E-2</v>
      </c>
      <c r="Q8" s="13">
        <f>IF($C$18="Gasoline",P8,0)</f>
        <v>0</v>
      </c>
      <c r="R8" s="68"/>
      <c r="S8" s="68"/>
      <c r="T8" s="68"/>
      <c r="U8" s="68"/>
      <c r="V8" s="68"/>
    </row>
    <row r="9" spans="1:22" ht="35.25" customHeight="1">
      <c r="B9" s="80"/>
      <c r="C9" s="340"/>
      <c r="D9" s="341"/>
      <c r="E9" s="342"/>
      <c r="I9" s="81"/>
      <c r="J9" s="340"/>
      <c r="K9" s="341"/>
      <c r="L9" s="342"/>
      <c r="N9" s="68"/>
      <c r="O9" s="12" t="s">
        <v>152</v>
      </c>
      <c r="P9" s="13">
        <f>'Summary Page'!E106</f>
        <v>0.04</v>
      </c>
      <c r="Q9" s="13">
        <f>IF($C$18="Electricity - Commercial",P9,0)</f>
        <v>0</v>
      </c>
      <c r="R9" s="68"/>
      <c r="S9" s="68"/>
      <c r="T9" s="68"/>
      <c r="U9" s="68"/>
      <c r="V9" s="68"/>
    </row>
    <row r="10" spans="1:22">
      <c r="B10" s="6"/>
      <c r="C10" s="5"/>
      <c r="D10" s="5"/>
      <c r="E10" s="5"/>
      <c r="F10" s="5"/>
      <c r="G10" s="5"/>
      <c r="H10" s="5"/>
      <c r="I10" s="5"/>
      <c r="J10" s="5"/>
      <c r="K10" s="5"/>
      <c r="L10" s="5"/>
      <c r="N10" s="68"/>
      <c r="O10" s="12" t="s">
        <v>153</v>
      </c>
      <c r="P10" s="13">
        <f>'Summary Page'!E107</f>
        <v>2.2680555555555554E-2</v>
      </c>
      <c r="Q10" s="13">
        <f>IF($C$18="Electricity - Calvin",P10,0)</f>
        <v>0</v>
      </c>
      <c r="R10" s="68"/>
      <c r="S10" s="68"/>
      <c r="T10" s="68"/>
      <c r="U10" s="68"/>
      <c r="V10" s="68"/>
    </row>
    <row r="11" spans="1:22">
      <c r="C11" s="212" t="s">
        <v>79</v>
      </c>
      <c r="D11" s="212" t="s">
        <v>80</v>
      </c>
      <c r="J11" s="212" t="s">
        <v>79</v>
      </c>
      <c r="K11" s="212" t="s">
        <v>80</v>
      </c>
      <c r="N11" s="68"/>
      <c r="O11" s="12"/>
      <c r="P11" s="12"/>
      <c r="Q11" s="13">
        <f>SUM(Q6:Q10)</f>
        <v>0</v>
      </c>
      <c r="R11" s="68"/>
      <c r="S11" s="68"/>
      <c r="T11" s="68"/>
      <c r="U11" s="68"/>
      <c r="V11" s="68"/>
    </row>
    <row r="12" spans="1:22" ht="30">
      <c r="B12" s="213" t="s">
        <v>154</v>
      </c>
      <c r="C12" s="71">
        <v>49</v>
      </c>
      <c r="D12" s="71">
        <v>30</v>
      </c>
      <c r="I12" s="213" t="s">
        <v>154</v>
      </c>
      <c r="J12" s="71">
        <v>290</v>
      </c>
      <c r="K12" s="71">
        <f>218.92</f>
        <v>218.92</v>
      </c>
      <c r="N12" s="68"/>
      <c r="O12" s="12"/>
      <c r="P12" s="12"/>
      <c r="Q12" s="12"/>
      <c r="R12" s="68"/>
      <c r="S12" s="68"/>
      <c r="T12" s="68"/>
      <c r="U12" s="68"/>
      <c r="V12" s="68"/>
    </row>
    <row r="13" spans="1:22" ht="30">
      <c r="B13" s="213" t="s">
        <v>155</v>
      </c>
      <c r="C13" s="71">
        <v>1416</v>
      </c>
      <c r="D13" s="71">
        <v>5254</v>
      </c>
      <c r="I13" s="213" t="s">
        <v>155</v>
      </c>
      <c r="J13" s="71">
        <v>83113</v>
      </c>
      <c r="K13" s="71">
        <v>109880</v>
      </c>
      <c r="N13" s="68"/>
      <c r="O13" s="12" t="s">
        <v>146</v>
      </c>
      <c r="P13" s="13">
        <f>'Summary Page'!E103</f>
        <v>1.052E-2</v>
      </c>
      <c r="Q13" s="13">
        <f>IF($J$18="Natural Gas - Commercial",P13,0)</f>
        <v>1.052E-2</v>
      </c>
      <c r="R13" s="68"/>
      <c r="S13" s="68"/>
      <c r="T13" s="68"/>
      <c r="U13" s="68"/>
      <c r="V13" s="68"/>
    </row>
    <row r="14" spans="1:22" ht="30">
      <c r="B14" s="213" t="s">
        <v>156</v>
      </c>
      <c r="C14" s="71">
        <v>97</v>
      </c>
      <c r="D14" s="71">
        <v>66</v>
      </c>
      <c r="I14" s="213" t="s">
        <v>156</v>
      </c>
      <c r="J14" s="71">
        <v>398.48</v>
      </c>
      <c r="K14" s="71">
        <f>377.8</f>
        <v>377.8</v>
      </c>
      <c r="N14" s="68"/>
      <c r="O14" s="12" t="s">
        <v>147</v>
      </c>
      <c r="P14" s="13">
        <f>'Summary Page'!E104</f>
        <v>4.3709177868852499E-3</v>
      </c>
      <c r="Q14" s="13">
        <f>IF($J$18="Natural Gas - Calvin",P14,0)</f>
        <v>0</v>
      </c>
      <c r="R14" s="68"/>
      <c r="S14" s="68"/>
      <c r="T14" s="68"/>
      <c r="U14" s="68"/>
      <c r="V14" s="68"/>
    </row>
    <row r="15" spans="1:22">
      <c r="B15" s="213"/>
      <c r="I15" s="213"/>
      <c r="N15" s="68"/>
      <c r="O15" s="12" t="s">
        <v>151</v>
      </c>
      <c r="P15" s="13">
        <f>'Summary Page'!E105</f>
        <v>2.1100000000000001E-2</v>
      </c>
      <c r="Q15" s="13">
        <f>IF($J$18="Gasoline",P15,0)</f>
        <v>0</v>
      </c>
      <c r="R15" s="68"/>
      <c r="S15" s="68"/>
      <c r="T15" s="68"/>
      <c r="U15" s="68"/>
      <c r="V15" s="68"/>
    </row>
    <row r="16" spans="1:22" ht="30">
      <c r="B16" s="213" t="s">
        <v>157</v>
      </c>
      <c r="C16" s="9">
        <v>0</v>
      </c>
      <c r="I16" s="213" t="s">
        <v>157</v>
      </c>
      <c r="J16" s="9">
        <v>20</v>
      </c>
      <c r="N16" s="68"/>
      <c r="O16" s="12" t="s">
        <v>152</v>
      </c>
      <c r="P16" s="13">
        <f>'Summary Page'!E106</f>
        <v>0.04</v>
      </c>
      <c r="Q16" s="13">
        <f>IF($J$18="Electricity - Commercial",P16,0)</f>
        <v>0</v>
      </c>
      <c r="R16" s="68"/>
      <c r="S16" s="68"/>
      <c r="T16" s="68"/>
      <c r="U16" s="68"/>
      <c r="V16" s="68"/>
    </row>
    <row r="17" spans="2:22">
      <c r="B17" s="213"/>
      <c r="C17" s="213"/>
      <c r="D17" s="213"/>
      <c r="E17" s="213"/>
      <c r="F17" s="213"/>
      <c r="G17" s="213"/>
      <c r="H17" s="213"/>
      <c r="I17" s="213"/>
      <c r="J17" s="213"/>
      <c r="N17" s="68"/>
      <c r="O17" s="12" t="s">
        <v>153</v>
      </c>
      <c r="P17" s="13">
        <f>'Summary Page'!E107</f>
        <v>2.2680555555555554E-2</v>
      </c>
      <c r="Q17" s="13">
        <f>IF($J$18="Electricity - Calvin",P17,0)</f>
        <v>0</v>
      </c>
      <c r="R17" s="68"/>
      <c r="S17" s="68"/>
      <c r="T17" s="68"/>
      <c r="U17" s="68"/>
      <c r="V17" s="68"/>
    </row>
    <row r="18" spans="2:22" ht="30">
      <c r="B18" s="14"/>
      <c r="C18" s="23" t="s">
        <v>174</v>
      </c>
      <c r="D18" s="109">
        <v>5.0000000000000001E-3</v>
      </c>
      <c r="E18" s="213" t="s">
        <v>159</v>
      </c>
      <c r="F18" s="213"/>
      <c r="G18" s="213"/>
      <c r="H18" s="213"/>
      <c r="I18" s="14" t="s">
        <v>158</v>
      </c>
      <c r="J18" s="23" t="s">
        <v>146</v>
      </c>
      <c r="K18" s="101">
        <f>Q18</f>
        <v>1.052E-2</v>
      </c>
      <c r="L18" s="214" t="s">
        <v>159</v>
      </c>
      <c r="N18" s="68"/>
      <c r="O18" s="12"/>
      <c r="P18" s="12"/>
      <c r="Q18" s="13">
        <f>SUM(Q13:Q17)</f>
        <v>1.052E-2</v>
      </c>
      <c r="R18" s="68"/>
      <c r="S18" s="68"/>
      <c r="T18" s="68"/>
      <c r="U18" s="68"/>
      <c r="V18" s="68"/>
    </row>
    <row r="19" spans="2:22" ht="29.1" customHeight="1">
      <c r="B19" s="14"/>
      <c r="C19" s="212" t="s">
        <v>79</v>
      </c>
      <c r="D19" s="212" t="s">
        <v>80</v>
      </c>
      <c r="E19" s="14"/>
      <c r="F19" s="14"/>
      <c r="G19" s="14"/>
      <c r="H19" s="14"/>
      <c r="I19" s="14"/>
      <c r="J19" s="212" t="s">
        <v>79</v>
      </c>
      <c r="K19" s="212" t="s">
        <v>80</v>
      </c>
      <c r="L19" s="14"/>
      <c r="M19" s="14"/>
      <c r="N19" s="12"/>
      <c r="O19" s="12"/>
      <c r="P19" s="12"/>
      <c r="Q19" s="12"/>
      <c r="R19" s="12"/>
      <c r="S19" s="68"/>
      <c r="T19" s="68"/>
    </row>
    <row r="20" spans="2:22" ht="29.1" customHeight="1">
      <c r="B20" s="174" t="s">
        <v>124</v>
      </c>
      <c r="C20" s="23">
        <v>20</v>
      </c>
      <c r="D20" s="23">
        <v>20</v>
      </c>
      <c r="E20" s="213"/>
      <c r="F20" s="213"/>
      <c r="G20" s="213"/>
      <c r="H20" s="213"/>
      <c r="I20" s="174" t="s">
        <v>124</v>
      </c>
      <c r="J20" s="23">
        <v>10</v>
      </c>
      <c r="K20" s="23">
        <v>10</v>
      </c>
      <c r="L20" s="214"/>
      <c r="N20" s="12"/>
      <c r="O20" s="12"/>
      <c r="P20" s="12"/>
      <c r="Q20" s="12"/>
      <c r="R20" s="12"/>
      <c r="S20" s="68"/>
      <c r="T20" s="68"/>
    </row>
    <row r="21" spans="2:22" ht="29.1" customHeight="1"/>
    <row r="22" spans="2:22" ht="29.1" customHeight="1">
      <c r="B22" s="5" t="s">
        <v>160</v>
      </c>
      <c r="C22" s="4"/>
      <c r="I22" s="5"/>
    </row>
    <row r="23" spans="2:22" ht="29.1" customHeight="1"/>
    <row r="24" spans="2:22" ht="29.1" customHeight="1">
      <c r="B24" s="327" t="s">
        <v>161</v>
      </c>
      <c r="C24" s="328"/>
      <c r="D24" s="110">
        <f>C12-D12</f>
        <v>19</v>
      </c>
      <c r="I24" s="327" t="s">
        <v>161</v>
      </c>
      <c r="J24" s="328"/>
      <c r="K24" s="8">
        <f>J12-K12</f>
        <v>71.080000000000013</v>
      </c>
    </row>
    <row r="25" spans="2:22">
      <c r="B25" s="327" t="s">
        <v>162</v>
      </c>
      <c r="C25" s="327"/>
      <c r="D25" s="110">
        <f>D13-C13</f>
        <v>3838</v>
      </c>
      <c r="I25" s="327" t="s">
        <v>162</v>
      </c>
      <c r="J25" s="327"/>
      <c r="K25" s="8">
        <f>K13-J13</f>
        <v>26767</v>
      </c>
    </row>
    <row r="26" spans="2:22">
      <c r="B26" s="335" t="s">
        <v>163</v>
      </c>
      <c r="C26" s="336"/>
      <c r="D26" s="8">
        <f>C14-D14</f>
        <v>31</v>
      </c>
      <c r="I26" s="335" t="s">
        <v>163</v>
      </c>
      <c r="J26" s="336"/>
      <c r="K26" s="8">
        <f>J14-K14</f>
        <v>20.680000000000007</v>
      </c>
    </row>
    <row r="27" spans="2:22">
      <c r="B27" s="335" t="s">
        <v>164</v>
      </c>
      <c r="C27" s="336"/>
      <c r="D27" s="8">
        <f>D25*(1-(C16/100))</f>
        <v>3838</v>
      </c>
      <c r="I27" s="335" t="s">
        <v>164</v>
      </c>
      <c r="J27" s="336"/>
      <c r="K27" s="8">
        <f>K25*(1-(J16/100))</f>
        <v>21413.600000000002</v>
      </c>
    </row>
    <row r="28" spans="2:22">
      <c r="B28" s="335" t="s">
        <v>165</v>
      </c>
      <c r="C28" s="336"/>
      <c r="D28" s="8">
        <f>D24/D25</f>
        <v>4.9504950495049506E-3</v>
      </c>
      <c r="I28" s="335" t="s">
        <v>165</v>
      </c>
      <c r="J28" s="336"/>
      <c r="K28" s="8">
        <f>K24/K25</f>
        <v>2.6555086487092322E-3</v>
      </c>
    </row>
    <row r="29" spans="2:22">
      <c r="B29" s="335" t="s">
        <v>166</v>
      </c>
      <c r="C29" s="336"/>
      <c r="D29" s="62">
        <f>D26/(D18*D25)</f>
        <v>1.6154247003647733</v>
      </c>
      <c r="I29" s="335" t="s">
        <v>166</v>
      </c>
      <c r="J29" s="336"/>
      <c r="K29" s="8">
        <f>K26/(K18*K25)</f>
        <v>7.3440410493540886E-2</v>
      </c>
    </row>
  </sheetData>
  <sheetProtection sheet="1" objects="1" scenarios="1"/>
  <mergeCells count="17">
    <mergeCell ref="B29:C29"/>
    <mergeCell ref="I29:J29"/>
    <mergeCell ref="B26:C26"/>
    <mergeCell ref="I26:J26"/>
    <mergeCell ref="B27:C27"/>
    <mergeCell ref="I27:J27"/>
    <mergeCell ref="B28:C28"/>
    <mergeCell ref="I28:J28"/>
    <mergeCell ref="B25:C25"/>
    <mergeCell ref="I25:J25"/>
    <mergeCell ref="A1:XFD2"/>
    <mergeCell ref="C6:E6"/>
    <mergeCell ref="J6:L6"/>
    <mergeCell ref="B24:C24"/>
    <mergeCell ref="I24:J24"/>
    <mergeCell ref="C8:E9"/>
    <mergeCell ref="J8:L9"/>
  </mergeCells>
  <dataValidations count="3">
    <dataValidation type="list" allowBlank="1" showInputMessage="1" showErrorMessage="1" sqref="O15" xr:uid="{E7E36FB7-102F-47F8-AA70-6A34022DC2C5}">
      <formula1>$O$6:$O$9</formula1>
    </dataValidation>
    <dataValidation type="list" allowBlank="1" showInputMessage="1" showErrorMessage="1" sqref="O13:O14 O16:O17" xr:uid="{8B12EEF0-9C10-48CA-BA27-5D16D6C21E18}">
      <formula1>$O$6:$O$10</formula1>
    </dataValidation>
    <dataValidation type="list" allowBlank="1" showInputMessage="1" showErrorMessage="1" sqref="J18" xr:uid="{2A0FABA8-4AA3-4A40-A126-A296B49A1FD8}">
      <formula1>$O$12:$O$17</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2ECE0-6A29-4755-ABC6-D0C747682740}">
  <sheetPr>
    <tabColor theme="9" tint="0.79998168889431442"/>
  </sheetPr>
  <dimension ref="A1:V29"/>
  <sheetViews>
    <sheetView zoomScale="110" zoomScaleNormal="110" workbookViewId="0">
      <selection activeCell="K20" sqref="K20"/>
    </sheetView>
  </sheetViews>
  <sheetFormatPr defaultColWidth="9.140625" defaultRowHeight="15"/>
  <cols>
    <col min="1" max="1" width="9.140625" style="2"/>
    <col min="2" max="2" width="14.7109375" style="2" customWidth="1"/>
    <col min="3" max="3" width="17.85546875" style="2" customWidth="1"/>
    <col min="4"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2" width="9.140625" style="39"/>
    <col min="23" max="16384" width="9.140625" style="2"/>
  </cols>
  <sheetData>
    <row r="1" spans="1:22" s="326" customFormat="1">
      <c r="A1" s="326" t="s">
        <v>142</v>
      </c>
    </row>
    <row r="2" spans="1:22" s="326" customFormat="1"/>
    <row r="4" spans="1:22">
      <c r="B4" s="5" t="s">
        <v>143</v>
      </c>
      <c r="C4" s="3"/>
      <c r="N4" s="12"/>
      <c r="O4" s="12"/>
      <c r="P4" s="12"/>
      <c r="Q4" s="12"/>
      <c r="R4" s="12"/>
      <c r="S4" s="12"/>
    </row>
    <row r="5" spans="1:22">
      <c r="N5" s="12"/>
      <c r="O5" s="12"/>
      <c r="P5" s="12"/>
      <c r="Q5" s="12"/>
      <c r="R5" s="12"/>
      <c r="S5" s="12"/>
    </row>
    <row r="6" spans="1:22">
      <c r="B6" s="7" t="s">
        <v>144</v>
      </c>
      <c r="C6" s="325" t="s">
        <v>14</v>
      </c>
      <c r="D6" s="325"/>
      <c r="E6" s="325"/>
      <c r="I6" s="1" t="s">
        <v>145</v>
      </c>
      <c r="J6" s="325" t="s">
        <v>30</v>
      </c>
      <c r="K6" s="325"/>
      <c r="L6" s="325"/>
      <c r="N6" s="12"/>
      <c r="O6" s="12" t="s">
        <v>146</v>
      </c>
      <c r="P6" s="13">
        <f>'Summary Page'!E103</f>
        <v>1.052E-2</v>
      </c>
      <c r="Q6" s="13">
        <f>IF($C$18="Natural Gas - Commercial",P6,0)</f>
        <v>0</v>
      </c>
      <c r="R6" s="12"/>
      <c r="S6" s="12"/>
    </row>
    <row r="7" spans="1:22" s="90" customFormat="1">
      <c r="B7" s="91"/>
      <c r="C7" s="94"/>
      <c r="D7" s="94"/>
      <c r="E7" s="94"/>
      <c r="I7" s="93"/>
      <c r="J7" s="94"/>
      <c r="K7" s="94"/>
      <c r="L7" s="94"/>
      <c r="M7" s="95"/>
      <c r="N7" s="96"/>
      <c r="O7" s="96" t="s">
        <v>147</v>
      </c>
      <c r="P7" s="98">
        <f>'Summary Page'!E104</f>
        <v>4.3709177868852499E-3</v>
      </c>
      <c r="Q7" s="98">
        <f>IF($C$18="Natural Gas - Calvin",P7,0)</f>
        <v>0</v>
      </c>
      <c r="R7" s="96"/>
      <c r="S7" s="96"/>
      <c r="T7" s="95"/>
      <c r="U7" s="95"/>
      <c r="V7" s="95"/>
    </row>
    <row r="8" spans="1:22" ht="39.75" customHeight="1">
      <c r="B8" s="86" t="s">
        <v>148</v>
      </c>
      <c r="C8" s="337" t="s">
        <v>173</v>
      </c>
      <c r="D8" s="338"/>
      <c r="E8" s="339"/>
      <c r="I8" s="86" t="s">
        <v>148</v>
      </c>
      <c r="J8" s="337" t="s">
        <v>173</v>
      </c>
      <c r="K8" s="338"/>
      <c r="L8" s="339"/>
      <c r="N8" s="12"/>
      <c r="O8" s="12" t="s">
        <v>151</v>
      </c>
      <c r="P8" s="13">
        <f>'Summary Page'!E105</f>
        <v>2.1100000000000001E-2</v>
      </c>
      <c r="Q8" s="13">
        <f>IF($C$18="Gasoline",P8,0)</f>
        <v>0</v>
      </c>
      <c r="R8" s="12"/>
      <c r="S8" s="12"/>
    </row>
    <row r="9" spans="1:22" ht="42.75" customHeight="1">
      <c r="B9" s="80"/>
      <c r="C9" s="340"/>
      <c r="D9" s="341"/>
      <c r="E9" s="342"/>
      <c r="I9" s="81"/>
      <c r="J9" s="340"/>
      <c r="K9" s="341"/>
      <c r="L9" s="342"/>
      <c r="N9" s="12"/>
      <c r="O9" s="12" t="s">
        <v>152</v>
      </c>
      <c r="P9" s="13">
        <f>'Summary Page'!E106</f>
        <v>0.04</v>
      </c>
      <c r="Q9" s="13">
        <f>IF($C$18="Electricity - Commercial",P9,0)</f>
        <v>0</v>
      </c>
      <c r="R9" s="12"/>
      <c r="S9" s="12"/>
    </row>
    <row r="10" spans="1:22">
      <c r="B10" s="6"/>
      <c r="C10" s="5"/>
      <c r="D10" s="5"/>
      <c r="E10" s="5"/>
      <c r="F10" s="5"/>
      <c r="G10" s="5"/>
      <c r="H10" s="5"/>
      <c r="I10" s="5"/>
      <c r="J10" s="5"/>
      <c r="K10" s="5"/>
      <c r="L10" s="5"/>
      <c r="N10" s="12"/>
      <c r="O10" s="12" t="s">
        <v>153</v>
      </c>
      <c r="P10" s="13">
        <f>'Summary Page'!E107</f>
        <v>2.2680555555555554E-2</v>
      </c>
      <c r="Q10" s="13">
        <f>IF($C$18="Electricity - Calvin",P10,0)</f>
        <v>0</v>
      </c>
      <c r="R10" s="12"/>
      <c r="S10" s="12"/>
    </row>
    <row r="11" spans="1:22">
      <c r="C11" s="212" t="s">
        <v>79</v>
      </c>
      <c r="D11" s="212" t="s">
        <v>80</v>
      </c>
      <c r="J11" s="212" t="s">
        <v>79</v>
      </c>
      <c r="K11" s="212" t="s">
        <v>80</v>
      </c>
      <c r="N11" s="12"/>
      <c r="O11" s="12"/>
      <c r="P11" s="12"/>
      <c r="Q11" s="13">
        <f>SUM(Q6:Q10)</f>
        <v>0</v>
      </c>
      <c r="R11" s="12"/>
      <c r="S11" s="12"/>
    </row>
    <row r="12" spans="1:22" ht="30">
      <c r="B12" s="213" t="s">
        <v>154</v>
      </c>
      <c r="C12" s="141">
        <v>113</v>
      </c>
      <c r="D12" s="142">
        <v>88</v>
      </c>
      <c r="I12" s="213" t="s">
        <v>154</v>
      </c>
      <c r="J12" s="71">
        <v>4223</v>
      </c>
      <c r="K12" s="71">
        <v>4223</v>
      </c>
      <c r="N12" s="12"/>
      <c r="O12" s="12"/>
      <c r="P12" s="12"/>
      <c r="Q12" s="12"/>
      <c r="R12" s="12"/>
      <c r="S12" s="12"/>
    </row>
    <row r="13" spans="1:22" ht="30">
      <c r="B13" s="213" t="s">
        <v>155</v>
      </c>
      <c r="C13" s="142">
        <v>1017</v>
      </c>
      <c r="D13" s="142">
        <v>1577</v>
      </c>
      <c r="I13" s="213" t="s">
        <v>155</v>
      </c>
      <c r="J13" s="71">
        <v>65690</v>
      </c>
      <c r="K13" s="71">
        <v>76200</v>
      </c>
      <c r="N13" s="12"/>
      <c r="O13" s="12" t="s">
        <v>146</v>
      </c>
      <c r="P13" s="13">
        <f>'Summary Page'!E103</f>
        <v>1.052E-2</v>
      </c>
      <c r="Q13" s="13">
        <f>IF($J$18="Natural Gas - Commercial",P13,0)</f>
        <v>0</v>
      </c>
      <c r="R13" s="12"/>
      <c r="S13" s="12"/>
    </row>
    <row r="14" spans="1:22" ht="30">
      <c r="B14" s="213" t="s">
        <v>156</v>
      </c>
      <c r="C14" s="142">
        <v>98.83</v>
      </c>
      <c r="D14" s="142">
        <v>66.599999999999994</v>
      </c>
      <c r="I14" s="213" t="s">
        <v>156</v>
      </c>
      <c r="J14" s="71">
        <v>1986</v>
      </c>
      <c r="K14" s="71">
        <v>2683</v>
      </c>
      <c r="N14" s="12"/>
      <c r="O14" s="12" t="s">
        <v>147</v>
      </c>
      <c r="P14" s="13">
        <f>'Summary Page'!E104</f>
        <v>4.3709177868852499E-3</v>
      </c>
      <c r="Q14" s="13">
        <f>IF($J$18="Natural Gas - Calvin",P14,0)</f>
        <v>0</v>
      </c>
      <c r="R14" s="12"/>
      <c r="S14" s="12"/>
    </row>
    <row r="15" spans="1:22">
      <c r="B15" s="213"/>
      <c r="I15" s="213"/>
      <c r="N15" s="12"/>
      <c r="O15" s="12" t="s">
        <v>151</v>
      </c>
      <c r="P15" s="13">
        <f>'Summary Page'!E105</f>
        <v>2.1100000000000001E-2</v>
      </c>
      <c r="Q15" s="13">
        <f>IF($J$18="Gasoline",P15,0)</f>
        <v>2.1100000000000001E-2</v>
      </c>
      <c r="R15" s="12"/>
      <c r="S15" s="12"/>
    </row>
    <row r="16" spans="1:22" ht="30">
      <c r="B16" s="213" t="s">
        <v>157</v>
      </c>
      <c r="C16" s="9">
        <v>0</v>
      </c>
      <c r="I16" s="213" t="s">
        <v>157</v>
      </c>
      <c r="J16" s="9">
        <v>6.04</v>
      </c>
      <c r="N16" s="12"/>
      <c r="O16" s="12" t="s">
        <v>152</v>
      </c>
      <c r="P16" s="13">
        <f>'Summary Page'!E106</f>
        <v>0.04</v>
      </c>
      <c r="Q16" s="13">
        <f>IF($J$18="Electricity - Commercial",P16,0)</f>
        <v>0</v>
      </c>
      <c r="R16" s="12"/>
      <c r="S16" s="12"/>
    </row>
    <row r="17" spans="2:19">
      <c r="B17" s="213"/>
      <c r="C17" s="213"/>
      <c r="D17" s="213"/>
      <c r="E17" s="213"/>
      <c r="F17" s="213"/>
      <c r="G17" s="213"/>
      <c r="H17" s="213"/>
      <c r="I17" s="213"/>
      <c r="J17" s="213"/>
      <c r="N17" s="12"/>
      <c r="O17" s="12" t="s">
        <v>153</v>
      </c>
      <c r="P17" s="13">
        <f>'Summary Page'!E107</f>
        <v>2.2680555555555554E-2</v>
      </c>
      <c r="Q17" s="13">
        <f>IF($J$18="Electricity - Calvin",P17,0)</f>
        <v>0</v>
      </c>
      <c r="R17" s="12"/>
      <c r="S17" s="12"/>
    </row>
    <row r="18" spans="2:19" ht="29.25">
      <c r="B18" s="14"/>
      <c r="C18" s="23" t="s">
        <v>175</v>
      </c>
      <c r="D18" s="103">
        <v>5.0000000000000001E-3</v>
      </c>
      <c r="E18" s="213" t="s">
        <v>159</v>
      </c>
      <c r="F18" s="213"/>
      <c r="G18" s="213"/>
      <c r="H18" s="213"/>
      <c r="I18" s="14" t="s">
        <v>158</v>
      </c>
      <c r="J18" s="23" t="s">
        <v>151</v>
      </c>
      <c r="K18" s="101">
        <f>Q18</f>
        <v>2.1100000000000001E-2</v>
      </c>
      <c r="L18" s="214" t="s">
        <v>159</v>
      </c>
      <c r="N18" s="12"/>
      <c r="O18" s="12"/>
      <c r="P18" s="12"/>
      <c r="Q18" s="13">
        <f>SUM(Q13:Q17)</f>
        <v>2.1100000000000001E-2</v>
      </c>
      <c r="R18" s="12"/>
      <c r="S18" s="12"/>
    </row>
    <row r="19" spans="2:19" ht="29.1" customHeight="1">
      <c r="B19" s="14"/>
      <c r="C19" s="212" t="s">
        <v>79</v>
      </c>
      <c r="D19" s="212" t="s">
        <v>80</v>
      </c>
      <c r="E19" s="14"/>
      <c r="F19" s="14"/>
      <c r="G19" s="14"/>
      <c r="H19" s="14"/>
      <c r="I19" s="14"/>
      <c r="J19" s="212" t="s">
        <v>79</v>
      </c>
      <c r="K19" s="212" t="s">
        <v>80</v>
      </c>
      <c r="L19" s="14"/>
      <c r="N19" s="12"/>
      <c r="O19" s="12"/>
      <c r="P19" s="12"/>
      <c r="Q19" s="12"/>
      <c r="R19" s="12"/>
      <c r="S19" s="12"/>
    </row>
    <row r="20" spans="2:19" ht="29.1" customHeight="1">
      <c r="B20" s="174" t="s">
        <v>124</v>
      </c>
      <c r="C20" s="23">
        <v>15</v>
      </c>
      <c r="D20" s="23">
        <v>15</v>
      </c>
      <c r="E20" s="213"/>
      <c r="F20" s="213"/>
      <c r="G20" s="213"/>
      <c r="H20" s="213"/>
      <c r="I20" s="174" t="s">
        <v>124</v>
      </c>
      <c r="J20" s="23">
        <v>12</v>
      </c>
      <c r="K20" s="23">
        <v>12</v>
      </c>
      <c r="L20" s="214"/>
      <c r="N20" s="12"/>
      <c r="O20" s="12"/>
      <c r="P20" s="12"/>
      <c r="Q20" s="12"/>
      <c r="R20" s="12"/>
      <c r="S20" s="12"/>
    </row>
    <row r="21" spans="2:19" ht="29.1" customHeight="1">
      <c r="N21" s="12"/>
      <c r="O21" s="12"/>
      <c r="P21" s="12"/>
      <c r="Q21" s="12"/>
      <c r="R21" s="12"/>
      <c r="S21" s="12"/>
    </row>
    <row r="22" spans="2:19" ht="29.1" customHeight="1">
      <c r="B22" s="5" t="s">
        <v>160</v>
      </c>
      <c r="C22" s="4"/>
      <c r="I22" s="5"/>
    </row>
    <row r="23" spans="2:19" ht="29.1" customHeight="1"/>
    <row r="24" spans="2:19" ht="29.1" customHeight="1">
      <c r="B24" s="327" t="s">
        <v>161</v>
      </c>
      <c r="C24" s="328"/>
      <c r="D24" s="110">
        <f>C12-D12</f>
        <v>25</v>
      </c>
      <c r="I24" s="327" t="s">
        <v>161</v>
      </c>
      <c r="J24" s="328"/>
      <c r="K24" s="8">
        <f>J12-K12</f>
        <v>0</v>
      </c>
    </row>
    <row r="25" spans="2:19">
      <c r="B25" s="327" t="s">
        <v>162</v>
      </c>
      <c r="C25" s="327"/>
      <c r="D25" s="8">
        <f>D13-C13</f>
        <v>560</v>
      </c>
      <c r="I25" s="327" t="s">
        <v>162</v>
      </c>
      <c r="J25" s="327"/>
      <c r="K25" s="8">
        <f>K13-J13</f>
        <v>10510</v>
      </c>
    </row>
    <row r="26" spans="2:19">
      <c r="B26" s="335" t="s">
        <v>163</v>
      </c>
      <c r="C26" s="336"/>
      <c r="D26" s="8">
        <f>C14-D14</f>
        <v>32.230000000000004</v>
      </c>
      <c r="I26" s="335" t="s">
        <v>163</v>
      </c>
      <c r="J26" s="336"/>
      <c r="K26" s="8">
        <f>J14-K14</f>
        <v>-697</v>
      </c>
    </row>
    <row r="27" spans="2:19">
      <c r="B27" s="335" t="s">
        <v>164</v>
      </c>
      <c r="C27" s="336"/>
      <c r="D27" s="8">
        <f>D25*(1-(C16/100))</f>
        <v>560</v>
      </c>
      <c r="I27" s="335" t="s">
        <v>164</v>
      </c>
      <c r="J27" s="336"/>
      <c r="K27" s="8">
        <f>K25*(1-(J16/100))</f>
        <v>9875.1959999999999</v>
      </c>
    </row>
    <row r="28" spans="2:19">
      <c r="B28" s="335" t="s">
        <v>165</v>
      </c>
      <c r="C28" s="336"/>
      <c r="D28" s="8">
        <f>D24/D25</f>
        <v>4.4642857142857144E-2</v>
      </c>
      <c r="I28" s="335" t="s">
        <v>165</v>
      </c>
      <c r="J28" s="336"/>
      <c r="K28" s="8">
        <f>K24/K25</f>
        <v>0</v>
      </c>
    </row>
    <row r="29" spans="2:19">
      <c r="B29" s="335" t="s">
        <v>166</v>
      </c>
      <c r="C29" s="336"/>
      <c r="D29" s="20">
        <f>D26/(D18*D25)</f>
        <v>11.510714285714286</v>
      </c>
      <c r="I29" s="335" t="s">
        <v>166</v>
      </c>
      <c r="J29" s="336"/>
      <c r="K29" s="8">
        <f>K26/(K18*K25)</f>
        <v>-3.1430233449524487</v>
      </c>
    </row>
  </sheetData>
  <sheetProtection sheet="1" objects="1" scenarios="1"/>
  <mergeCells count="17">
    <mergeCell ref="B29:C29"/>
    <mergeCell ref="I29:J29"/>
    <mergeCell ref="B26:C26"/>
    <mergeCell ref="I26:J26"/>
    <mergeCell ref="B27:C27"/>
    <mergeCell ref="I27:J27"/>
    <mergeCell ref="B28:C28"/>
    <mergeCell ref="I28:J28"/>
    <mergeCell ref="B25:C25"/>
    <mergeCell ref="I25:J25"/>
    <mergeCell ref="A1:XFD2"/>
    <mergeCell ref="C6:E6"/>
    <mergeCell ref="J6:L6"/>
    <mergeCell ref="B24:C24"/>
    <mergeCell ref="I24:J24"/>
    <mergeCell ref="C8:E9"/>
    <mergeCell ref="J8:L9"/>
  </mergeCells>
  <dataValidations count="3">
    <dataValidation type="list" allowBlank="1" showInputMessage="1" showErrorMessage="1" sqref="O13:O14 O6:O10 O16:O17" xr:uid="{24759B15-06BA-43A3-8E26-A41490A51D47}">
      <formula1>$O$6:$O$10</formula1>
    </dataValidation>
    <dataValidation type="list" allowBlank="1" showInputMessage="1" showErrorMessage="1" sqref="O15" xr:uid="{C4832D71-6E6C-4B96-AEAC-6F1C60C686CA}">
      <formula1>$O$6:$O$9</formula1>
    </dataValidation>
    <dataValidation type="list" allowBlank="1" showInputMessage="1" showErrorMessage="1" sqref="J18" xr:uid="{6717DCBA-B34B-4D10-BBD3-6279B92A4EF4}">
      <formula1>$O$12:$O$17</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08DB-1714-4DAE-BA93-E6F44A295F1D}">
  <sheetPr>
    <tabColor theme="9" tint="0.79998168889431442"/>
  </sheetPr>
  <dimension ref="A1:V29"/>
  <sheetViews>
    <sheetView topLeftCell="A3" zoomScale="80" zoomScaleNormal="80" workbookViewId="0">
      <selection activeCell="H21" sqref="H21"/>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1" width="9.140625" style="39"/>
    <col min="22" max="16384" width="9.140625" style="2"/>
  </cols>
  <sheetData>
    <row r="1" spans="1:22" s="326" customFormat="1">
      <c r="A1" s="326" t="s">
        <v>142</v>
      </c>
    </row>
    <row r="2" spans="1:22" s="326" customFormat="1"/>
    <row r="3" spans="1:22">
      <c r="N3" s="108"/>
      <c r="O3" s="108"/>
      <c r="P3" s="108"/>
      <c r="Q3" s="108"/>
      <c r="R3" s="108"/>
      <c r="V3" s="39"/>
    </row>
    <row r="4" spans="1:22">
      <c r="B4" s="5" t="s">
        <v>143</v>
      </c>
      <c r="C4" s="3"/>
      <c r="N4" s="12"/>
      <c r="O4" s="12"/>
      <c r="P4" s="12"/>
      <c r="Q4" s="12"/>
      <c r="R4" s="12"/>
      <c r="V4" s="39"/>
    </row>
    <row r="5" spans="1:22">
      <c r="N5" s="12"/>
      <c r="O5" s="12"/>
      <c r="P5" s="12"/>
      <c r="Q5" s="12"/>
      <c r="R5" s="12"/>
      <c r="V5" s="39"/>
    </row>
    <row r="6" spans="1:22">
      <c r="B6" s="7" t="s">
        <v>144</v>
      </c>
      <c r="C6" s="325" t="s">
        <v>19</v>
      </c>
      <c r="D6" s="325"/>
      <c r="E6" s="325"/>
      <c r="I6" s="1" t="s">
        <v>145</v>
      </c>
      <c r="J6" s="325" t="s">
        <v>20</v>
      </c>
      <c r="K6" s="325"/>
      <c r="L6" s="325"/>
      <c r="N6" s="12"/>
      <c r="O6" s="12" t="s">
        <v>146</v>
      </c>
      <c r="P6" s="13">
        <f>'Summary Page'!E103</f>
        <v>1.052E-2</v>
      </c>
      <c r="Q6" s="13">
        <f>IF($C$18="Natural Gas - Commercial",P6,0)</f>
        <v>0</v>
      </c>
      <c r="R6" s="12"/>
      <c r="V6" s="39"/>
    </row>
    <row r="7" spans="1:22" s="90" customFormat="1">
      <c r="B7" s="91"/>
      <c r="C7" s="94"/>
      <c r="D7" s="94"/>
      <c r="E7" s="94"/>
      <c r="I7" s="93"/>
      <c r="J7" s="94"/>
      <c r="K7" s="94"/>
      <c r="L7" s="94"/>
      <c r="M7" s="95"/>
      <c r="N7" s="96"/>
      <c r="O7" s="96" t="s">
        <v>147</v>
      </c>
      <c r="P7" s="98">
        <f>'Summary Page'!E104</f>
        <v>4.3709177868852499E-3</v>
      </c>
      <c r="Q7" s="98">
        <f>IF($C$18="Natural Gas - Calvin",P7,0)</f>
        <v>0</v>
      </c>
      <c r="R7" s="96"/>
      <c r="S7" s="95"/>
      <c r="T7" s="95"/>
      <c r="U7" s="95"/>
      <c r="V7" s="95"/>
    </row>
    <row r="8" spans="1:22" ht="33" customHeight="1">
      <c r="B8" s="86" t="s">
        <v>148</v>
      </c>
      <c r="C8" s="337" t="s">
        <v>176</v>
      </c>
      <c r="D8" s="338"/>
      <c r="E8" s="339"/>
      <c r="I8" s="86" t="s">
        <v>148</v>
      </c>
      <c r="J8" s="337" t="s">
        <v>176</v>
      </c>
      <c r="K8" s="338"/>
      <c r="L8" s="339"/>
      <c r="N8" s="12"/>
      <c r="O8" s="12" t="s">
        <v>151</v>
      </c>
      <c r="P8" s="13">
        <f>'Summary Page'!E105</f>
        <v>2.1100000000000001E-2</v>
      </c>
      <c r="Q8" s="13">
        <f>IF($C$18="Gasoline",P8,0)</f>
        <v>0</v>
      </c>
      <c r="R8" s="12"/>
      <c r="V8" s="39"/>
    </row>
    <row r="9" spans="1:22" ht="43.5" customHeight="1">
      <c r="B9" s="80"/>
      <c r="C9" s="340"/>
      <c r="D9" s="341"/>
      <c r="E9" s="342"/>
      <c r="I9" s="81"/>
      <c r="J9" s="340"/>
      <c r="K9" s="341"/>
      <c r="L9" s="342"/>
      <c r="N9" s="12"/>
      <c r="O9" s="12" t="s">
        <v>152</v>
      </c>
      <c r="P9" s="13">
        <f>'Summary Page'!E106</f>
        <v>0.04</v>
      </c>
      <c r="Q9" s="13">
        <f>IF($C$18="Electricity - Commercial",P9,0)</f>
        <v>0.04</v>
      </c>
      <c r="R9" s="12"/>
      <c r="V9" s="39"/>
    </row>
    <row r="10" spans="1:22">
      <c r="B10" s="6"/>
      <c r="C10" s="5"/>
      <c r="D10" s="5"/>
      <c r="E10" s="5"/>
      <c r="F10" s="5"/>
      <c r="G10" s="5"/>
      <c r="H10" s="5"/>
      <c r="I10" s="5"/>
      <c r="J10" s="5"/>
      <c r="K10" s="5"/>
      <c r="L10" s="5"/>
      <c r="N10" s="12"/>
      <c r="O10" s="12" t="s">
        <v>153</v>
      </c>
      <c r="P10" s="13">
        <f>'Summary Page'!E107</f>
        <v>2.2680555555555554E-2</v>
      </c>
      <c r="Q10" s="13">
        <f>IF($C$18="Electricity - Calvin",P10,0)</f>
        <v>0</v>
      </c>
      <c r="R10" s="12"/>
      <c r="V10" s="39"/>
    </row>
    <row r="11" spans="1:22">
      <c r="C11" s="212" t="s">
        <v>79</v>
      </c>
      <c r="D11" s="212" t="s">
        <v>80</v>
      </c>
      <c r="J11" s="212" t="s">
        <v>79</v>
      </c>
      <c r="K11" s="212" t="s">
        <v>80</v>
      </c>
      <c r="N11" s="12"/>
      <c r="O11" s="12"/>
      <c r="P11" s="12"/>
      <c r="Q11" s="13">
        <f>SUM(Q6:Q10)</f>
        <v>0.04</v>
      </c>
      <c r="R11" s="12"/>
      <c r="V11" s="39"/>
    </row>
    <row r="12" spans="1:22" ht="30">
      <c r="B12" s="213" t="s">
        <v>154</v>
      </c>
      <c r="C12" s="79">
        <v>33.68</v>
      </c>
      <c r="D12" s="79">
        <v>4.25</v>
      </c>
      <c r="I12" s="213" t="s">
        <v>154</v>
      </c>
      <c r="J12" s="104">
        <v>14.015000000000001</v>
      </c>
      <c r="K12" s="79">
        <v>0.69</v>
      </c>
      <c r="N12" s="12"/>
      <c r="O12" s="12"/>
      <c r="P12" s="12"/>
      <c r="Q12" s="12"/>
      <c r="R12" s="12"/>
      <c r="V12" s="39"/>
    </row>
    <row r="13" spans="1:22" ht="30">
      <c r="B13" s="213" t="s">
        <v>155</v>
      </c>
      <c r="C13" s="79">
        <v>773.99</v>
      </c>
      <c r="D13" s="79">
        <v>1620.43</v>
      </c>
      <c r="I13" s="213" t="s">
        <v>155</v>
      </c>
      <c r="J13" s="79">
        <v>1157.1669999999999</v>
      </c>
      <c r="K13" s="79">
        <v>4011.933</v>
      </c>
      <c r="N13" s="12"/>
      <c r="O13" s="12" t="s">
        <v>146</v>
      </c>
      <c r="P13" s="13">
        <f>'Summary Page'!E103</f>
        <v>1.052E-2</v>
      </c>
      <c r="Q13" s="13">
        <f>IF($J$18="Natural Gas - Commercial",P13,0)</f>
        <v>0</v>
      </c>
      <c r="R13" s="12"/>
      <c r="V13" s="39"/>
    </row>
    <row r="14" spans="1:22" ht="30">
      <c r="B14" s="213" t="s">
        <v>156</v>
      </c>
      <c r="C14" s="79">
        <v>18.399999999999999</v>
      </c>
      <c r="D14" s="79">
        <v>1.18</v>
      </c>
      <c r="I14" s="213" t="s">
        <v>156</v>
      </c>
      <c r="J14" s="79">
        <v>5.0199999999999996</v>
      </c>
      <c r="K14" s="79">
        <v>1.22</v>
      </c>
      <c r="N14" s="12"/>
      <c r="O14" s="12" t="s">
        <v>147</v>
      </c>
      <c r="P14" s="13">
        <f>'Summary Page'!E104</f>
        <v>4.3709177868852499E-3</v>
      </c>
      <c r="Q14" s="13">
        <f>IF($J$18="Natural Gas - Calvin",P14,0)</f>
        <v>0</v>
      </c>
      <c r="R14" s="12"/>
      <c r="V14" s="39"/>
    </row>
    <row r="15" spans="1:22">
      <c r="B15" s="213"/>
      <c r="I15" s="213"/>
      <c r="N15" s="12"/>
      <c r="O15" s="12" t="s">
        <v>151</v>
      </c>
      <c r="P15" s="13">
        <f>'Summary Page'!E105</f>
        <v>2.1100000000000001E-2</v>
      </c>
      <c r="Q15" s="13">
        <f>IF($J$18="Gasoline",P15,0)</f>
        <v>0</v>
      </c>
      <c r="R15" s="12"/>
      <c r="V15" s="39"/>
    </row>
    <row r="16" spans="1:22" ht="30">
      <c r="B16" s="213" t="s">
        <v>157</v>
      </c>
      <c r="C16" s="9">
        <v>0</v>
      </c>
      <c r="I16" s="213" t="s">
        <v>157</v>
      </c>
      <c r="J16" s="9">
        <v>0</v>
      </c>
      <c r="N16" s="12"/>
      <c r="O16" s="12" t="s">
        <v>152</v>
      </c>
      <c r="P16" s="13">
        <f>'Summary Page'!E106</f>
        <v>0.04</v>
      </c>
      <c r="Q16" s="13">
        <f>IF($J$18="Electricity - Commercial",P16,0)</f>
        <v>0</v>
      </c>
      <c r="R16" s="12"/>
      <c r="V16" s="39"/>
    </row>
    <row r="17" spans="2:22">
      <c r="B17" s="213"/>
      <c r="C17" s="213"/>
      <c r="D17" s="213"/>
      <c r="E17" s="213"/>
      <c r="F17" s="213"/>
      <c r="G17" s="213"/>
      <c r="H17" s="213"/>
      <c r="I17" s="213"/>
      <c r="J17" s="213"/>
      <c r="N17" s="12"/>
      <c r="O17" s="12" t="s">
        <v>153</v>
      </c>
      <c r="P17" s="13">
        <f>'Summary Page'!E107</f>
        <v>2.2680555555555554E-2</v>
      </c>
      <c r="Q17" s="13">
        <f>IF($J$18="Electricity - Calvin",P17,0)</f>
        <v>2.2680555555555554E-2</v>
      </c>
      <c r="R17" s="12"/>
      <c r="V17" s="39"/>
    </row>
    <row r="18" spans="2:22" ht="30">
      <c r="B18" s="14" t="s">
        <v>158</v>
      </c>
      <c r="C18" s="23" t="s">
        <v>152</v>
      </c>
      <c r="D18" s="72">
        <f>Q11</f>
        <v>0.04</v>
      </c>
      <c r="E18" s="213" t="s">
        <v>159</v>
      </c>
      <c r="F18" s="213"/>
      <c r="G18" s="213"/>
      <c r="H18" s="213"/>
      <c r="I18" s="14" t="s">
        <v>158</v>
      </c>
      <c r="J18" s="23" t="s">
        <v>153</v>
      </c>
      <c r="K18" s="100">
        <f>Q18</f>
        <v>2.2680555555555554E-2</v>
      </c>
      <c r="L18" s="214" t="s">
        <v>159</v>
      </c>
      <c r="N18" s="12"/>
      <c r="O18" s="12"/>
      <c r="P18" s="12"/>
      <c r="Q18" s="13">
        <f>SUM(Q13:Q17)</f>
        <v>2.2680555555555554E-2</v>
      </c>
      <c r="R18" s="12"/>
      <c r="V18" s="39"/>
    </row>
    <row r="19" spans="2:22" ht="29.1" customHeight="1">
      <c r="B19" s="14"/>
      <c r="C19" s="212" t="s">
        <v>79</v>
      </c>
      <c r="D19" s="212" t="s">
        <v>80</v>
      </c>
      <c r="E19" s="14"/>
      <c r="F19" s="14"/>
      <c r="G19" s="14"/>
      <c r="H19" s="14"/>
      <c r="I19" s="14"/>
      <c r="J19" s="212" t="s">
        <v>79</v>
      </c>
      <c r="K19" s="212" t="s">
        <v>80</v>
      </c>
      <c r="L19" s="14"/>
      <c r="N19" s="12"/>
      <c r="O19" s="12"/>
      <c r="P19" s="12"/>
      <c r="Q19" s="12"/>
      <c r="R19" s="12"/>
      <c r="V19" s="39"/>
    </row>
    <row r="20" spans="2:22" ht="29.1" customHeight="1">
      <c r="B20" s="174" t="s">
        <v>124</v>
      </c>
      <c r="C20" s="23">
        <v>5</v>
      </c>
      <c r="D20" s="23">
        <v>20</v>
      </c>
      <c r="E20" s="213"/>
      <c r="F20" s="213"/>
      <c r="G20" s="213"/>
      <c r="H20" s="213"/>
      <c r="I20" s="174" t="s">
        <v>124</v>
      </c>
      <c r="J20" s="23">
        <v>10</v>
      </c>
      <c r="K20" s="23">
        <v>10</v>
      </c>
      <c r="L20" s="214"/>
      <c r="N20" s="12"/>
      <c r="O20" s="12"/>
      <c r="P20" s="12"/>
      <c r="Q20" s="12"/>
      <c r="R20" s="12"/>
      <c r="V20" s="39"/>
    </row>
    <row r="21" spans="2:22" ht="29.1" customHeight="1">
      <c r="V21" s="39"/>
    </row>
    <row r="22" spans="2:22" ht="29.1" customHeight="1">
      <c r="B22" s="5" t="s">
        <v>160</v>
      </c>
      <c r="C22" s="4"/>
      <c r="I22" s="5"/>
      <c r="V22" s="39"/>
    </row>
    <row r="23" spans="2:22" ht="29.1" customHeight="1">
      <c r="V23" s="39"/>
    </row>
    <row r="24" spans="2:22" ht="29.1" customHeight="1">
      <c r="B24" s="327" t="s">
        <v>161</v>
      </c>
      <c r="C24" s="328"/>
      <c r="D24" s="8">
        <f>C12-D12</f>
        <v>29.43</v>
      </c>
      <c r="I24" s="327" t="s">
        <v>161</v>
      </c>
      <c r="J24" s="328"/>
      <c r="K24" s="8">
        <f>J12-K12</f>
        <v>13.325000000000001</v>
      </c>
    </row>
    <row r="25" spans="2:22">
      <c r="B25" s="327" t="s">
        <v>162</v>
      </c>
      <c r="C25" s="327"/>
      <c r="D25" s="8">
        <f>D13-C13</f>
        <v>846.44</v>
      </c>
      <c r="I25" s="327" t="s">
        <v>162</v>
      </c>
      <c r="J25" s="327"/>
      <c r="K25" s="8">
        <f>K13-J13</f>
        <v>2854.7660000000001</v>
      </c>
    </row>
    <row r="26" spans="2:22">
      <c r="B26" s="335" t="s">
        <v>163</v>
      </c>
      <c r="C26" s="336"/>
      <c r="D26" s="8">
        <f>C14-D14</f>
        <v>17.22</v>
      </c>
      <c r="I26" s="335" t="s">
        <v>163</v>
      </c>
      <c r="J26" s="336"/>
      <c r="K26" s="8">
        <f>J14-K14</f>
        <v>3.8</v>
      </c>
    </row>
    <row r="27" spans="2:22">
      <c r="B27" s="335" t="s">
        <v>164</v>
      </c>
      <c r="C27" s="336"/>
      <c r="D27" s="8">
        <f>D25*(1-(C16/100))</f>
        <v>846.44</v>
      </c>
      <c r="I27" s="335" t="s">
        <v>164</v>
      </c>
      <c r="J27" s="336"/>
      <c r="K27" s="8">
        <f>K25*(1-(J16/100))</f>
        <v>2854.7660000000001</v>
      </c>
    </row>
    <row r="28" spans="2:22">
      <c r="B28" s="335" t="s">
        <v>165</v>
      </c>
      <c r="C28" s="336"/>
      <c r="D28" s="8">
        <f>D24/D25</f>
        <v>3.4769150796276169E-2</v>
      </c>
      <c r="I28" s="335" t="s">
        <v>165</v>
      </c>
      <c r="J28" s="336"/>
      <c r="K28" s="8">
        <f>K24/K25</f>
        <v>4.6676330038959409E-3</v>
      </c>
    </row>
    <row r="29" spans="2:22">
      <c r="B29" s="335" t="s">
        <v>166</v>
      </c>
      <c r="C29" s="336"/>
      <c r="D29" s="20">
        <f>D26/(D18*D25)</f>
        <v>0.50860072775388676</v>
      </c>
      <c r="I29" s="335" t="s">
        <v>166</v>
      </c>
      <c r="J29" s="336"/>
      <c r="K29" s="8">
        <f>K26/(K18*K25)</f>
        <v>5.8689362566205661E-2</v>
      </c>
    </row>
  </sheetData>
  <sheetProtection sheet="1" objects="1" scenarios="1"/>
  <mergeCells count="17">
    <mergeCell ref="B29:C29"/>
    <mergeCell ref="I29:J29"/>
    <mergeCell ref="B26:C26"/>
    <mergeCell ref="I26:J26"/>
    <mergeCell ref="B27:C27"/>
    <mergeCell ref="I27:J27"/>
    <mergeCell ref="B28:C28"/>
    <mergeCell ref="I28:J28"/>
    <mergeCell ref="B25:C25"/>
    <mergeCell ref="I25:J25"/>
    <mergeCell ref="A1:XFD2"/>
    <mergeCell ref="C6:E6"/>
    <mergeCell ref="J6:L6"/>
    <mergeCell ref="B24:C24"/>
    <mergeCell ref="I24:J24"/>
    <mergeCell ref="C8:E9"/>
    <mergeCell ref="J8:L9"/>
  </mergeCells>
  <dataValidations count="4">
    <dataValidation type="list" allowBlank="1" showInputMessage="1" showErrorMessage="1" sqref="O15" xr:uid="{CE44E6A4-5592-4159-AB55-906C64EE04CE}">
      <formula1>$O$6:$O$9</formula1>
    </dataValidation>
    <dataValidation type="list" allowBlank="1" showInputMessage="1" showErrorMessage="1" sqref="O13:O14 O6:O10 O16:O17" xr:uid="{5E8AD8BA-08DD-4FB9-8D87-339C24592F46}">
      <formula1>$O$6:$O$10</formula1>
    </dataValidation>
    <dataValidation type="list" allowBlank="1" showInputMessage="1" showErrorMessage="1" sqref="C18" xr:uid="{C21ECC73-5D07-413B-B79A-1852BCBD1A1F}">
      <formula1>$O$5:$O$10</formula1>
    </dataValidation>
    <dataValidation type="list" allowBlank="1" showInputMessage="1" showErrorMessage="1" sqref="J18" xr:uid="{3BC5B695-7A97-424F-9426-B171011C3EEC}">
      <formula1>$O$12:$O$17</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9877-5D65-4DC3-8970-53E4D662A472}">
  <sheetPr>
    <tabColor theme="9" tint="0.39997558519241921"/>
  </sheetPr>
  <dimension ref="A1:V29"/>
  <sheetViews>
    <sheetView zoomScale="80" zoomScaleNormal="80" workbookViewId="0">
      <selection activeCell="E21" sqref="E21"/>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0" width="16.140625" style="2" customWidth="1"/>
    <col min="11" max="11" width="13.42578125" style="2" customWidth="1"/>
    <col min="12" max="12" width="9.140625" style="2"/>
    <col min="13" max="14" width="9.140625" style="39"/>
    <col min="15" max="15" width="24.140625" style="39" bestFit="1" customWidth="1"/>
    <col min="16" max="22" width="9.140625" style="39"/>
    <col min="23" max="16384" width="9.140625" style="2"/>
  </cols>
  <sheetData>
    <row r="1" spans="1:22" s="326" customFormat="1">
      <c r="A1" s="326" t="s">
        <v>142</v>
      </c>
    </row>
    <row r="2" spans="1:22" s="326" customFormat="1"/>
    <row r="3" spans="1:22">
      <c r="M3" s="106"/>
      <c r="N3" s="106"/>
      <c r="O3" s="106"/>
      <c r="P3" s="106"/>
      <c r="Q3" s="106"/>
    </row>
    <row r="4" spans="1:22">
      <c r="B4" s="5" t="s">
        <v>143</v>
      </c>
      <c r="C4" s="3"/>
      <c r="M4" s="106"/>
      <c r="N4" s="106"/>
      <c r="O4" s="106"/>
      <c r="P4" s="106"/>
      <c r="Q4" s="106"/>
    </row>
    <row r="5" spans="1:22">
      <c r="M5" s="106"/>
      <c r="N5" s="106"/>
      <c r="O5" s="12"/>
      <c r="P5" s="12"/>
      <c r="Q5" s="12"/>
      <c r="R5" s="12"/>
    </row>
    <row r="6" spans="1:22">
      <c r="B6" s="7" t="s">
        <v>144</v>
      </c>
      <c r="C6" s="325" t="s">
        <v>11</v>
      </c>
      <c r="D6" s="325"/>
      <c r="E6" s="325"/>
      <c r="I6" s="1" t="s">
        <v>145</v>
      </c>
      <c r="J6" s="325" t="s">
        <v>22</v>
      </c>
      <c r="K6" s="325"/>
      <c r="L6" s="325"/>
      <c r="M6" s="106"/>
      <c r="N6" s="106"/>
      <c r="O6" s="12" t="s">
        <v>146</v>
      </c>
      <c r="P6" s="13">
        <f>'Summary Page'!E103</f>
        <v>1.052E-2</v>
      </c>
      <c r="Q6" s="13">
        <f>IF($C$18="Natural Gas - Commercial",P6,0)</f>
        <v>0</v>
      </c>
      <c r="R6" s="12"/>
    </row>
    <row r="7" spans="1:22" s="90" customFormat="1">
      <c r="B7" s="91"/>
      <c r="C7" s="94"/>
      <c r="D7" s="94"/>
      <c r="E7" s="94"/>
      <c r="I7" s="93"/>
      <c r="J7" s="94"/>
      <c r="K7" s="94"/>
      <c r="L7" s="94"/>
      <c r="M7" s="107"/>
      <c r="N7" s="107"/>
      <c r="O7" s="96" t="s">
        <v>147</v>
      </c>
      <c r="P7" s="98">
        <f>'Summary Page'!E104</f>
        <v>4.3709177868852499E-3</v>
      </c>
      <c r="Q7" s="98">
        <f>IF($C$18="Natural Gas - Calvin",P7,0)</f>
        <v>0</v>
      </c>
      <c r="R7" s="96"/>
      <c r="S7" s="95"/>
      <c r="T7" s="95"/>
      <c r="U7" s="95"/>
      <c r="V7" s="95"/>
    </row>
    <row r="8" spans="1:22" ht="30.75" customHeight="1">
      <c r="B8" s="86" t="s">
        <v>148</v>
      </c>
      <c r="C8" s="337" t="s">
        <v>173</v>
      </c>
      <c r="D8" s="338"/>
      <c r="E8" s="339"/>
      <c r="I8" s="86" t="s">
        <v>148</v>
      </c>
      <c r="J8" s="337" t="s">
        <v>173</v>
      </c>
      <c r="K8" s="338"/>
      <c r="L8" s="339"/>
      <c r="M8" s="106"/>
      <c r="N8" s="106"/>
      <c r="O8" s="12" t="s">
        <v>151</v>
      </c>
      <c r="P8" s="13">
        <f>'Summary Page'!E105</f>
        <v>2.1100000000000001E-2</v>
      </c>
      <c r="Q8" s="13">
        <f>IF($C$18="Gasoline",P8,0)</f>
        <v>0</v>
      </c>
      <c r="R8" s="12"/>
    </row>
    <row r="9" spans="1:22" ht="48.75" customHeight="1">
      <c r="B9" s="80"/>
      <c r="C9" s="340"/>
      <c r="D9" s="341"/>
      <c r="E9" s="342"/>
      <c r="I9" s="81"/>
      <c r="J9" s="340"/>
      <c r="K9" s="341"/>
      <c r="L9" s="342"/>
      <c r="M9" s="106"/>
      <c r="N9" s="106"/>
      <c r="O9" s="12" t="s">
        <v>152</v>
      </c>
      <c r="P9" s="13">
        <f>'Summary Page'!E106</f>
        <v>0.04</v>
      </c>
      <c r="Q9" s="13">
        <f>IF($C$18="Electricity - Commercial",P9,0)</f>
        <v>0</v>
      </c>
      <c r="R9" s="12"/>
    </row>
    <row r="10" spans="1:22">
      <c r="B10" s="6"/>
      <c r="C10" s="5"/>
      <c r="D10" s="5"/>
      <c r="E10" s="5"/>
      <c r="F10" s="5"/>
      <c r="G10" s="5"/>
      <c r="H10" s="5"/>
      <c r="I10" s="5"/>
      <c r="J10" s="5"/>
      <c r="K10" s="5"/>
      <c r="L10" s="5"/>
      <c r="M10" s="106"/>
      <c r="N10" s="106"/>
      <c r="O10" s="12" t="s">
        <v>153</v>
      </c>
      <c r="P10" s="13">
        <f>'Summary Page'!E107</f>
        <v>2.2680555555555554E-2</v>
      </c>
      <c r="Q10" s="13">
        <f>IF($C$18="Electricity - Calvin",P10,0)</f>
        <v>2.2680555555555554E-2</v>
      </c>
      <c r="R10" s="12"/>
    </row>
    <row r="11" spans="1:22">
      <c r="C11" s="212" t="s">
        <v>79</v>
      </c>
      <c r="D11" s="212" t="s">
        <v>80</v>
      </c>
      <c r="J11" s="212" t="s">
        <v>79</v>
      </c>
      <c r="K11" s="212" t="s">
        <v>80</v>
      </c>
      <c r="M11" s="106"/>
      <c r="N11" s="106"/>
      <c r="O11" s="12"/>
      <c r="P11" s="12"/>
      <c r="Q11" s="13">
        <f>SUM(Q6:Q10)</f>
        <v>2.2680555555555554E-2</v>
      </c>
      <c r="R11" s="12"/>
    </row>
    <row r="12" spans="1:22" ht="30">
      <c r="B12" s="213" t="s">
        <v>154</v>
      </c>
      <c r="C12" s="78">
        <v>0.59599999999999997</v>
      </c>
      <c r="D12" s="78">
        <v>2.64</v>
      </c>
      <c r="I12" s="213" t="s">
        <v>154</v>
      </c>
      <c r="J12" s="78">
        <v>86.5</v>
      </c>
      <c r="K12" s="78">
        <v>30.1</v>
      </c>
      <c r="M12" s="106"/>
      <c r="N12" s="106"/>
      <c r="O12" s="12"/>
      <c r="P12" s="12"/>
      <c r="Q12" s="12"/>
      <c r="R12" s="12"/>
    </row>
    <row r="13" spans="1:22" ht="30">
      <c r="B13" s="213" t="s">
        <v>155</v>
      </c>
      <c r="C13" s="78">
        <v>39.42</v>
      </c>
      <c r="D13" s="78">
        <v>223.82</v>
      </c>
      <c r="I13" s="213" t="s">
        <v>155</v>
      </c>
      <c r="J13" s="78">
        <v>1133</v>
      </c>
      <c r="K13" s="78">
        <v>5253.5</v>
      </c>
      <c r="M13" s="106"/>
      <c r="N13" s="106"/>
      <c r="O13" s="12" t="s">
        <v>146</v>
      </c>
      <c r="P13" s="13">
        <f>'Summary Page'!E103</f>
        <v>1.052E-2</v>
      </c>
      <c r="Q13" s="13">
        <f>IF($J$18="Natural Gas - Commercial",P13,0)</f>
        <v>0</v>
      </c>
      <c r="R13" s="12"/>
    </row>
    <row r="14" spans="1:22" ht="30">
      <c r="B14" s="213" t="s">
        <v>156</v>
      </c>
      <c r="C14" s="78">
        <v>0.17199999999999999</v>
      </c>
      <c r="D14" s="78">
        <v>1.1100000000000001</v>
      </c>
      <c r="I14" s="213" t="s">
        <v>156</v>
      </c>
      <c r="J14" s="78">
        <v>98.8</v>
      </c>
      <c r="K14" s="78">
        <v>39.9</v>
      </c>
      <c r="M14" s="106"/>
      <c r="N14" s="106"/>
      <c r="O14" s="12" t="s">
        <v>147</v>
      </c>
      <c r="P14" s="13">
        <f>'Summary Page'!E104</f>
        <v>4.3709177868852499E-3</v>
      </c>
      <c r="Q14" s="13">
        <f>IF($J$18="Natural Gas - Calvin",P14,0)</f>
        <v>0</v>
      </c>
      <c r="R14" s="12"/>
    </row>
    <row r="15" spans="1:22">
      <c r="B15" s="213"/>
      <c r="I15" s="213"/>
      <c r="M15" s="106"/>
      <c r="N15" s="106"/>
      <c r="O15" s="12" t="s">
        <v>151</v>
      </c>
      <c r="P15" s="13">
        <f>'Summary Page'!E105</f>
        <v>2.1100000000000001E-2</v>
      </c>
      <c r="Q15" s="13">
        <f>IF($J$18="Gasoline",P15,0)</f>
        <v>0</v>
      </c>
      <c r="R15" s="12"/>
    </row>
    <row r="16" spans="1:22" ht="30">
      <c r="B16" s="213" t="s">
        <v>157</v>
      </c>
      <c r="C16" s="9">
        <v>10</v>
      </c>
      <c r="I16" s="213" t="s">
        <v>157</v>
      </c>
      <c r="J16" s="9">
        <v>0</v>
      </c>
      <c r="M16" s="106"/>
      <c r="N16" s="106"/>
      <c r="O16" s="12" t="s">
        <v>152</v>
      </c>
      <c r="P16" s="13">
        <f>'Summary Page'!E106</f>
        <v>0.04</v>
      </c>
      <c r="Q16" s="13">
        <f>IF($J$18="Electricity - Commercial",P16,0)</f>
        <v>0</v>
      </c>
      <c r="R16" s="12"/>
    </row>
    <row r="17" spans="2:18">
      <c r="B17" s="213"/>
      <c r="C17" s="213"/>
      <c r="D17" s="213"/>
      <c r="E17" s="213"/>
      <c r="F17" s="213"/>
      <c r="G17" s="213"/>
      <c r="H17" s="213"/>
      <c r="I17" s="213"/>
      <c r="J17" s="213"/>
      <c r="M17" s="106"/>
      <c r="N17" s="106"/>
      <c r="O17" s="12" t="s">
        <v>153</v>
      </c>
      <c r="P17" s="13">
        <f>'Summary Page'!E107</f>
        <v>2.2680555555555554E-2</v>
      </c>
      <c r="Q17" s="13">
        <f>IF($J$18="Electricity - Calvin",P17,0)</f>
        <v>0</v>
      </c>
      <c r="R17" s="12"/>
    </row>
    <row r="18" spans="2:18" ht="30">
      <c r="B18" s="14" t="s">
        <v>158</v>
      </c>
      <c r="C18" s="23" t="s">
        <v>153</v>
      </c>
      <c r="D18" s="72">
        <f>Q11</f>
        <v>2.2680555555555554E-2</v>
      </c>
      <c r="E18" s="213" t="s">
        <v>159</v>
      </c>
      <c r="F18" s="213"/>
      <c r="G18" s="213"/>
      <c r="H18" s="213"/>
      <c r="I18" s="14"/>
      <c r="J18" s="23" t="s">
        <v>175</v>
      </c>
      <c r="K18" s="109">
        <v>5.0000000000000001E-3</v>
      </c>
      <c r="L18" s="214" t="s">
        <v>159</v>
      </c>
      <c r="M18" s="106"/>
      <c r="N18" s="106"/>
      <c r="O18" s="12"/>
      <c r="P18" s="12"/>
      <c r="Q18" s="13">
        <f>SUM(Q13:Q17)</f>
        <v>0</v>
      </c>
      <c r="R18" s="12"/>
    </row>
    <row r="19" spans="2:18" ht="29.1" customHeight="1">
      <c r="B19" s="14"/>
      <c r="C19" s="212" t="s">
        <v>79</v>
      </c>
      <c r="D19" s="212" t="s">
        <v>80</v>
      </c>
      <c r="E19" s="14"/>
      <c r="F19" s="14"/>
      <c r="G19" s="14"/>
      <c r="H19" s="14"/>
      <c r="I19" s="14"/>
      <c r="J19" s="212" t="s">
        <v>79</v>
      </c>
      <c r="K19" s="212" t="s">
        <v>80</v>
      </c>
      <c r="L19" s="14"/>
      <c r="M19" s="106"/>
      <c r="N19" s="106"/>
      <c r="O19" s="12"/>
      <c r="P19" s="12"/>
      <c r="Q19" s="12"/>
      <c r="R19" s="12"/>
    </row>
    <row r="20" spans="2:18" ht="29.1" customHeight="1">
      <c r="B20" s="174" t="s">
        <v>124</v>
      </c>
      <c r="C20" s="23">
        <v>22.8</v>
      </c>
      <c r="D20" s="23">
        <v>1.8</v>
      </c>
      <c r="E20" s="213"/>
      <c r="F20" s="213"/>
      <c r="G20" s="213"/>
      <c r="H20" s="213"/>
      <c r="I20" s="174" t="s">
        <v>124</v>
      </c>
      <c r="J20" s="23">
        <v>20</v>
      </c>
      <c r="K20" s="23">
        <v>20</v>
      </c>
      <c r="L20" s="214"/>
      <c r="O20" s="12"/>
      <c r="P20" s="12"/>
      <c r="Q20" s="12"/>
      <c r="R20" s="12"/>
    </row>
    <row r="21" spans="2:18" ht="29.1" customHeight="1"/>
    <row r="22" spans="2:18" ht="29.1" customHeight="1">
      <c r="B22" s="5" t="s">
        <v>160</v>
      </c>
      <c r="C22" s="4"/>
      <c r="I22" s="5"/>
    </row>
    <row r="23" spans="2:18" ht="29.1" customHeight="1"/>
    <row r="24" spans="2:18" ht="29.1" customHeight="1">
      <c r="B24" s="327" t="s">
        <v>161</v>
      </c>
      <c r="C24" s="328"/>
      <c r="D24" s="8">
        <f>C12-D12</f>
        <v>-2.044</v>
      </c>
      <c r="I24" s="327" t="s">
        <v>161</v>
      </c>
      <c r="J24" s="328"/>
      <c r="K24" s="8">
        <f>J12-K12</f>
        <v>56.4</v>
      </c>
    </row>
    <row r="25" spans="2:18">
      <c r="B25" s="327" t="s">
        <v>162</v>
      </c>
      <c r="C25" s="327"/>
      <c r="D25" s="8">
        <f>D13-C13</f>
        <v>184.39999999999998</v>
      </c>
      <c r="I25" s="327" t="s">
        <v>162</v>
      </c>
      <c r="J25" s="327"/>
      <c r="K25" s="8">
        <f>K13-J13</f>
        <v>4120.5</v>
      </c>
    </row>
    <row r="26" spans="2:18">
      <c r="B26" s="335" t="s">
        <v>163</v>
      </c>
      <c r="C26" s="336"/>
      <c r="D26" s="8">
        <f>C14-D14</f>
        <v>-0.93800000000000017</v>
      </c>
      <c r="I26" s="335" t="s">
        <v>163</v>
      </c>
      <c r="J26" s="336"/>
      <c r="K26" s="8">
        <f>J14-K14</f>
        <v>58.9</v>
      </c>
    </row>
    <row r="27" spans="2:18">
      <c r="B27" s="335" t="s">
        <v>164</v>
      </c>
      <c r="C27" s="336"/>
      <c r="D27" s="8">
        <f>D25*(1-(C16/100))</f>
        <v>165.95999999999998</v>
      </c>
      <c r="I27" s="335" t="s">
        <v>164</v>
      </c>
      <c r="J27" s="336"/>
      <c r="K27" s="8">
        <f>K25*(1-(J16/100))</f>
        <v>4120.5</v>
      </c>
    </row>
    <row r="28" spans="2:18">
      <c r="B28" s="335" t="s">
        <v>165</v>
      </c>
      <c r="C28" s="336"/>
      <c r="D28" s="8">
        <f>D24/D25</f>
        <v>-1.1084598698481564E-2</v>
      </c>
      <c r="I28" s="335" t="s">
        <v>165</v>
      </c>
      <c r="J28" s="336"/>
      <c r="K28" s="8">
        <f>K24/K25</f>
        <v>1.3687659264652348E-2</v>
      </c>
    </row>
    <row r="29" spans="2:18">
      <c r="B29" s="335" t="s">
        <v>166</v>
      </c>
      <c r="C29" s="336"/>
      <c r="D29" s="20">
        <f>D26/(D18*D25)</f>
        <v>-0.22427880496218858</v>
      </c>
      <c r="I29" s="335" t="s">
        <v>166</v>
      </c>
      <c r="J29" s="336"/>
      <c r="K29" s="100">
        <f>K26/(K18*K25)</f>
        <v>2.8588763499575296</v>
      </c>
    </row>
  </sheetData>
  <sheetProtection sheet="1" objects="1" scenarios="1"/>
  <mergeCells count="17">
    <mergeCell ref="B29:C29"/>
    <mergeCell ref="I29:J29"/>
    <mergeCell ref="B26:C26"/>
    <mergeCell ref="I26:J26"/>
    <mergeCell ref="B27:C27"/>
    <mergeCell ref="I27:J27"/>
    <mergeCell ref="B28:C28"/>
    <mergeCell ref="I28:J28"/>
    <mergeCell ref="B25:C25"/>
    <mergeCell ref="I25:J25"/>
    <mergeCell ref="A1:XFD2"/>
    <mergeCell ref="C6:E6"/>
    <mergeCell ref="J6:L6"/>
    <mergeCell ref="B24:C24"/>
    <mergeCell ref="I24:J24"/>
    <mergeCell ref="C8:E9"/>
    <mergeCell ref="J8:L9"/>
  </mergeCells>
  <dataValidations count="3">
    <dataValidation type="list" allowBlank="1" showInputMessage="1" showErrorMessage="1" sqref="C18" xr:uid="{7D6F6BC5-3136-4C2A-B174-13CB62A9C224}">
      <formula1>$O$5:$O$10</formula1>
    </dataValidation>
    <dataValidation type="list" allowBlank="1" showInputMessage="1" showErrorMessage="1" sqref="O13:O14 O6:O10 O16:O17" xr:uid="{C9221168-0E5C-43CB-8AD8-86BC42892BE2}">
      <formula1>$O$6:$O$10</formula1>
    </dataValidation>
    <dataValidation type="list" allowBlank="1" showInputMessage="1" showErrorMessage="1" sqref="O15" xr:uid="{1059EAB2-A737-475D-A977-88F011C02BAE}">
      <formula1>$O$6:$O$9</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70CD7-046B-42A0-81AB-DB05FFB9BAFF}">
  <sheetPr>
    <tabColor theme="9" tint="0.39997558519241921"/>
  </sheetPr>
  <dimension ref="A1:U29"/>
  <sheetViews>
    <sheetView zoomScale="80" zoomScaleNormal="80" workbookViewId="0">
      <selection activeCell="E22" sqref="E22"/>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1" width="9.140625" style="39"/>
    <col min="22" max="16384" width="9.140625" style="2"/>
  </cols>
  <sheetData>
    <row r="1" spans="1:21" s="326" customFormat="1">
      <c r="A1" s="326" t="s">
        <v>142</v>
      </c>
    </row>
    <row r="2" spans="1:21" s="326" customFormat="1"/>
    <row r="4" spans="1:21">
      <c r="B4" s="5" t="s">
        <v>143</v>
      </c>
      <c r="C4" s="3"/>
      <c r="N4" s="105"/>
      <c r="O4" s="105"/>
      <c r="P4" s="105"/>
      <c r="Q4" s="105"/>
      <c r="R4" s="105"/>
    </row>
    <row r="5" spans="1:21">
      <c r="N5" s="12"/>
      <c r="O5" s="12"/>
      <c r="P5" s="12"/>
      <c r="Q5" s="12"/>
      <c r="R5" s="12"/>
    </row>
    <row r="6" spans="1:21">
      <c r="B6" s="7" t="s">
        <v>144</v>
      </c>
      <c r="C6" s="325" t="s">
        <v>24</v>
      </c>
      <c r="D6" s="325"/>
      <c r="E6" s="325"/>
      <c r="I6" s="1" t="s">
        <v>145</v>
      </c>
      <c r="J6" s="325" t="s">
        <v>25</v>
      </c>
      <c r="K6" s="325"/>
      <c r="L6" s="325"/>
      <c r="N6" s="12"/>
      <c r="O6" s="12" t="s">
        <v>146</v>
      </c>
      <c r="P6" s="13">
        <f>'Summary Page'!E103</f>
        <v>1.052E-2</v>
      </c>
      <c r="Q6" s="13">
        <f>IF($C$18="Natural Gas - Commercial",P6,0)</f>
        <v>0</v>
      </c>
      <c r="R6" s="12"/>
    </row>
    <row r="7" spans="1:21" s="90" customFormat="1">
      <c r="B7" s="91"/>
      <c r="C7" s="94"/>
      <c r="D7" s="94"/>
      <c r="E7" s="94"/>
      <c r="I7" s="93"/>
      <c r="J7" s="94"/>
      <c r="K7" s="94"/>
      <c r="L7" s="94"/>
      <c r="M7" s="95"/>
      <c r="N7" s="96"/>
      <c r="O7" s="96" t="s">
        <v>147</v>
      </c>
      <c r="P7" s="98">
        <f>'Summary Page'!E104</f>
        <v>4.3709177868852499E-3</v>
      </c>
      <c r="Q7" s="98">
        <f>IF($C$18="Natural Gas - Calvin",P7,0)</f>
        <v>0</v>
      </c>
      <c r="R7" s="96"/>
      <c r="S7" s="95"/>
      <c r="T7" s="95"/>
      <c r="U7" s="95"/>
    </row>
    <row r="8" spans="1:21" ht="37.5" customHeight="1">
      <c r="B8" s="86" t="s">
        <v>148</v>
      </c>
      <c r="C8" s="337" t="s">
        <v>173</v>
      </c>
      <c r="D8" s="338"/>
      <c r="E8" s="339"/>
      <c r="I8" s="86" t="s">
        <v>148</v>
      </c>
      <c r="J8" s="337" t="s">
        <v>173</v>
      </c>
      <c r="K8" s="338"/>
      <c r="L8" s="339"/>
      <c r="N8" s="12"/>
      <c r="O8" s="12" t="s">
        <v>151</v>
      </c>
      <c r="P8" s="13">
        <f>'Summary Page'!E105</f>
        <v>2.1100000000000001E-2</v>
      </c>
      <c r="Q8" s="13">
        <f>IF($C$18="Gasoline",P8,0)</f>
        <v>0</v>
      </c>
      <c r="R8" s="12"/>
    </row>
    <row r="9" spans="1:21" ht="39.75" customHeight="1">
      <c r="B9" s="80"/>
      <c r="C9" s="340"/>
      <c r="D9" s="341"/>
      <c r="E9" s="342"/>
      <c r="I9" s="81"/>
      <c r="J9" s="340"/>
      <c r="K9" s="341"/>
      <c r="L9" s="342"/>
      <c r="N9" s="12"/>
      <c r="O9" s="12" t="s">
        <v>152</v>
      </c>
      <c r="P9" s="13">
        <f>'Summary Page'!E106</f>
        <v>0.04</v>
      </c>
      <c r="Q9" s="13">
        <f>IF($C$18="Electricity - Commercial",P9,0)</f>
        <v>0</v>
      </c>
      <c r="R9" s="12"/>
    </row>
    <row r="10" spans="1:21">
      <c r="B10" s="6"/>
      <c r="C10" s="5"/>
      <c r="D10" s="5"/>
      <c r="E10" s="5"/>
      <c r="F10" s="5"/>
      <c r="G10" s="5"/>
      <c r="H10" s="5"/>
      <c r="I10" s="5"/>
      <c r="J10" s="5"/>
      <c r="K10" s="5"/>
      <c r="L10" s="5"/>
      <c r="N10" s="12"/>
      <c r="O10" s="12" t="s">
        <v>153</v>
      </c>
      <c r="P10" s="13">
        <f>'Summary Page'!E107</f>
        <v>2.2680555555555554E-2</v>
      </c>
      <c r="Q10" s="13">
        <f>IF($C$18="Electricity - Calvin",P10,0)</f>
        <v>2.2680555555555554E-2</v>
      </c>
      <c r="R10" s="12"/>
    </row>
    <row r="11" spans="1:21">
      <c r="C11" s="212" t="s">
        <v>79</v>
      </c>
      <c r="D11" s="212" t="s">
        <v>80</v>
      </c>
      <c r="J11" s="212" t="s">
        <v>79</v>
      </c>
      <c r="K11" s="212" t="s">
        <v>80</v>
      </c>
      <c r="N11" s="12"/>
      <c r="O11" s="12"/>
      <c r="P11" s="12"/>
      <c r="Q11" s="13">
        <f>SUM(Q6:Q10)</f>
        <v>2.2680555555555554E-2</v>
      </c>
      <c r="R11" s="12"/>
    </row>
    <row r="12" spans="1:21" ht="30">
      <c r="B12" s="213" t="s">
        <v>154</v>
      </c>
      <c r="C12" s="104">
        <v>14.015000000000001</v>
      </c>
      <c r="D12" s="104">
        <v>0.39505000000000001</v>
      </c>
      <c r="I12" s="213" t="s">
        <v>154</v>
      </c>
      <c r="J12" s="79">
        <v>436.697</v>
      </c>
      <c r="K12" s="79">
        <v>436.697</v>
      </c>
      <c r="N12" s="12"/>
      <c r="O12" s="12"/>
      <c r="P12" s="12"/>
      <c r="Q12" s="12"/>
      <c r="R12" s="12"/>
    </row>
    <row r="13" spans="1:21" ht="30">
      <c r="B13" s="213" t="s">
        <v>155</v>
      </c>
      <c r="C13" s="79">
        <v>1579.0219999999999</v>
      </c>
      <c r="D13" s="79">
        <v>4461.6499999999996</v>
      </c>
      <c r="I13" s="213" t="s">
        <v>155</v>
      </c>
      <c r="J13" s="79">
        <v>1306.8</v>
      </c>
      <c r="K13" s="79">
        <v>1454.4</v>
      </c>
      <c r="N13" s="12"/>
      <c r="O13" s="12" t="s">
        <v>146</v>
      </c>
      <c r="P13" s="13">
        <f>'Summary Page'!E103</f>
        <v>1.052E-2</v>
      </c>
      <c r="Q13" s="13">
        <f>IF($J$18="Natural Gas - Commercial",P13,0)</f>
        <v>0</v>
      </c>
      <c r="R13" s="12"/>
    </row>
    <row r="14" spans="1:21" ht="30">
      <c r="B14" s="213" t="s">
        <v>156</v>
      </c>
      <c r="C14" s="79">
        <v>8.5389999999999997</v>
      </c>
      <c r="D14" s="79">
        <v>0.65</v>
      </c>
      <c r="I14" s="213" t="s">
        <v>156</v>
      </c>
      <c r="J14" s="79">
        <v>53.15</v>
      </c>
      <c r="K14" s="79">
        <v>46.7</v>
      </c>
      <c r="N14" s="12"/>
      <c r="O14" s="12" t="s">
        <v>147</v>
      </c>
      <c r="P14" s="13">
        <f>'Summary Page'!E104</f>
        <v>4.3709177868852499E-3</v>
      </c>
      <c r="Q14" s="13">
        <f>IF($J$18="Natural Gas - Calvin",P14,0)</f>
        <v>0</v>
      </c>
      <c r="R14" s="12"/>
    </row>
    <row r="15" spans="1:21">
      <c r="B15" s="213"/>
      <c r="I15" s="213"/>
      <c r="N15" s="12"/>
      <c r="O15" s="12" t="s">
        <v>151</v>
      </c>
      <c r="P15" s="13">
        <f>'Summary Page'!E105</f>
        <v>2.1100000000000001E-2</v>
      </c>
      <c r="Q15" s="13">
        <f>IF($J$18="Gasoline",P15,0)</f>
        <v>0</v>
      </c>
      <c r="R15" s="12"/>
    </row>
    <row r="16" spans="1:21" ht="30">
      <c r="B16" s="213" t="s">
        <v>157</v>
      </c>
      <c r="C16" s="9">
        <v>0</v>
      </c>
      <c r="I16" s="213" t="s">
        <v>157</v>
      </c>
      <c r="J16" s="9">
        <v>0</v>
      </c>
      <c r="N16" s="12"/>
      <c r="O16" s="12" t="s">
        <v>152</v>
      </c>
      <c r="P16" s="13">
        <f>'Summary Page'!E106</f>
        <v>0.04</v>
      </c>
      <c r="Q16" s="13">
        <f>IF($J$18="Electricity - Commercial",P16,0)</f>
        <v>0.04</v>
      </c>
      <c r="R16" s="12"/>
    </row>
    <row r="17" spans="2:18">
      <c r="B17" s="213"/>
      <c r="C17" s="213"/>
      <c r="D17" s="213"/>
      <c r="E17" s="213"/>
      <c r="F17" s="213"/>
      <c r="G17" s="213"/>
      <c r="H17" s="213"/>
      <c r="I17" s="213"/>
      <c r="J17" s="213"/>
      <c r="N17" s="12"/>
      <c r="O17" s="12" t="s">
        <v>153</v>
      </c>
      <c r="P17" s="13">
        <f>'Summary Page'!E107</f>
        <v>2.2680555555555554E-2</v>
      </c>
      <c r="Q17" s="13">
        <f>IF($J$18="Electricity - Calvin",P17,0)</f>
        <v>0</v>
      </c>
      <c r="R17" s="12"/>
    </row>
    <row r="18" spans="2:18" ht="30">
      <c r="B18" s="14" t="s">
        <v>158</v>
      </c>
      <c r="C18" s="23" t="s">
        <v>153</v>
      </c>
      <c r="D18" s="72">
        <f>Q11</f>
        <v>2.2680555555555554E-2</v>
      </c>
      <c r="E18" s="213" t="s">
        <v>159</v>
      </c>
      <c r="F18" s="213"/>
      <c r="G18" s="213"/>
      <c r="H18" s="213"/>
      <c r="I18" s="14" t="s">
        <v>158</v>
      </c>
      <c r="J18" s="23" t="s">
        <v>152</v>
      </c>
      <c r="K18" s="100">
        <f>Q18</f>
        <v>0.04</v>
      </c>
      <c r="L18" s="214" t="s">
        <v>159</v>
      </c>
      <c r="N18" s="12"/>
      <c r="O18" s="12"/>
      <c r="P18" s="12"/>
      <c r="Q18" s="13">
        <f>SUM(Q13:Q17)</f>
        <v>0.04</v>
      </c>
      <c r="R18" s="12"/>
    </row>
    <row r="19" spans="2:18" ht="29.1" customHeight="1">
      <c r="B19" s="14"/>
      <c r="C19" s="212" t="s">
        <v>79</v>
      </c>
      <c r="D19" s="212" t="s">
        <v>80</v>
      </c>
      <c r="E19" s="14"/>
      <c r="F19" s="14"/>
      <c r="G19" s="14"/>
      <c r="H19" s="14"/>
      <c r="I19" s="14"/>
      <c r="J19" s="212" t="s">
        <v>79</v>
      </c>
      <c r="K19" s="212" t="s">
        <v>80</v>
      </c>
      <c r="L19" s="14"/>
      <c r="N19" s="12"/>
      <c r="O19" s="12"/>
      <c r="P19" s="12"/>
      <c r="Q19" s="12"/>
      <c r="R19" s="12"/>
    </row>
    <row r="20" spans="2:18" ht="29.1" customHeight="1">
      <c r="B20" s="174" t="s">
        <v>124</v>
      </c>
      <c r="C20" s="23">
        <v>10</v>
      </c>
      <c r="D20" s="23">
        <v>30</v>
      </c>
      <c r="E20" s="213"/>
      <c r="F20" s="213"/>
      <c r="G20" s="213"/>
      <c r="H20" s="213"/>
      <c r="I20" s="174" t="s">
        <v>124</v>
      </c>
      <c r="J20" s="23">
        <v>14</v>
      </c>
      <c r="K20" s="23">
        <v>14</v>
      </c>
      <c r="L20" s="214"/>
      <c r="O20" s="12"/>
      <c r="P20" s="12"/>
      <c r="Q20" s="12"/>
      <c r="R20" s="12"/>
    </row>
    <row r="21" spans="2:18" ht="29.1" customHeight="1">
      <c r="O21" s="12"/>
      <c r="P21" s="12"/>
      <c r="Q21" s="12"/>
      <c r="R21" s="12"/>
    </row>
    <row r="22" spans="2:18" ht="29.1" customHeight="1">
      <c r="B22" s="5" t="s">
        <v>160</v>
      </c>
      <c r="C22" s="4"/>
      <c r="I22" s="5"/>
      <c r="O22" s="12"/>
      <c r="P22" s="12"/>
      <c r="Q22" s="12"/>
      <c r="R22" s="12"/>
    </row>
    <row r="23" spans="2:18" ht="29.1" customHeight="1">
      <c r="O23" s="12"/>
      <c r="P23" s="12"/>
      <c r="Q23" s="12"/>
      <c r="R23" s="12"/>
    </row>
    <row r="24" spans="2:18" ht="29.1" customHeight="1">
      <c r="B24" s="327" t="s">
        <v>161</v>
      </c>
      <c r="C24" s="328"/>
      <c r="D24" s="8">
        <f>C12-D12</f>
        <v>13.619950000000001</v>
      </c>
      <c r="I24" s="327" t="s">
        <v>161</v>
      </c>
      <c r="J24" s="328"/>
      <c r="K24" s="8">
        <f>J12-K12</f>
        <v>0</v>
      </c>
    </row>
    <row r="25" spans="2:18">
      <c r="B25" s="327" t="s">
        <v>162</v>
      </c>
      <c r="C25" s="327"/>
      <c r="D25" s="8">
        <f>D13-C13</f>
        <v>2882.6279999999997</v>
      </c>
      <c r="I25" s="327" t="s">
        <v>162</v>
      </c>
      <c r="J25" s="327"/>
      <c r="K25" s="8">
        <f>K13-J13</f>
        <v>147.60000000000014</v>
      </c>
    </row>
    <row r="26" spans="2:18">
      <c r="B26" s="335" t="s">
        <v>163</v>
      </c>
      <c r="C26" s="336"/>
      <c r="D26" s="8">
        <f>C14-D14</f>
        <v>7.8889999999999993</v>
      </c>
      <c r="I26" s="335" t="s">
        <v>163</v>
      </c>
      <c r="J26" s="336"/>
      <c r="K26" s="8">
        <f>J14-K14</f>
        <v>6.4499999999999957</v>
      </c>
    </row>
    <row r="27" spans="2:18">
      <c r="B27" s="335" t="s">
        <v>164</v>
      </c>
      <c r="C27" s="336"/>
      <c r="D27" s="8">
        <f>D25*(1-(C16/100))</f>
        <v>2882.6279999999997</v>
      </c>
      <c r="I27" s="335" t="s">
        <v>164</v>
      </c>
      <c r="J27" s="336"/>
      <c r="K27" s="8">
        <f>K25*(1-(J16/100))</f>
        <v>147.60000000000014</v>
      </c>
    </row>
    <row r="28" spans="2:18">
      <c r="B28" s="335" t="s">
        <v>165</v>
      </c>
      <c r="C28" s="336"/>
      <c r="D28" s="8">
        <f>D24/D25</f>
        <v>4.7248378909800371E-3</v>
      </c>
      <c r="I28" s="335" t="s">
        <v>165</v>
      </c>
      <c r="J28" s="336"/>
      <c r="K28" s="8">
        <f>K24/K25</f>
        <v>0</v>
      </c>
    </row>
    <row r="29" spans="2:18">
      <c r="B29" s="335" t="s">
        <v>166</v>
      </c>
      <c r="C29" s="336"/>
      <c r="D29" s="20">
        <f>D26/(D18*D25)</f>
        <v>0.1206645414932114</v>
      </c>
      <c r="I29" s="335" t="s">
        <v>166</v>
      </c>
      <c r="J29" s="336"/>
      <c r="K29" s="8">
        <f>K26/(K18*K25)</f>
        <v>1.0924796747967462</v>
      </c>
    </row>
  </sheetData>
  <sheetProtection sheet="1" objects="1" scenarios="1"/>
  <mergeCells count="17">
    <mergeCell ref="B29:C29"/>
    <mergeCell ref="I29:J29"/>
    <mergeCell ref="B26:C26"/>
    <mergeCell ref="I26:J26"/>
    <mergeCell ref="B27:C27"/>
    <mergeCell ref="I27:J27"/>
    <mergeCell ref="B28:C28"/>
    <mergeCell ref="I28:J28"/>
    <mergeCell ref="B25:C25"/>
    <mergeCell ref="I25:J25"/>
    <mergeCell ref="A1:XFD2"/>
    <mergeCell ref="C6:E6"/>
    <mergeCell ref="J6:L6"/>
    <mergeCell ref="B24:C24"/>
    <mergeCell ref="I24:J24"/>
    <mergeCell ref="C8:E9"/>
    <mergeCell ref="J8:L9"/>
  </mergeCells>
  <dataValidations count="4">
    <dataValidation type="list" allowBlank="1" showInputMessage="1" showErrorMessage="1" sqref="O15" xr:uid="{42E92973-3B9F-4408-ABEA-E0170CBEADD4}">
      <formula1>$O$6:$O$9</formula1>
    </dataValidation>
    <dataValidation type="list" allowBlank="1" showInputMessage="1" showErrorMessage="1" sqref="O13:O14 O6:O10 O16:O17" xr:uid="{06AF5A33-BBFC-429A-A66B-7E84034798EB}">
      <formula1>$O$6:$O$10</formula1>
    </dataValidation>
    <dataValidation type="list" allowBlank="1" showInputMessage="1" showErrorMessage="1" sqref="C18" xr:uid="{F5674330-20F6-4193-811F-8F47391D01DA}">
      <formula1>$O$5:$O$10</formula1>
    </dataValidation>
    <dataValidation type="list" allowBlank="1" showInputMessage="1" showErrorMessage="1" sqref="J18" xr:uid="{9CF1E74C-D13D-412A-8D70-54306C0BCA86}">
      <formula1>$O$15</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295B7-1A62-4EAA-8CF1-CC98E2A31B6A}">
  <sheetPr>
    <tabColor theme="9" tint="0.39997558519241921"/>
  </sheetPr>
  <dimension ref="A1:AD67"/>
  <sheetViews>
    <sheetView zoomScale="80" zoomScaleNormal="80" workbookViewId="0">
      <selection activeCell="J21" sqref="J21"/>
    </sheetView>
  </sheetViews>
  <sheetFormatPr defaultColWidth="9.140625" defaultRowHeight="15"/>
  <cols>
    <col min="1" max="1" width="9.140625" style="2"/>
    <col min="2" max="2" width="19.7109375" style="2" bestFit="1" customWidth="1"/>
    <col min="3" max="4" width="13.42578125" style="2" customWidth="1"/>
    <col min="5" max="7" width="9.140625" style="2"/>
    <col min="8" max="8" width="14.140625" style="2" customWidth="1"/>
    <col min="9" max="9" width="17.140625" style="2" bestFit="1" customWidth="1"/>
    <col min="10" max="11" width="13.42578125" style="2" customWidth="1"/>
    <col min="12" max="12" width="9.85546875" style="2" bestFit="1" customWidth="1"/>
    <col min="13" max="14" width="9.140625" style="39"/>
    <col min="15" max="15" width="24.42578125" style="39" customWidth="1"/>
    <col min="16" max="20" width="9.140625" style="39"/>
    <col min="21" max="16384" width="9.140625" style="2"/>
  </cols>
  <sheetData>
    <row r="1" spans="1:30" s="326" customFormat="1">
      <c r="A1" s="326" t="s">
        <v>142</v>
      </c>
    </row>
    <row r="2" spans="1:30" s="326" customFormat="1"/>
    <row r="3" spans="1:30">
      <c r="N3" s="12"/>
      <c r="O3" s="12"/>
      <c r="P3" s="12"/>
      <c r="Q3" s="12"/>
      <c r="R3" s="12"/>
      <c r="S3" s="12"/>
      <c r="T3" s="12"/>
      <c r="U3" s="12"/>
    </row>
    <row r="4" spans="1:30">
      <c r="B4" s="5" t="s">
        <v>143</v>
      </c>
      <c r="C4" s="3"/>
      <c r="N4" s="12"/>
      <c r="O4" s="12"/>
      <c r="P4" s="12"/>
      <c r="Q4" s="12"/>
      <c r="R4" s="12"/>
      <c r="S4" s="12"/>
      <c r="T4" s="12"/>
      <c r="U4" s="12"/>
      <c r="V4" s="39"/>
      <c r="W4" s="39"/>
      <c r="X4" s="39"/>
    </row>
    <row r="5" spans="1:30">
      <c r="N5" s="12"/>
      <c r="O5" s="12"/>
      <c r="P5" s="12"/>
      <c r="Q5" s="12"/>
      <c r="R5" s="12"/>
      <c r="S5" s="12"/>
      <c r="T5" s="12"/>
      <c r="U5" s="12"/>
      <c r="V5" s="39"/>
      <c r="W5" s="39"/>
      <c r="X5" s="39"/>
    </row>
    <row r="6" spans="1:30">
      <c r="B6" s="7" t="s">
        <v>144</v>
      </c>
      <c r="C6" s="325" t="s">
        <v>19</v>
      </c>
      <c r="D6" s="325"/>
      <c r="E6" s="325"/>
      <c r="I6" s="1" t="s">
        <v>145</v>
      </c>
      <c r="J6" s="325" t="s">
        <v>27</v>
      </c>
      <c r="K6" s="325"/>
      <c r="L6" s="325"/>
      <c r="N6" s="12"/>
      <c r="O6" s="12" t="s">
        <v>146</v>
      </c>
      <c r="P6" s="13">
        <f>'Summary Page'!E103</f>
        <v>1.052E-2</v>
      </c>
      <c r="Q6" s="13">
        <f>IF($C$18="Natural Gas - Commercial",P6,0)</f>
        <v>0</v>
      </c>
      <c r="R6" s="12"/>
      <c r="S6" s="12"/>
      <c r="T6" s="12"/>
      <c r="U6" s="12"/>
      <c r="V6" s="39"/>
      <c r="W6" s="39"/>
      <c r="X6" s="39"/>
    </row>
    <row r="7" spans="1:30" s="90" customFormat="1">
      <c r="B7" s="91"/>
      <c r="C7" s="94"/>
      <c r="D7" s="94"/>
      <c r="E7" s="94"/>
      <c r="I7" s="93"/>
      <c r="J7" s="94"/>
      <c r="K7" s="94"/>
      <c r="L7" s="94"/>
      <c r="M7" s="39"/>
      <c r="N7" s="12"/>
      <c r="O7" s="12" t="s">
        <v>147</v>
      </c>
      <c r="P7" s="13">
        <f>'Summary Page'!E104</f>
        <v>4.3709177868852499E-3</v>
      </c>
      <c r="Q7" s="13">
        <f>IF($C$18="Natural Gas - Calvin",P7,0)</f>
        <v>0</v>
      </c>
      <c r="R7" s="12"/>
      <c r="S7" s="12"/>
      <c r="T7" s="12"/>
      <c r="U7" s="12"/>
      <c r="V7" s="39"/>
      <c r="W7" s="39"/>
      <c r="X7" s="39"/>
      <c r="Y7" s="2"/>
      <c r="Z7" s="2"/>
      <c r="AA7" s="2"/>
      <c r="AB7" s="2"/>
      <c r="AC7" s="2"/>
      <c r="AD7" s="2"/>
    </row>
    <row r="8" spans="1:30" ht="30" customHeight="1">
      <c r="B8" s="86" t="s">
        <v>148</v>
      </c>
      <c r="C8" s="337" t="s">
        <v>177</v>
      </c>
      <c r="D8" s="338"/>
      <c r="E8" s="339"/>
      <c r="I8" s="86" t="s">
        <v>148</v>
      </c>
      <c r="J8" s="337" t="s">
        <v>178</v>
      </c>
      <c r="K8" s="338"/>
      <c r="L8" s="339"/>
      <c r="N8" s="12"/>
      <c r="O8" s="12" t="s">
        <v>151</v>
      </c>
      <c r="P8" s="13">
        <f>'Summary Page'!E105</f>
        <v>2.1100000000000001E-2</v>
      </c>
      <c r="Q8" s="13">
        <f>IF($C$18="Gasoline",P8,0)</f>
        <v>0</v>
      </c>
      <c r="R8" s="12"/>
      <c r="S8" s="12"/>
      <c r="T8" s="12"/>
      <c r="U8" s="12"/>
      <c r="V8" s="39"/>
      <c r="W8" s="39"/>
      <c r="X8" s="39"/>
    </row>
    <row r="9" spans="1:30" ht="45" customHeight="1">
      <c r="B9" s="80"/>
      <c r="C9" s="340"/>
      <c r="D9" s="341"/>
      <c r="E9" s="342"/>
      <c r="I9" s="81"/>
      <c r="J9" s="340"/>
      <c r="K9" s="341"/>
      <c r="L9" s="342"/>
      <c r="N9" s="12"/>
      <c r="O9" s="12" t="s">
        <v>152</v>
      </c>
      <c r="P9" s="13">
        <f>'Summary Page'!E106</f>
        <v>0.04</v>
      </c>
      <c r="Q9" s="13">
        <f>IF($C$18="Electricity - Commercia",P9,0)</f>
        <v>0</v>
      </c>
      <c r="R9" s="12"/>
      <c r="S9" s="12"/>
      <c r="T9" s="12"/>
      <c r="U9" s="12"/>
      <c r="V9" s="39"/>
      <c r="W9" s="39"/>
      <c r="X9" s="39"/>
    </row>
    <row r="10" spans="1:30">
      <c r="B10" s="6"/>
      <c r="C10" s="5"/>
      <c r="D10" s="5"/>
      <c r="E10" s="5"/>
      <c r="F10" s="5"/>
      <c r="G10" s="5"/>
      <c r="H10" s="5"/>
      <c r="I10" s="5"/>
      <c r="J10" s="5"/>
      <c r="K10" s="5"/>
      <c r="L10" s="5"/>
      <c r="N10" s="12"/>
      <c r="O10" s="12" t="s">
        <v>153</v>
      </c>
      <c r="P10" s="13">
        <f>'Summary Page'!E107</f>
        <v>2.2680555555555554E-2</v>
      </c>
      <c r="Q10" s="13">
        <f>IF($C$18="Electricity - Calvin",P10,0)</f>
        <v>2.2680555555555554E-2</v>
      </c>
      <c r="R10" s="12"/>
      <c r="S10" s="12"/>
      <c r="T10" s="12"/>
      <c r="U10" s="12"/>
      <c r="V10" s="39"/>
      <c r="W10" s="39"/>
      <c r="X10" s="39"/>
    </row>
    <row r="11" spans="1:30">
      <c r="C11" s="212" t="s">
        <v>79</v>
      </c>
      <c r="D11" s="212" t="s">
        <v>80</v>
      </c>
      <c r="J11" s="212" t="s">
        <v>79</v>
      </c>
      <c r="K11" s="212" t="s">
        <v>80</v>
      </c>
      <c r="N11" s="12"/>
      <c r="O11" s="12"/>
      <c r="P11" s="12"/>
      <c r="Q11" s="13">
        <f>SUM(Q6:Q10)</f>
        <v>2.2680555555555554E-2</v>
      </c>
      <c r="R11" s="12"/>
      <c r="S11" s="12"/>
      <c r="T11" s="12"/>
      <c r="U11" s="12"/>
      <c r="V11" s="39"/>
      <c r="W11" s="39"/>
      <c r="X11" s="39"/>
    </row>
    <row r="12" spans="1:30" ht="30">
      <c r="B12" s="213" t="s">
        <v>154</v>
      </c>
      <c r="C12" s="78">
        <v>9.61</v>
      </c>
      <c r="D12" s="78">
        <v>3.28</v>
      </c>
      <c r="I12" s="213" t="s">
        <v>154</v>
      </c>
      <c r="J12" s="78">
        <v>6959</v>
      </c>
      <c r="K12" s="78">
        <v>6765</v>
      </c>
      <c r="N12" s="12"/>
      <c r="O12" s="12"/>
      <c r="P12" s="12"/>
      <c r="Q12" s="12"/>
      <c r="R12" s="12"/>
      <c r="S12" s="12"/>
      <c r="T12" s="12"/>
      <c r="U12" s="12"/>
      <c r="V12" s="39"/>
      <c r="W12" s="39"/>
      <c r="X12" s="39"/>
    </row>
    <row r="13" spans="1:30" ht="30">
      <c r="B13" s="213" t="s">
        <v>155</v>
      </c>
      <c r="C13" s="78">
        <v>1098</v>
      </c>
      <c r="D13" s="78">
        <v>1472.4</v>
      </c>
      <c r="I13" s="213" t="s">
        <v>155</v>
      </c>
      <c r="J13" s="78">
        <v>45357</v>
      </c>
      <c r="K13" s="78">
        <v>70556</v>
      </c>
      <c r="N13" s="12"/>
      <c r="O13" s="12" t="s">
        <v>146</v>
      </c>
      <c r="P13" s="13">
        <f>'Summary Page'!E103</f>
        <v>1.052E-2</v>
      </c>
      <c r="Q13" s="13">
        <f>IF($J$18="Natural Gas - Commercial",P13,0)</f>
        <v>0</v>
      </c>
      <c r="R13" s="12"/>
      <c r="S13" s="12"/>
      <c r="T13" s="12"/>
      <c r="U13" s="12"/>
      <c r="V13" s="39"/>
      <c r="W13" s="39"/>
      <c r="X13" s="39"/>
    </row>
    <row r="14" spans="1:30" ht="30">
      <c r="B14" s="213" t="s">
        <v>156</v>
      </c>
      <c r="C14" s="78">
        <v>7.9989999999999997</v>
      </c>
      <c r="D14" s="78">
        <v>0.96699999999999997</v>
      </c>
      <c r="I14" s="213" t="s">
        <v>156</v>
      </c>
      <c r="J14" s="78">
        <v>6714.19</v>
      </c>
      <c r="K14" s="78">
        <v>6355.34</v>
      </c>
      <c r="N14" s="12"/>
      <c r="O14" s="12" t="s">
        <v>147</v>
      </c>
      <c r="P14" s="13">
        <f>'Summary Page'!E104</f>
        <v>4.3709177868852499E-3</v>
      </c>
      <c r="Q14" s="13">
        <f>IF($J$18="Natural Gas - Calvin",P14,0)</f>
        <v>0</v>
      </c>
      <c r="R14" s="12"/>
      <c r="S14" s="12"/>
      <c r="T14" s="12"/>
      <c r="U14" s="12"/>
      <c r="V14" s="39"/>
      <c r="W14" s="39"/>
      <c r="X14" s="39"/>
    </row>
    <row r="15" spans="1:30">
      <c r="B15" s="213"/>
      <c r="I15" s="213"/>
      <c r="N15" s="12"/>
      <c r="O15" s="12" t="s">
        <v>151</v>
      </c>
      <c r="P15" s="13">
        <f>'Summary Page'!E105</f>
        <v>2.1100000000000001E-2</v>
      </c>
      <c r="Q15" s="13">
        <f>IF($J$18="Gasoline",P15,0)</f>
        <v>2.1100000000000001E-2</v>
      </c>
      <c r="R15" s="12"/>
      <c r="S15" s="12"/>
      <c r="T15" s="12"/>
      <c r="U15" s="12"/>
      <c r="V15" s="39"/>
      <c r="W15" s="39"/>
      <c r="X15" s="39"/>
    </row>
    <row r="16" spans="1:30" ht="30">
      <c r="B16" s="213" t="s">
        <v>157</v>
      </c>
      <c r="C16" s="9">
        <v>7.1</v>
      </c>
      <c r="I16" s="213" t="s">
        <v>157</v>
      </c>
      <c r="J16" s="9">
        <v>20</v>
      </c>
      <c r="N16" s="12"/>
      <c r="O16" s="12" t="s">
        <v>152</v>
      </c>
      <c r="P16" s="13">
        <f>'Summary Page'!E106</f>
        <v>0.04</v>
      </c>
      <c r="Q16" s="13">
        <f>IF($J$18="Electricity - Commercial",P16,0)</f>
        <v>0</v>
      </c>
      <c r="R16" s="12"/>
      <c r="S16" s="12"/>
      <c r="T16" s="12"/>
      <c r="U16" s="12"/>
      <c r="V16" s="39"/>
      <c r="W16" s="39"/>
      <c r="X16" s="39"/>
    </row>
    <row r="17" spans="2:24">
      <c r="B17" s="213"/>
      <c r="C17" s="213"/>
      <c r="D17" s="213"/>
      <c r="E17" s="213"/>
      <c r="F17" s="213"/>
      <c r="G17" s="213"/>
      <c r="H17" s="213"/>
      <c r="I17" s="213"/>
      <c r="J17" s="213"/>
      <c r="N17" s="12"/>
      <c r="O17" s="12" t="s">
        <v>153</v>
      </c>
      <c r="P17" s="13">
        <f>'Summary Page'!E107</f>
        <v>2.2680555555555554E-2</v>
      </c>
      <c r="Q17" s="13">
        <f>IF($J$18="Electricity - Calvin",P17,0)</f>
        <v>0</v>
      </c>
      <c r="R17" s="12"/>
      <c r="S17" s="12"/>
      <c r="T17" s="12"/>
      <c r="U17" s="12"/>
      <c r="V17" s="39"/>
      <c r="W17" s="39"/>
      <c r="X17" s="39"/>
    </row>
    <row r="18" spans="2:24" ht="30">
      <c r="B18" s="14" t="s">
        <v>158</v>
      </c>
      <c r="C18" s="23" t="s">
        <v>153</v>
      </c>
      <c r="D18" s="72">
        <f>Q11</f>
        <v>2.2680555555555554E-2</v>
      </c>
      <c r="E18" s="213" t="s">
        <v>159</v>
      </c>
      <c r="F18" s="213"/>
      <c r="G18" s="213"/>
      <c r="H18" s="213"/>
      <c r="I18" s="14" t="s">
        <v>158</v>
      </c>
      <c r="J18" s="23" t="s">
        <v>151</v>
      </c>
      <c r="K18" s="100">
        <f>Q18</f>
        <v>2.1100000000000001E-2</v>
      </c>
      <c r="L18" s="214" t="s">
        <v>159</v>
      </c>
      <c r="N18" s="12"/>
      <c r="O18" s="12"/>
      <c r="P18" s="12"/>
      <c r="Q18" s="13">
        <f>SUM(Q13:Q17)</f>
        <v>2.1100000000000001E-2</v>
      </c>
      <c r="R18" s="12"/>
      <c r="S18" s="12"/>
      <c r="T18" s="12"/>
      <c r="U18" s="12"/>
      <c r="V18" s="39"/>
      <c r="W18" s="39"/>
      <c r="X18" s="39"/>
    </row>
    <row r="19" spans="2:24" ht="29.1" customHeight="1">
      <c r="B19" s="14"/>
      <c r="C19" s="212" t="s">
        <v>79</v>
      </c>
      <c r="D19" s="212" t="s">
        <v>80</v>
      </c>
      <c r="E19" s="14"/>
      <c r="F19" s="14"/>
      <c r="G19" s="14"/>
      <c r="H19" s="14"/>
      <c r="I19" s="14"/>
      <c r="J19" s="212" t="s">
        <v>79</v>
      </c>
      <c r="K19" s="212" t="s">
        <v>80</v>
      </c>
      <c r="L19" s="14"/>
      <c r="N19" s="12"/>
      <c r="O19" s="12"/>
      <c r="P19" s="12"/>
      <c r="Q19" s="12"/>
      <c r="R19" s="12"/>
      <c r="S19" s="12"/>
      <c r="T19" s="12"/>
      <c r="U19" s="12"/>
      <c r="V19" s="39"/>
      <c r="W19" s="39"/>
      <c r="X19" s="39"/>
    </row>
    <row r="20" spans="2:24" ht="29.1" customHeight="1">
      <c r="B20" s="174" t="s">
        <v>124</v>
      </c>
      <c r="C20" s="23">
        <v>10</v>
      </c>
      <c r="D20" s="23">
        <v>15</v>
      </c>
      <c r="E20" s="213"/>
      <c r="F20" s="213"/>
      <c r="G20" s="213"/>
      <c r="H20" s="213"/>
      <c r="I20" s="174" t="s">
        <v>124</v>
      </c>
      <c r="J20" s="23">
        <v>12</v>
      </c>
      <c r="K20" s="23">
        <v>12</v>
      </c>
      <c r="L20" s="214"/>
      <c r="N20" s="12"/>
      <c r="O20" s="12"/>
      <c r="P20" s="12"/>
      <c r="Q20" s="12"/>
      <c r="R20" s="12"/>
      <c r="S20" s="12"/>
      <c r="T20" s="12"/>
      <c r="U20" s="12"/>
      <c r="V20" s="39"/>
      <c r="W20" s="39"/>
      <c r="X20" s="39"/>
    </row>
    <row r="21" spans="2:24" ht="29.1" customHeight="1">
      <c r="N21" s="12"/>
      <c r="O21" s="12"/>
      <c r="P21" s="12"/>
      <c r="Q21" s="12"/>
      <c r="R21" s="12"/>
      <c r="S21" s="12"/>
      <c r="T21" s="12"/>
      <c r="U21" s="12"/>
      <c r="V21" s="39"/>
      <c r="W21" s="39"/>
      <c r="X21" s="39"/>
    </row>
    <row r="22" spans="2:24" ht="29.1" customHeight="1">
      <c r="B22" s="5" t="s">
        <v>160</v>
      </c>
      <c r="C22" s="4"/>
      <c r="I22" s="5"/>
      <c r="N22" s="12"/>
      <c r="O22" s="12"/>
      <c r="P22" s="12"/>
      <c r="Q22" s="12"/>
      <c r="R22" s="12"/>
      <c r="S22" s="12"/>
      <c r="T22" s="12"/>
      <c r="U22" s="12"/>
      <c r="V22" s="39"/>
      <c r="W22" s="39"/>
      <c r="X22" s="39"/>
    </row>
    <row r="23" spans="2:24" ht="29.1" customHeight="1">
      <c r="N23" s="12"/>
      <c r="O23" s="12"/>
      <c r="P23" s="12"/>
      <c r="Q23" s="12"/>
      <c r="R23" s="12"/>
      <c r="S23" s="12"/>
      <c r="T23" s="12"/>
      <c r="U23" s="12"/>
      <c r="V23" s="39"/>
      <c r="W23" s="39"/>
      <c r="X23" s="39"/>
    </row>
    <row r="24" spans="2:24" ht="29.1" customHeight="1">
      <c r="B24" s="327" t="s">
        <v>161</v>
      </c>
      <c r="C24" s="328"/>
      <c r="D24" s="114">
        <f>C12-D12</f>
        <v>6.33</v>
      </c>
      <c r="I24" s="327" t="s">
        <v>161</v>
      </c>
      <c r="J24" s="328"/>
      <c r="K24" s="8">
        <f>J12-K12</f>
        <v>194</v>
      </c>
      <c r="U24" s="39"/>
      <c r="V24" s="39"/>
      <c r="W24" s="39"/>
      <c r="X24" s="39"/>
    </row>
    <row r="25" spans="2:24">
      <c r="B25" s="327" t="s">
        <v>162</v>
      </c>
      <c r="C25" s="327"/>
      <c r="D25" s="114">
        <f>D13-C13</f>
        <v>374.40000000000009</v>
      </c>
      <c r="I25" s="327" t="s">
        <v>162</v>
      </c>
      <c r="J25" s="327"/>
      <c r="K25" s="8">
        <f>K13-J13</f>
        <v>25199</v>
      </c>
    </row>
    <row r="26" spans="2:24">
      <c r="B26" s="335" t="s">
        <v>163</v>
      </c>
      <c r="C26" s="336"/>
      <c r="D26" s="8">
        <f>C14-D14</f>
        <v>7.032</v>
      </c>
      <c r="I26" s="335" t="s">
        <v>163</v>
      </c>
      <c r="J26" s="336"/>
      <c r="K26" s="8">
        <f>J14-K14</f>
        <v>358.84999999999945</v>
      </c>
    </row>
    <row r="27" spans="2:24">
      <c r="B27" s="335" t="s">
        <v>164</v>
      </c>
      <c r="C27" s="336"/>
      <c r="D27" s="8">
        <f>D25*(1-(C16/100))</f>
        <v>347.81760000000008</v>
      </c>
      <c r="I27" s="335" t="s">
        <v>164</v>
      </c>
      <c r="J27" s="336"/>
      <c r="K27" s="8">
        <f>K25*(1-(J16/100))</f>
        <v>20159.2</v>
      </c>
    </row>
    <row r="28" spans="2:24">
      <c r="B28" s="335" t="s">
        <v>165</v>
      </c>
      <c r="C28" s="336"/>
      <c r="D28" s="8">
        <f>D24/D25</f>
        <v>1.6907051282051277E-2</v>
      </c>
      <c r="I28" s="335" t="s">
        <v>165</v>
      </c>
      <c r="J28" s="336"/>
      <c r="K28" s="8">
        <f>K24/K25</f>
        <v>7.6987182031032974E-3</v>
      </c>
    </row>
    <row r="29" spans="2:24">
      <c r="B29" s="335" t="s">
        <v>166</v>
      </c>
      <c r="C29" s="336"/>
      <c r="D29" s="20">
        <f>D26/(D18*D25)</f>
        <v>0.82811248763483891</v>
      </c>
      <c r="I29" s="335" t="s">
        <v>166</v>
      </c>
      <c r="J29" s="336"/>
      <c r="K29" s="8">
        <f>K26/(K18*K25)</f>
        <v>0.67491206019045646</v>
      </c>
    </row>
    <row r="30" spans="2:24">
      <c r="M30" s="2"/>
      <c r="N30" s="2"/>
      <c r="O30" s="2"/>
      <c r="P30" s="2"/>
    </row>
    <row r="31" spans="2:24">
      <c r="M31" s="2"/>
      <c r="N31" s="2"/>
      <c r="O31" s="2"/>
      <c r="P31" s="2"/>
    </row>
    <row r="32" spans="2:24">
      <c r="M32" s="2"/>
      <c r="N32" s="2"/>
      <c r="O32" s="2"/>
      <c r="P32" s="2"/>
    </row>
    <row r="33" spans="2:16">
      <c r="M33" s="2"/>
      <c r="N33" s="2"/>
      <c r="O33" s="2"/>
      <c r="P33" s="2"/>
    </row>
    <row r="34" spans="2:16">
      <c r="M34" s="2"/>
      <c r="N34" s="2"/>
      <c r="O34" s="2"/>
      <c r="P34" s="2"/>
    </row>
    <row r="35" spans="2:16">
      <c r="B35" s="343" t="s">
        <v>139</v>
      </c>
      <c r="C35" s="343"/>
      <c r="D35" s="343"/>
      <c r="E35" s="343"/>
      <c r="I35" s="343" t="s">
        <v>179</v>
      </c>
      <c r="J35" s="343"/>
      <c r="K35" s="343"/>
      <c r="L35" s="343"/>
      <c r="M35" s="2"/>
      <c r="N35" s="2"/>
      <c r="O35" s="2"/>
      <c r="P35" s="2"/>
    </row>
    <row r="36" spans="2:16">
      <c r="B36" s="3"/>
      <c r="C36" s="215" t="s">
        <v>121</v>
      </c>
      <c r="D36" s="215" t="s">
        <v>122</v>
      </c>
      <c r="E36" s="215" t="s">
        <v>180</v>
      </c>
      <c r="I36" s="3"/>
      <c r="J36" s="215" t="s">
        <v>121</v>
      </c>
      <c r="K36" s="215" t="s">
        <v>122</v>
      </c>
      <c r="L36" s="215" t="s">
        <v>180</v>
      </c>
      <c r="M36" s="2"/>
      <c r="N36" s="2"/>
      <c r="O36" s="2"/>
      <c r="P36" s="2"/>
    </row>
    <row r="37" spans="2:16">
      <c r="B37" s="3" t="s">
        <v>124</v>
      </c>
      <c r="C37" s="215">
        <v>15</v>
      </c>
      <c r="D37" s="215">
        <v>10</v>
      </c>
      <c r="E37" s="215">
        <f>D37-C37</f>
        <v>-5</v>
      </c>
      <c r="I37" s="3" t="s">
        <v>124</v>
      </c>
      <c r="J37" s="215">
        <v>12</v>
      </c>
      <c r="K37" s="215">
        <v>12</v>
      </c>
      <c r="L37" s="215">
        <f>K37-J37</f>
        <v>0</v>
      </c>
      <c r="M37" s="2"/>
      <c r="N37" s="2"/>
      <c r="O37" s="2"/>
      <c r="P37" s="2"/>
    </row>
    <row r="38" spans="2:16" ht="16.5">
      <c r="B38" s="3" t="s">
        <v>181</v>
      </c>
      <c r="C38" s="112">
        <f>D12</f>
        <v>3.28</v>
      </c>
      <c r="D38" s="112">
        <f>C12</f>
        <v>9.61</v>
      </c>
      <c r="E38" s="215">
        <f t="shared" ref="E38" si="0">D38-C38</f>
        <v>6.33</v>
      </c>
      <c r="I38" s="3" t="s">
        <v>181</v>
      </c>
      <c r="J38" s="112">
        <f>K12</f>
        <v>6765</v>
      </c>
      <c r="K38" s="112">
        <f>J12</f>
        <v>6959</v>
      </c>
      <c r="L38" s="215">
        <f t="shared" ref="L38:L40" si="1">K38-J38</f>
        <v>194</v>
      </c>
      <c r="M38" s="2"/>
      <c r="N38" s="2"/>
      <c r="O38" s="2"/>
      <c r="P38" s="2"/>
    </row>
    <row r="39" spans="2:16">
      <c r="B39" s="3" t="s">
        <v>182</v>
      </c>
      <c r="C39" s="112">
        <f>D13</f>
        <v>1472.4</v>
      </c>
      <c r="D39" s="112">
        <f>C13</f>
        <v>1098</v>
      </c>
      <c r="E39" s="112">
        <f>C39-D39</f>
        <v>374.40000000000009</v>
      </c>
      <c r="I39" s="3" t="s">
        <v>182</v>
      </c>
      <c r="J39" s="112">
        <f>K13</f>
        <v>70556</v>
      </c>
      <c r="K39" s="112">
        <f>J13</f>
        <v>45357</v>
      </c>
      <c r="L39" s="112">
        <f>J39-K39</f>
        <v>25199</v>
      </c>
      <c r="M39" s="2"/>
      <c r="N39" s="2"/>
      <c r="O39" s="2"/>
      <c r="P39" s="2"/>
    </row>
    <row r="40" spans="2:16" ht="16.5">
      <c r="B40" s="3" t="s">
        <v>183</v>
      </c>
      <c r="C40" s="112">
        <f>D14</f>
        <v>0.96699999999999997</v>
      </c>
      <c r="D40" s="112">
        <f>C14</f>
        <v>7.9989999999999997</v>
      </c>
      <c r="E40" s="112">
        <f>D40-C40</f>
        <v>7.032</v>
      </c>
      <c r="I40" s="3" t="s">
        <v>183</v>
      </c>
      <c r="J40" s="112">
        <f>K14</f>
        <v>6355.34</v>
      </c>
      <c r="K40" s="112">
        <f>J14</f>
        <v>6714.19</v>
      </c>
      <c r="L40" s="215">
        <f t="shared" si="1"/>
        <v>358.84999999999945</v>
      </c>
      <c r="M40" s="2"/>
      <c r="N40" s="2"/>
      <c r="O40" s="2"/>
      <c r="P40" s="2"/>
    </row>
    <row r="41" spans="2:16" ht="16.5">
      <c r="B41" s="3" t="s">
        <v>184</v>
      </c>
      <c r="C41" s="344">
        <f>D18</f>
        <v>2.2680555555555554E-2</v>
      </c>
      <c r="D41" s="345"/>
      <c r="E41" s="346"/>
      <c r="I41" s="3" t="s">
        <v>184</v>
      </c>
      <c r="J41" s="344">
        <f>K18</f>
        <v>2.1100000000000001E-2</v>
      </c>
      <c r="K41" s="345"/>
      <c r="L41" s="346"/>
      <c r="M41" s="2"/>
      <c r="N41" s="2"/>
      <c r="O41" s="2"/>
      <c r="P41" s="2"/>
    </row>
    <row r="42" spans="2:16" ht="16.5">
      <c r="B42" s="3" t="s">
        <v>185</v>
      </c>
      <c r="C42" s="347">
        <f>C16</f>
        <v>7.1</v>
      </c>
      <c r="D42" s="345"/>
      <c r="E42" s="346"/>
      <c r="I42" s="3" t="s">
        <v>185</v>
      </c>
      <c r="J42" s="347">
        <f>J16</f>
        <v>20</v>
      </c>
      <c r="K42" s="345"/>
      <c r="L42" s="346"/>
      <c r="M42" s="2"/>
      <c r="N42" s="2"/>
      <c r="O42" s="2"/>
      <c r="P42" s="2"/>
    </row>
    <row r="43" spans="2:16">
      <c r="B43" s="113" t="s">
        <v>186</v>
      </c>
      <c r="C43" s="348">
        <f>D28*100</f>
        <v>1.6907051282051277</v>
      </c>
      <c r="D43" s="349"/>
      <c r="E43" s="350"/>
      <c r="I43" s="113" t="s">
        <v>186</v>
      </c>
      <c r="J43" s="348">
        <f>K28*100</f>
        <v>0.76987182031032975</v>
      </c>
      <c r="K43" s="349"/>
      <c r="L43" s="350"/>
      <c r="M43" s="2"/>
      <c r="N43" s="2"/>
      <c r="O43" s="2"/>
      <c r="P43" s="2"/>
    </row>
    <row r="44" spans="2:16">
      <c r="B44" s="3" t="s">
        <v>187</v>
      </c>
      <c r="C44" s="348">
        <f>100*D26/(D18*D25)</f>
        <v>82.811248763483903</v>
      </c>
      <c r="D44" s="349"/>
      <c r="E44" s="350"/>
      <c r="I44" s="3" t="s">
        <v>187</v>
      </c>
      <c r="J44" s="348">
        <f>100*K26/(K18*K25)</f>
        <v>67.491206019045634</v>
      </c>
      <c r="K44" s="349"/>
      <c r="L44" s="350"/>
      <c r="M44" s="2"/>
      <c r="N44" s="2"/>
      <c r="O44" s="2"/>
      <c r="P44" s="2"/>
    </row>
    <row r="45" spans="2:16" ht="16.5">
      <c r="B45" s="3" t="s">
        <v>188</v>
      </c>
      <c r="C45" s="348">
        <f>((1-(C16/100)-D29)*' Figures - Economy Wide'!G20*' Figures - Economy Wide'!H20*'Team C'!D18)*100</f>
        <v>16.911974071581227</v>
      </c>
      <c r="D45" s="349"/>
      <c r="E45" s="350"/>
      <c r="I45" s="3" t="s">
        <v>188</v>
      </c>
      <c r="J45" s="348">
        <f>((1-(J16/100)-K29)*' Figures - Economy Wide'!G21*' Figures - Economy Wide'!H21*'Team C'!K18)*100</f>
        <v>19.507476722092285</v>
      </c>
      <c r="K45" s="349"/>
      <c r="L45" s="350"/>
      <c r="M45" s="2"/>
      <c r="N45" s="2"/>
      <c r="O45" s="2"/>
      <c r="P45" s="2"/>
    </row>
    <row r="46" spans="2:16" ht="16.5">
      <c r="B46" s="3" t="s">
        <v>189</v>
      </c>
      <c r="C46" s="348">
        <f>C42+C43+C45</f>
        <v>25.702679199786353</v>
      </c>
      <c r="D46" s="349"/>
      <c r="E46" s="350"/>
      <c r="I46" s="3" t="s">
        <v>189</v>
      </c>
      <c r="J46" s="348">
        <f>J42+J43+J45</f>
        <v>40.277348542402613</v>
      </c>
      <c r="K46" s="349"/>
      <c r="L46" s="350"/>
      <c r="M46" s="2"/>
      <c r="N46" s="2"/>
      <c r="O46" s="2"/>
      <c r="P46" s="2"/>
    </row>
    <row r="47" spans="2:16">
      <c r="M47" s="2"/>
      <c r="N47" s="2"/>
      <c r="O47" s="2"/>
      <c r="P47" s="2"/>
    </row>
    <row r="48" spans="2:16">
      <c r="M48" s="2"/>
      <c r="N48" s="2"/>
      <c r="O48" s="2"/>
      <c r="P48" s="2"/>
    </row>
    <row r="49" spans="13:16">
      <c r="M49" s="2"/>
      <c r="N49" s="2"/>
      <c r="O49" s="2"/>
      <c r="P49" s="2"/>
    </row>
    <row r="50" spans="13:16">
      <c r="M50" s="2"/>
      <c r="N50" s="2"/>
      <c r="O50" s="2"/>
      <c r="P50" s="2"/>
    </row>
    <row r="51" spans="13:16">
      <c r="M51" s="2"/>
      <c r="N51" s="2"/>
      <c r="O51" s="2"/>
      <c r="P51" s="2"/>
    </row>
    <row r="52" spans="13:16">
      <c r="M52" s="2"/>
      <c r="N52" s="2"/>
      <c r="O52" s="2"/>
      <c r="P52" s="2"/>
    </row>
    <row r="53" spans="13:16">
      <c r="M53" s="2"/>
      <c r="N53" s="2"/>
      <c r="O53" s="2"/>
      <c r="P53" s="2"/>
    </row>
    <row r="54" spans="13:16">
      <c r="M54" s="2"/>
      <c r="N54" s="2"/>
      <c r="O54" s="2"/>
      <c r="P54" s="2"/>
    </row>
    <row r="55" spans="13:16">
      <c r="M55" s="2"/>
      <c r="N55" s="2"/>
      <c r="O55" s="2"/>
      <c r="P55" s="2"/>
    </row>
    <row r="56" spans="13:16">
      <c r="M56" s="2"/>
      <c r="N56" s="2"/>
      <c r="O56" s="2"/>
      <c r="P56" s="2"/>
    </row>
    <row r="57" spans="13:16">
      <c r="M57" s="2"/>
      <c r="N57" s="2"/>
      <c r="O57" s="2"/>
      <c r="P57" s="2"/>
    </row>
    <row r="58" spans="13:16">
      <c r="M58" s="2"/>
      <c r="N58" s="2"/>
      <c r="O58" s="2"/>
      <c r="P58" s="2"/>
    </row>
    <row r="59" spans="13:16">
      <c r="M59" s="2"/>
      <c r="N59" s="2"/>
      <c r="O59" s="2"/>
      <c r="P59" s="2"/>
    </row>
    <row r="60" spans="13:16">
      <c r="M60" s="2"/>
      <c r="N60" s="2"/>
      <c r="O60" s="2"/>
      <c r="P60" s="2"/>
    </row>
    <row r="61" spans="13:16">
      <c r="M61" s="2"/>
      <c r="N61" s="2"/>
      <c r="O61" s="2"/>
      <c r="P61" s="2"/>
    </row>
    <row r="62" spans="13:16">
      <c r="M62" s="2"/>
      <c r="N62" s="2"/>
      <c r="O62" s="2"/>
      <c r="P62" s="2"/>
    </row>
    <row r="63" spans="13:16">
      <c r="M63" s="2"/>
      <c r="N63" s="2"/>
      <c r="O63" s="2"/>
      <c r="P63" s="2"/>
    </row>
    <row r="64" spans="13:16">
      <c r="M64" s="2"/>
      <c r="N64" s="2"/>
      <c r="O64" s="2"/>
      <c r="P64" s="2"/>
    </row>
    <row r="65" spans="13:16">
      <c r="M65" s="2"/>
      <c r="N65" s="2"/>
      <c r="O65" s="2"/>
      <c r="P65" s="2"/>
    </row>
    <row r="66" spans="13:16">
      <c r="M66" s="2"/>
      <c r="N66" s="2"/>
      <c r="O66" s="2"/>
      <c r="P66" s="2"/>
    </row>
    <row r="67" spans="13:16">
      <c r="M67" s="2"/>
      <c r="N67" s="2"/>
      <c r="O67" s="2"/>
      <c r="P67" s="2"/>
    </row>
  </sheetData>
  <sheetProtection sheet="1" objects="1" scenarios="1"/>
  <mergeCells count="31">
    <mergeCell ref="J45:L45"/>
    <mergeCell ref="C44:E44"/>
    <mergeCell ref="C46:E46"/>
    <mergeCell ref="J44:L44"/>
    <mergeCell ref="J46:L46"/>
    <mergeCell ref="C45:E45"/>
    <mergeCell ref="I35:L35"/>
    <mergeCell ref="J41:L41"/>
    <mergeCell ref="J42:L42"/>
    <mergeCell ref="J43:L43"/>
    <mergeCell ref="C43:E43"/>
    <mergeCell ref="C41:E41"/>
    <mergeCell ref="C42:E42"/>
    <mergeCell ref="B35:E35"/>
    <mergeCell ref="B29:C29"/>
    <mergeCell ref="I29:J29"/>
    <mergeCell ref="B26:C26"/>
    <mergeCell ref="I26:J26"/>
    <mergeCell ref="B27:C27"/>
    <mergeCell ref="I27:J27"/>
    <mergeCell ref="B28:C28"/>
    <mergeCell ref="I28:J28"/>
    <mergeCell ref="B25:C25"/>
    <mergeCell ref="I25:J25"/>
    <mergeCell ref="A1:XFD2"/>
    <mergeCell ref="C6:E6"/>
    <mergeCell ref="J6:L6"/>
    <mergeCell ref="B24:C24"/>
    <mergeCell ref="I24:J24"/>
    <mergeCell ref="C8:E9"/>
    <mergeCell ref="J8:L9"/>
  </mergeCells>
  <dataValidations count="4">
    <dataValidation type="list" allowBlank="1" showInputMessage="1" showErrorMessage="1" sqref="O13:O14 O6:O10 O16:O17" xr:uid="{1328348D-40E2-411B-8BE3-999207301E48}">
      <formula1>$O$6:$O$10</formula1>
    </dataValidation>
    <dataValidation type="list" allowBlank="1" showInputMessage="1" showErrorMessage="1" sqref="O15" xr:uid="{FD82C6D3-B7F6-4A60-A357-B713A991F783}">
      <formula1>$O$6:$O$9</formula1>
    </dataValidation>
    <dataValidation type="list" allowBlank="1" showInputMessage="1" showErrorMessage="1" sqref="J18" xr:uid="{E51A77D7-6E19-4A5C-8CE5-F0FD965798FC}">
      <formula1>$O$12:$O$17</formula1>
    </dataValidation>
    <dataValidation type="list" allowBlank="1" showInputMessage="1" showErrorMessage="1" sqref="C18" xr:uid="{BE99A40E-B848-4747-9D72-A1724C48D289}">
      <formula1>$O$5:$O$10</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B3A46-9970-4385-B271-1CE3A9F6D965}">
  <sheetPr>
    <tabColor theme="9" tint="0.39997558519241921"/>
  </sheetPr>
  <dimension ref="A1:V29"/>
  <sheetViews>
    <sheetView zoomScale="80" zoomScaleNormal="80" workbookViewId="0">
      <selection activeCell="N19" sqref="N19"/>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1" width="9.140625" style="39"/>
    <col min="22" max="16384" width="9.140625" style="2"/>
  </cols>
  <sheetData>
    <row r="1" spans="1:22" s="326" customFormat="1">
      <c r="A1" s="326" t="s">
        <v>142</v>
      </c>
    </row>
    <row r="2" spans="1:22" s="326" customFormat="1"/>
    <row r="3" spans="1:22">
      <c r="V3" s="39"/>
    </row>
    <row r="4" spans="1:22">
      <c r="B4" s="5" t="s">
        <v>143</v>
      </c>
      <c r="C4" s="3"/>
      <c r="N4" s="68"/>
      <c r="O4" s="68"/>
      <c r="P4" s="68"/>
      <c r="Q4" s="68"/>
      <c r="R4" s="68"/>
      <c r="S4" s="68"/>
      <c r="T4" s="68"/>
      <c r="V4" s="39"/>
    </row>
    <row r="5" spans="1:22">
      <c r="N5" s="12"/>
      <c r="O5" s="12"/>
      <c r="P5" s="12"/>
      <c r="Q5" s="12"/>
      <c r="R5" s="12"/>
      <c r="S5" s="68"/>
      <c r="T5" s="68"/>
      <c r="V5" s="39"/>
    </row>
    <row r="6" spans="1:22">
      <c r="B6" s="7" t="s">
        <v>144</v>
      </c>
      <c r="C6" s="325" t="s">
        <v>8</v>
      </c>
      <c r="D6" s="325"/>
      <c r="E6" s="325"/>
      <c r="I6" s="1" t="s">
        <v>145</v>
      </c>
      <c r="J6" s="325" t="s">
        <v>30</v>
      </c>
      <c r="K6" s="325"/>
      <c r="L6" s="325"/>
      <c r="N6" s="12"/>
      <c r="O6" s="12" t="s">
        <v>146</v>
      </c>
      <c r="P6" s="13">
        <f>'Summary Page'!E103</f>
        <v>1.052E-2</v>
      </c>
      <c r="Q6" s="13">
        <f>IF($C$18="Natural Gas - Commercial",P6,0)</f>
        <v>0</v>
      </c>
      <c r="R6" s="12"/>
      <c r="S6" s="68"/>
      <c r="T6" s="68"/>
      <c r="V6" s="39"/>
    </row>
    <row r="7" spans="1:22" s="90" customFormat="1">
      <c r="B7" s="91"/>
      <c r="C7" s="94"/>
      <c r="D7" s="94"/>
      <c r="E7" s="94"/>
      <c r="I7" s="93"/>
      <c r="J7" s="94"/>
      <c r="K7" s="94"/>
      <c r="L7" s="94"/>
      <c r="M7" s="95"/>
      <c r="N7" s="96"/>
      <c r="O7" s="96" t="s">
        <v>147</v>
      </c>
      <c r="P7" s="98">
        <f>'Summary Page'!E104</f>
        <v>4.3709177868852499E-3</v>
      </c>
      <c r="Q7" s="98">
        <f>IF($C$18="Natural Gas - Calvin",P7,0)</f>
        <v>0</v>
      </c>
      <c r="R7" s="96"/>
      <c r="S7" s="99"/>
      <c r="T7" s="99"/>
      <c r="U7" s="95"/>
      <c r="V7" s="95"/>
    </row>
    <row r="8" spans="1:22" ht="37.5" customHeight="1">
      <c r="B8" s="86" t="s">
        <v>148</v>
      </c>
      <c r="C8" s="337" t="s">
        <v>173</v>
      </c>
      <c r="D8" s="338"/>
      <c r="E8" s="339"/>
      <c r="I8" s="86" t="s">
        <v>148</v>
      </c>
      <c r="J8" s="337" t="s">
        <v>173</v>
      </c>
      <c r="K8" s="338"/>
      <c r="L8" s="339"/>
      <c r="N8" s="12"/>
      <c r="O8" s="12" t="s">
        <v>151</v>
      </c>
      <c r="P8" s="13">
        <f>'Summary Page'!E105</f>
        <v>2.1100000000000001E-2</v>
      </c>
      <c r="Q8" s="13">
        <f>IF($C$18="Gasoline",P8,0)</f>
        <v>0</v>
      </c>
      <c r="R8" s="12"/>
      <c r="S8" s="68"/>
      <c r="T8" s="68"/>
      <c r="V8" s="39"/>
    </row>
    <row r="9" spans="1:22" ht="40.5" customHeight="1">
      <c r="B9" s="80"/>
      <c r="C9" s="340"/>
      <c r="D9" s="341"/>
      <c r="E9" s="342"/>
      <c r="I9" s="81"/>
      <c r="J9" s="340"/>
      <c r="K9" s="341"/>
      <c r="L9" s="342"/>
      <c r="N9" s="12"/>
      <c r="O9" s="12" t="s">
        <v>152</v>
      </c>
      <c r="P9" s="13">
        <f>'Summary Page'!E106</f>
        <v>0.04</v>
      </c>
      <c r="Q9" s="13">
        <f>IF($C$18="Electricity - Commercial",P9,0)</f>
        <v>0</v>
      </c>
      <c r="R9" s="12"/>
      <c r="S9" s="68"/>
      <c r="T9" s="68"/>
      <c r="V9" s="39"/>
    </row>
    <row r="10" spans="1:22">
      <c r="B10" s="6"/>
      <c r="C10" s="5"/>
      <c r="D10" s="5"/>
      <c r="E10" s="5"/>
      <c r="F10" s="5"/>
      <c r="G10" s="5"/>
      <c r="H10" s="5"/>
      <c r="I10" s="5"/>
      <c r="J10" s="5"/>
      <c r="K10" s="5"/>
      <c r="L10" s="5"/>
      <c r="N10" s="12"/>
      <c r="O10" s="12" t="s">
        <v>153</v>
      </c>
      <c r="P10" s="13">
        <f>'Summary Page'!E107</f>
        <v>2.2680555555555554E-2</v>
      </c>
      <c r="Q10" s="13">
        <f>IF($C$18="Electricity - Calvin",P10,0)</f>
        <v>2.2680555555555554E-2</v>
      </c>
      <c r="R10" s="12"/>
      <c r="S10" s="68"/>
      <c r="T10" s="68"/>
      <c r="V10" s="39"/>
    </row>
    <row r="11" spans="1:22">
      <c r="C11" s="212" t="s">
        <v>79</v>
      </c>
      <c r="D11" s="212" t="s">
        <v>80</v>
      </c>
      <c r="J11" s="212" t="s">
        <v>79</v>
      </c>
      <c r="K11" s="212" t="s">
        <v>80</v>
      </c>
      <c r="N11" s="12"/>
      <c r="O11" s="12"/>
      <c r="P11" s="12"/>
      <c r="Q11" s="13">
        <f>SUM(Q6:Q10)</f>
        <v>2.2680555555555554E-2</v>
      </c>
      <c r="R11" s="12"/>
      <c r="S11" s="68"/>
      <c r="T11" s="68"/>
      <c r="V11" s="39"/>
    </row>
    <row r="12" spans="1:22" ht="30">
      <c r="B12" s="213" t="s">
        <v>154</v>
      </c>
      <c r="C12" s="71">
        <v>104.7</v>
      </c>
      <c r="D12" s="71">
        <v>112.3</v>
      </c>
      <c r="I12" s="213" t="s">
        <v>154</v>
      </c>
      <c r="J12" s="71">
        <v>9406</v>
      </c>
      <c r="K12" s="71">
        <v>10516</v>
      </c>
      <c r="N12" s="12"/>
      <c r="O12" s="12"/>
      <c r="P12" s="12"/>
      <c r="Q12" s="12"/>
      <c r="R12" s="12"/>
      <c r="S12" s="68"/>
      <c r="T12" s="68"/>
      <c r="V12" s="39"/>
    </row>
    <row r="13" spans="1:22" ht="30">
      <c r="B13" s="213" t="s">
        <v>155</v>
      </c>
      <c r="C13" s="71">
        <v>104</v>
      </c>
      <c r="D13" s="71">
        <v>226</v>
      </c>
      <c r="I13" s="213" t="s">
        <v>155</v>
      </c>
      <c r="J13" s="71">
        <v>56029</v>
      </c>
      <c r="K13" s="71">
        <v>70556</v>
      </c>
      <c r="N13" s="12"/>
      <c r="O13" s="12" t="s">
        <v>146</v>
      </c>
      <c r="P13" s="13">
        <f>'Summary Page'!E103</f>
        <v>1.052E-2</v>
      </c>
      <c r="Q13" s="13">
        <f>IF($J$18="Natural Gas - Commercial",P13,0)</f>
        <v>0</v>
      </c>
      <c r="R13" s="12"/>
      <c r="S13" s="68"/>
      <c r="T13" s="68"/>
      <c r="V13" s="39"/>
    </row>
    <row r="14" spans="1:22" ht="30">
      <c r="B14" s="213" t="s">
        <v>156</v>
      </c>
      <c r="C14" s="71">
        <v>11.9</v>
      </c>
      <c r="D14" s="71">
        <v>9.4</v>
      </c>
      <c r="I14" s="213" t="s">
        <v>156</v>
      </c>
      <c r="J14" s="71">
        <v>2803</v>
      </c>
      <c r="K14" s="71">
        <v>2944</v>
      </c>
      <c r="N14" s="12"/>
      <c r="O14" s="12" t="s">
        <v>147</v>
      </c>
      <c r="P14" s="13">
        <f>'Summary Page'!E104</f>
        <v>4.3709177868852499E-3</v>
      </c>
      <c r="Q14" s="13">
        <f>IF($J$18="Natural Gas - Calvin",P14,0)</f>
        <v>0</v>
      </c>
      <c r="R14" s="12"/>
      <c r="S14" s="68"/>
      <c r="T14" s="68"/>
      <c r="V14" s="39"/>
    </row>
    <row r="15" spans="1:22">
      <c r="B15" s="213"/>
      <c r="I15" s="213"/>
      <c r="N15" s="12"/>
      <c r="O15" s="12" t="s">
        <v>151</v>
      </c>
      <c r="P15" s="13">
        <f>'Summary Page'!E105</f>
        <v>2.1100000000000001E-2</v>
      </c>
      <c r="Q15" s="13">
        <f>IF($J$18="Gasoline",P15,0)</f>
        <v>2.1100000000000001E-2</v>
      </c>
      <c r="R15" s="12"/>
      <c r="S15" s="68"/>
      <c r="T15" s="68"/>
      <c r="V15" s="39"/>
    </row>
    <row r="16" spans="1:22" ht="30">
      <c r="B16" s="213" t="s">
        <v>157</v>
      </c>
      <c r="C16" s="9">
        <v>0</v>
      </c>
      <c r="I16" s="213" t="s">
        <v>157</v>
      </c>
      <c r="J16" s="9">
        <v>6.04</v>
      </c>
      <c r="N16" s="12"/>
      <c r="O16" s="12" t="s">
        <v>152</v>
      </c>
      <c r="P16" s="13">
        <f>'Summary Page'!E106</f>
        <v>0.04</v>
      </c>
      <c r="Q16" s="13">
        <f>IF($J$18="Electricity - Commercial",P16,0)</f>
        <v>0</v>
      </c>
      <c r="R16" s="12"/>
      <c r="S16" s="68"/>
      <c r="T16" s="68"/>
      <c r="V16" s="39"/>
    </row>
    <row r="17" spans="2:22">
      <c r="B17" s="213"/>
      <c r="C17" s="213"/>
      <c r="D17" s="213"/>
      <c r="E17" s="213"/>
      <c r="F17" s="213"/>
      <c r="G17" s="213"/>
      <c r="H17" s="213"/>
      <c r="I17" s="213"/>
      <c r="J17" s="213"/>
      <c r="N17" s="12"/>
      <c r="O17" s="12" t="s">
        <v>153</v>
      </c>
      <c r="P17" s="13">
        <f>'Summary Page'!E107</f>
        <v>2.2680555555555554E-2</v>
      </c>
      <c r="Q17" s="13">
        <f>IF($J$18="Electricity - Calvin",P17,0)</f>
        <v>0</v>
      </c>
      <c r="R17" s="12"/>
      <c r="S17" s="68"/>
      <c r="T17" s="68"/>
      <c r="V17" s="39"/>
    </row>
    <row r="18" spans="2:22" ht="30">
      <c r="B18" s="14" t="s">
        <v>158</v>
      </c>
      <c r="C18" s="23" t="s">
        <v>153</v>
      </c>
      <c r="D18" s="72">
        <f>Q11</f>
        <v>2.2680555555555554E-2</v>
      </c>
      <c r="E18" s="213" t="s">
        <v>159</v>
      </c>
      <c r="F18" s="213"/>
      <c r="G18" s="213"/>
      <c r="H18" s="213"/>
      <c r="I18" s="14" t="s">
        <v>158</v>
      </c>
      <c r="J18" s="23" t="s">
        <v>151</v>
      </c>
      <c r="K18" s="100">
        <f>Q18</f>
        <v>2.1100000000000001E-2</v>
      </c>
      <c r="L18" s="214" t="s">
        <v>159</v>
      </c>
      <c r="N18" s="12"/>
      <c r="O18" s="12"/>
      <c r="P18" s="12"/>
      <c r="Q18" s="13">
        <f>SUM(Q13:Q17)</f>
        <v>2.1100000000000001E-2</v>
      </c>
      <c r="R18" s="12"/>
      <c r="S18" s="68"/>
      <c r="T18" s="68"/>
      <c r="V18" s="39"/>
    </row>
    <row r="19" spans="2:22" ht="29.1" customHeight="1">
      <c r="B19" s="14"/>
      <c r="C19" s="212" t="s">
        <v>79</v>
      </c>
      <c r="D19" s="212" t="s">
        <v>80</v>
      </c>
      <c r="E19" s="14"/>
      <c r="F19" s="14"/>
      <c r="G19" s="14"/>
      <c r="H19" s="14"/>
      <c r="I19" s="14"/>
      <c r="J19" s="212" t="s">
        <v>79</v>
      </c>
      <c r="K19" s="212" t="s">
        <v>80</v>
      </c>
      <c r="L19" s="14"/>
      <c r="N19" s="12"/>
      <c r="O19" s="12"/>
      <c r="P19" s="12"/>
      <c r="Q19" s="12"/>
      <c r="R19" s="12"/>
      <c r="S19" s="68"/>
      <c r="T19" s="68"/>
      <c r="V19" s="39"/>
    </row>
    <row r="20" spans="2:22" ht="29.1" customHeight="1">
      <c r="B20" s="174" t="s">
        <v>124</v>
      </c>
      <c r="C20" s="23">
        <v>10</v>
      </c>
      <c r="D20" s="23">
        <v>10</v>
      </c>
      <c r="E20" s="213"/>
      <c r="F20" s="213"/>
      <c r="G20" s="213"/>
      <c r="H20" s="213"/>
      <c r="I20" s="174" t="s">
        <v>124</v>
      </c>
      <c r="J20" s="23">
        <v>12</v>
      </c>
      <c r="K20" s="23">
        <v>12</v>
      </c>
      <c r="L20" s="214"/>
      <c r="N20" s="68"/>
      <c r="O20" s="68"/>
      <c r="P20" s="68"/>
      <c r="Q20" s="68"/>
      <c r="R20" s="68"/>
      <c r="S20" s="68"/>
      <c r="T20" s="68"/>
      <c r="V20" s="39"/>
    </row>
    <row r="21" spans="2:22" ht="29.1" customHeight="1">
      <c r="N21" s="68"/>
      <c r="O21" s="68"/>
      <c r="P21" s="68"/>
      <c r="Q21" s="68"/>
      <c r="R21" s="68"/>
      <c r="S21" s="68"/>
      <c r="T21" s="68"/>
      <c r="V21" s="39"/>
    </row>
    <row r="22" spans="2:22" ht="29.1" customHeight="1">
      <c r="B22" s="5" t="s">
        <v>160</v>
      </c>
      <c r="C22" s="4"/>
      <c r="I22" s="5"/>
      <c r="V22" s="39"/>
    </row>
    <row r="23" spans="2:22" ht="29.1" customHeight="1"/>
    <row r="24" spans="2:22" ht="29.1" customHeight="1">
      <c r="B24" s="327" t="s">
        <v>161</v>
      </c>
      <c r="C24" s="328"/>
      <c r="D24" s="8">
        <f>C12-D12</f>
        <v>-7.5999999999999943</v>
      </c>
      <c r="I24" s="327" t="s">
        <v>161</v>
      </c>
      <c r="J24" s="328"/>
      <c r="K24" s="8">
        <f>J12-K12</f>
        <v>-1110</v>
      </c>
    </row>
    <row r="25" spans="2:22">
      <c r="B25" s="327" t="s">
        <v>162</v>
      </c>
      <c r="C25" s="327"/>
      <c r="D25" s="8">
        <f>D13-C13</f>
        <v>122</v>
      </c>
      <c r="I25" s="327" t="s">
        <v>162</v>
      </c>
      <c r="J25" s="327"/>
      <c r="K25" s="8">
        <f>K13-J13</f>
        <v>14527</v>
      </c>
    </row>
    <row r="26" spans="2:22">
      <c r="B26" s="335" t="s">
        <v>163</v>
      </c>
      <c r="C26" s="336"/>
      <c r="D26" s="8">
        <f>C14-D14</f>
        <v>2.5</v>
      </c>
      <c r="I26" s="335" t="s">
        <v>163</v>
      </c>
      <c r="J26" s="336"/>
      <c r="K26" s="8">
        <f>J14-K14</f>
        <v>-141</v>
      </c>
    </row>
    <row r="27" spans="2:22">
      <c r="B27" s="335" t="s">
        <v>164</v>
      </c>
      <c r="C27" s="336"/>
      <c r="D27" s="8">
        <f>D25*(1-(C16/100))</f>
        <v>122</v>
      </c>
      <c r="I27" s="335" t="s">
        <v>164</v>
      </c>
      <c r="J27" s="336"/>
      <c r="K27" s="8">
        <f>K25*(1-(J16/100))</f>
        <v>13649.5692</v>
      </c>
    </row>
    <row r="28" spans="2:22">
      <c r="B28" s="335" t="s">
        <v>165</v>
      </c>
      <c r="C28" s="336"/>
      <c r="D28" s="8">
        <f>D24/D25</f>
        <v>-6.2295081967213069E-2</v>
      </c>
      <c r="I28" s="335" t="s">
        <v>165</v>
      </c>
      <c r="J28" s="336"/>
      <c r="K28" s="8">
        <f>K24/K25</f>
        <v>-7.6409444482687411E-2</v>
      </c>
    </row>
    <row r="29" spans="2:22">
      <c r="B29" s="335" t="s">
        <v>166</v>
      </c>
      <c r="C29" s="336"/>
      <c r="D29" s="20">
        <f>D26/(D18*D25)</f>
        <v>0.90349653157720378</v>
      </c>
      <c r="I29" s="335" t="s">
        <v>166</v>
      </c>
      <c r="J29" s="336"/>
      <c r="K29" s="8">
        <f>K26/(K18*K25)</f>
        <v>-0.46000306016220166</v>
      </c>
    </row>
  </sheetData>
  <sheetProtection sheet="1" objects="1" scenarios="1"/>
  <mergeCells count="17">
    <mergeCell ref="B29:C29"/>
    <mergeCell ref="I29:J29"/>
    <mergeCell ref="B26:C26"/>
    <mergeCell ref="I26:J26"/>
    <mergeCell ref="B27:C27"/>
    <mergeCell ref="I27:J27"/>
    <mergeCell ref="B28:C28"/>
    <mergeCell ref="I28:J28"/>
    <mergeCell ref="B25:C25"/>
    <mergeCell ref="I25:J25"/>
    <mergeCell ref="A1:XFD2"/>
    <mergeCell ref="C6:E6"/>
    <mergeCell ref="J6:L6"/>
    <mergeCell ref="B24:C24"/>
    <mergeCell ref="I24:J24"/>
    <mergeCell ref="C8:E9"/>
    <mergeCell ref="J8:L9"/>
  </mergeCells>
  <dataValidations count="4">
    <dataValidation type="list" allowBlank="1" showInputMessage="1" showErrorMessage="1" sqref="C18" xr:uid="{C6B2612D-9BC4-4E5D-AAFB-8EBB6E71A2C0}">
      <formula1>$O$5:$O$10</formula1>
    </dataValidation>
    <dataValidation type="list" allowBlank="1" showInputMessage="1" showErrorMessage="1" sqref="J18" xr:uid="{0F5E1197-10CB-46A8-9D36-1EBB06DDC2B5}">
      <formula1>$O$12:$O$17</formula1>
    </dataValidation>
    <dataValidation type="list" allowBlank="1" showInputMessage="1" showErrorMessage="1" sqref="O15" xr:uid="{5BB50DEC-22BE-49AC-BE0B-968CC9EE9F62}">
      <formula1>$O$6:$O$9</formula1>
    </dataValidation>
    <dataValidation type="list" allowBlank="1" showInputMessage="1" showErrorMessage="1" sqref="O13:O14 O6:O10 O16:O17" xr:uid="{97E5C67D-1013-4DAC-AE3D-80F4B2863ED7}">
      <formula1>$O$6:$O$10</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11EE353090F149834FA1E5733E05FD" ma:contentTypeVersion="12" ma:contentTypeDescription="Create a new document." ma:contentTypeScope="" ma:versionID="ee11e0dac740c107267fd10794f0534e">
  <xsd:schema xmlns:xsd="http://www.w3.org/2001/XMLSchema" xmlns:xs="http://www.w3.org/2001/XMLSchema" xmlns:p="http://schemas.microsoft.com/office/2006/metadata/properties" xmlns:ns2="97892f91-739b-49cb-9de0-a32234b08b02" xmlns:ns3="f79d58f4-ee8f-4db8-b9f1-71985b1aa404" targetNamespace="http://schemas.microsoft.com/office/2006/metadata/properties" ma:root="true" ma:fieldsID="589cf42de19d36759208a572d391ee79" ns2:_="" ns3:_="">
    <xsd:import namespace="97892f91-739b-49cb-9de0-a32234b08b02"/>
    <xsd:import namespace="f79d58f4-ee8f-4db8-b9f1-71985b1aa4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892f91-739b-49cb-9de0-a32234b08b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9d58f4-ee8f-4db8-b9f1-71985b1aa40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A369B5-3411-4775-848A-92FDF9B65622}">
  <ds:schemaRefs>
    <ds:schemaRef ds:uri="http://schemas.microsoft.com/office/infopath/2007/PartnerControls"/>
    <ds:schemaRef ds:uri="f79d58f4-ee8f-4db8-b9f1-71985b1aa404"/>
    <ds:schemaRef ds:uri="http://purl.org/dc/elements/1.1/"/>
    <ds:schemaRef ds:uri="http://schemas.microsoft.com/office/2006/metadata/properties"/>
    <ds:schemaRef ds:uri="http://schemas.microsoft.com/office/2006/documentManagement/types"/>
    <ds:schemaRef ds:uri="http://purl.org/dc/terms/"/>
    <ds:schemaRef ds:uri="97892f91-739b-49cb-9de0-a32234b08b02"/>
    <ds:schemaRef ds:uri="http://purl.org/dc/dcmityp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CEE6BF34-9777-45E4-B9BC-162BE06CB4EF}">
  <ds:schemaRefs>
    <ds:schemaRef ds:uri="http://schemas.microsoft.com/sharepoint/v3/contenttype/forms"/>
  </ds:schemaRefs>
</ds:datastoreItem>
</file>

<file path=customXml/itemProps3.xml><?xml version="1.0" encoding="utf-8"?>
<ds:datastoreItem xmlns:ds="http://schemas.openxmlformats.org/officeDocument/2006/customXml" ds:itemID="{C82951DF-55E2-49CF-8FBE-E25DCB02EE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892f91-739b-49cb-9de0-a32234b08b02"/>
    <ds:schemaRef ds:uri="f79d58f4-ee8f-4db8-b9f1-71985b1aa4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Initial Cost</vt:lpstr>
      <vt:lpstr>Figure - Device Rebound</vt:lpstr>
      <vt:lpstr>Figures (ABS)</vt:lpstr>
      <vt:lpstr> Figures - Individual Bar Graph</vt:lpstr>
      <vt:lpstr> Figures - Economy Wide</vt:lpstr>
      <vt:lpstr>Heun Tab</vt:lpstr>
      <vt:lpstr>Summary Page</vt:lpstr>
      <vt:lpstr>Tables for Report</vt:lpstr>
      <vt:lpstr>Team 1</vt:lpstr>
      <vt:lpstr>Team 2</vt:lpstr>
      <vt:lpstr>Team 3</vt:lpstr>
      <vt:lpstr>Team 4</vt:lpstr>
      <vt:lpstr>Team 5</vt:lpstr>
      <vt:lpstr>Team 6</vt:lpstr>
      <vt:lpstr>Team A</vt:lpstr>
      <vt:lpstr>Team B</vt:lpstr>
      <vt:lpstr>Team C</vt:lpstr>
      <vt:lpstr>Team 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Black</dc:creator>
  <cp:keywords/>
  <dc:description/>
  <cp:lastModifiedBy>megan</cp:lastModifiedBy>
  <cp:revision/>
  <dcterms:created xsi:type="dcterms:W3CDTF">2019-09-19T19:40:06Z</dcterms:created>
  <dcterms:modified xsi:type="dcterms:W3CDTF">2019-12-03T15:28:53Z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0x0101003011EE353090F149834FA1E5733E05FD</vt:lpwstr>
  </property>
</Properties>
</file>