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arpebr\Dropbox\MPC Rebound paper_2\calculation example\"/>
    </mc:Choice>
  </mc:AlternateContent>
  <bookViews>
    <workbookView xWindow="0" yWindow="470" windowWidth="39650" windowHeight="28340" tabRatio="672" activeTab="2"/>
  </bookViews>
  <sheets>
    <sheet name="readme" sheetId="19" r:id="rId1"/>
    <sheet name="1_Case study 1 - Car" sheetId="17" r:id="rId2"/>
    <sheet name="2_Case study 2 - LED lamp" sheetId="16" r:id="rId3"/>
    <sheet name="3_Case study 1 battery LCA data" sheetId="1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7" l="1"/>
  <c r="B5" i="16"/>
  <c r="E271" i="17" l="1"/>
  <c r="F25" i="16" l="1"/>
  <c r="F24" i="16"/>
  <c r="F25" i="17"/>
  <c r="F24" i="17"/>
  <c r="I323" i="17" l="1"/>
  <c r="B322" i="17" s="1"/>
  <c r="B309" i="17" s="1"/>
  <c r="B15" i="17" s="1"/>
  <c r="B16" i="16" l="1"/>
  <c r="E101" i="16" s="1"/>
  <c r="E65" i="16" l="1"/>
  <c r="E63" i="16"/>
  <c r="E101" i="17" l="1"/>
  <c r="E73" i="17"/>
  <c r="E85" i="17" s="1"/>
  <c r="C390" i="17"/>
  <c r="C391" i="17" s="1"/>
  <c r="B390" i="17"/>
  <c r="B391" i="17" s="1"/>
  <c r="C382" i="17"/>
  <c r="B453" i="17" s="1"/>
  <c r="C453" i="17" s="1"/>
  <c r="B382" i="17"/>
  <c r="B301" i="17" s="1"/>
  <c r="G471" i="17"/>
  <c r="F471" i="17"/>
  <c r="E471" i="17"/>
  <c r="D471" i="17"/>
  <c r="C471" i="17"/>
  <c r="H470" i="17"/>
  <c r="I470" i="17" s="1"/>
  <c r="B470" i="17" s="1"/>
  <c r="H469" i="17"/>
  <c r="I469" i="17" s="1"/>
  <c r="H468" i="17"/>
  <c r="I468" i="17" s="1"/>
  <c r="B468" i="17" s="1"/>
  <c r="H467" i="17"/>
  <c r="G464" i="17"/>
  <c r="F464" i="17"/>
  <c r="E464" i="17"/>
  <c r="D464" i="17"/>
  <c r="C464" i="17"/>
  <c r="H463" i="17"/>
  <c r="I463" i="17" s="1"/>
  <c r="H462" i="17"/>
  <c r="H461" i="17"/>
  <c r="I461" i="17" s="1"/>
  <c r="H460" i="17"/>
  <c r="I460" i="17" s="1"/>
  <c r="B460" i="17" s="1"/>
  <c r="G457" i="17"/>
  <c r="H456" i="17" s="1"/>
  <c r="H457" i="17" s="1"/>
  <c r="I456" i="17" s="1"/>
  <c r="E457" i="17"/>
  <c r="B455" i="17"/>
  <c r="G450" i="17"/>
  <c r="H449" i="17" s="1"/>
  <c r="E450" i="17"/>
  <c r="B448" i="17"/>
  <c r="G439" i="17"/>
  <c r="G438" i="17"/>
  <c r="C437" i="17"/>
  <c r="C435" i="17"/>
  <c r="B307" i="17"/>
  <c r="B303" i="17"/>
  <c r="B7" i="17" s="1"/>
  <c r="E71" i="17" s="1"/>
  <c r="D145" i="17" s="1"/>
  <c r="C293" i="17"/>
  <c r="E282" i="17"/>
  <c r="F255" i="17"/>
  <c r="E253" i="17"/>
  <c r="H252" i="17" s="1"/>
  <c r="F247" i="17"/>
  <c r="D240" i="17"/>
  <c r="D236" i="17"/>
  <c r="E235" i="17"/>
  <c r="D234" i="17"/>
  <c r="D233" i="17"/>
  <c r="F229" i="17"/>
  <c r="F256" i="17" s="1"/>
  <c r="E216" i="17"/>
  <c r="D216" i="17"/>
  <c r="H155" i="17"/>
  <c r="G155" i="17"/>
  <c r="D155" i="17"/>
  <c r="E103" i="17"/>
  <c r="E102" i="17"/>
  <c r="E93" i="17"/>
  <c r="E76" i="17"/>
  <c r="E64" i="17"/>
  <c r="E66" i="17" s="1"/>
  <c r="E52" i="17"/>
  <c r="E53" i="17" s="1"/>
  <c r="B13" i="17"/>
  <c r="E92" i="17" s="1"/>
  <c r="A13" i="17"/>
  <c r="A12" i="17"/>
  <c r="A11" i="17"/>
  <c r="B8" i="17"/>
  <c r="E75" i="17" s="1"/>
  <c r="A8" i="17"/>
  <c r="A7" i="17"/>
  <c r="A6" i="17"/>
  <c r="H172" i="17" l="1"/>
  <c r="E83" i="17"/>
  <c r="E98" i="17" s="1"/>
  <c r="B12" i="17"/>
  <c r="C447" i="17"/>
  <c r="B447" i="17" s="1"/>
  <c r="B5" i="17"/>
  <c r="E70" i="17" s="1"/>
  <c r="E104" i="17"/>
  <c r="E154" i="17" s="1"/>
  <c r="F248" i="17"/>
  <c r="H471" i="17"/>
  <c r="B463" i="17"/>
  <c r="H450" i="17"/>
  <c r="I449" i="17" s="1"/>
  <c r="B449" i="17" s="1"/>
  <c r="B10" i="17"/>
  <c r="E82" i="17" s="1"/>
  <c r="H145" i="17"/>
  <c r="G145" i="17"/>
  <c r="E145" i="17"/>
  <c r="E162" i="17" s="1"/>
  <c r="E220" i="17"/>
  <c r="E237" i="17" s="1"/>
  <c r="E196" i="17"/>
  <c r="E204" i="17"/>
  <c r="E95" i="17"/>
  <c r="H149" i="17"/>
  <c r="F149" i="17"/>
  <c r="G149" i="17"/>
  <c r="G166" i="17" s="1"/>
  <c r="E149" i="17"/>
  <c r="E144" i="17"/>
  <c r="D144" i="17"/>
  <c r="H144" i="17"/>
  <c r="G144" i="17"/>
  <c r="B456" i="17"/>
  <c r="B457" i="17" s="1"/>
  <c r="E147" i="17"/>
  <c r="E88" i="17"/>
  <c r="E148" i="17" s="1"/>
  <c r="E74" i="17"/>
  <c r="D147" i="17"/>
  <c r="E84" i="17"/>
  <c r="E55" i="17"/>
  <c r="E72" i="17"/>
  <c r="D146" i="17" s="1"/>
  <c r="D149" i="17"/>
  <c r="E180" i="17" s="1"/>
  <c r="E78" i="17"/>
  <c r="F144" i="17"/>
  <c r="F161" i="17" s="1"/>
  <c r="B305" i="17"/>
  <c r="I462" i="17"/>
  <c r="I464" i="17" s="1"/>
  <c r="H464" i="17"/>
  <c r="B469" i="17"/>
  <c r="B461" i="17"/>
  <c r="I467" i="17"/>
  <c r="I471" i="17" s="1"/>
  <c r="B471" i="17" s="1"/>
  <c r="B14" i="17" s="1"/>
  <c r="E96" i="17" s="1"/>
  <c r="E235" i="16"/>
  <c r="E216" i="16"/>
  <c r="F145" i="17" l="1"/>
  <c r="E289" i="17"/>
  <c r="D152" i="17"/>
  <c r="B450" i="17"/>
  <c r="C450" i="17" s="1"/>
  <c r="B462" i="17"/>
  <c r="B467" i="17"/>
  <c r="F166" i="17"/>
  <c r="F154" i="17"/>
  <c r="F171" i="17" s="1"/>
  <c r="G154" i="17"/>
  <c r="H154" i="17"/>
  <c r="D154" i="17"/>
  <c r="E171" i="17" s="1"/>
  <c r="E94" i="17"/>
  <c r="E150" i="17" s="1"/>
  <c r="C457" i="17"/>
  <c r="G161" i="17"/>
  <c r="E161" i="17"/>
  <c r="B464" i="17"/>
  <c r="B9" i="17" s="1"/>
  <c r="E79" i="17" s="1"/>
  <c r="D151" i="17" s="1"/>
  <c r="G162" i="17"/>
  <c r="H146" i="17"/>
  <c r="G146" i="17"/>
  <c r="E146" i="17"/>
  <c r="F146" i="17"/>
  <c r="E197" i="17"/>
  <c r="E217" i="17"/>
  <c r="H161" i="17"/>
  <c r="D148" i="17"/>
  <c r="E165" i="17" s="1"/>
  <c r="E91" i="17"/>
  <c r="E106" i="17" s="1"/>
  <c r="E228" i="17"/>
  <c r="E240" i="17" s="1"/>
  <c r="E190" i="17"/>
  <c r="E255" i="17"/>
  <c r="E247" i="17"/>
  <c r="E207" i="17"/>
  <c r="F162" i="17"/>
  <c r="E164" i="17"/>
  <c r="E203" i="17"/>
  <c r="E219" i="17"/>
  <c r="E236" i="17" s="1"/>
  <c r="H162" i="17"/>
  <c r="E195" i="17"/>
  <c r="H151" i="17"/>
  <c r="G151" i="17"/>
  <c r="F151" i="17"/>
  <c r="E151" i="17"/>
  <c r="H166" i="17"/>
  <c r="H143" i="17"/>
  <c r="G143" i="17"/>
  <c r="F143" i="17"/>
  <c r="D143" i="17"/>
  <c r="E143" i="17"/>
  <c r="E67" i="17"/>
  <c r="E279" i="17" s="1"/>
  <c r="E181" i="17"/>
  <c r="E166" i="17"/>
  <c r="B6" i="16"/>
  <c r="B324" i="16" s="1"/>
  <c r="D324" i="16" s="1"/>
  <c r="B322" i="16"/>
  <c r="B320" i="16"/>
  <c r="B318" i="16"/>
  <c r="B316" i="16" s="1"/>
  <c r="B321" i="16" s="1"/>
  <c r="B310" i="16"/>
  <c r="B15" i="16" s="1"/>
  <c r="B308" i="16"/>
  <c r="B304" i="16"/>
  <c r="C296" i="16"/>
  <c r="E271" i="16"/>
  <c r="F255" i="16"/>
  <c r="E253" i="16"/>
  <c r="F247" i="16"/>
  <c r="D240" i="16"/>
  <c r="F237" i="16"/>
  <c r="D237" i="16"/>
  <c r="F236" i="16"/>
  <c r="D236" i="16"/>
  <c r="D234" i="16"/>
  <c r="D233" i="16"/>
  <c r="F229" i="16"/>
  <c r="F256" i="16" s="1"/>
  <c r="D216" i="16"/>
  <c r="H155" i="16"/>
  <c r="G155" i="16"/>
  <c r="H172" i="16" s="1"/>
  <c r="D155" i="16"/>
  <c r="H151" i="16"/>
  <c r="G151" i="16"/>
  <c r="F151" i="16"/>
  <c r="E151" i="16"/>
  <c r="E189" i="16" s="1"/>
  <c r="D151" i="16"/>
  <c r="E188" i="16" s="1"/>
  <c r="E103" i="16"/>
  <c r="E83" i="16"/>
  <c r="G145" i="16" s="1"/>
  <c r="E64" i="16"/>
  <c r="E66" i="16" s="1"/>
  <c r="E52" i="16"/>
  <c r="E47" i="16"/>
  <c r="G143" i="16" s="1"/>
  <c r="E102" i="16"/>
  <c r="E104" i="16" s="1"/>
  <c r="A14" i="16"/>
  <c r="A13" i="16"/>
  <c r="B12" i="16"/>
  <c r="E93" i="16" s="1"/>
  <c r="A12" i="16"/>
  <c r="B11" i="16"/>
  <c r="E82" i="16" s="1"/>
  <c r="A11" i="16"/>
  <c r="A10" i="16"/>
  <c r="B9" i="16"/>
  <c r="E71" i="16" s="1"/>
  <c r="E72" i="16" s="1"/>
  <c r="D146" i="16" s="1"/>
  <c r="A9" i="16"/>
  <c r="B8" i="16"/>
  <c r="E76" i="16" s="1"/>
  <c r="A8" i="16"/>
  <c r="B7" i="16"/>
  <c r="E70" i="16" s="1"/>
  <c r="A7" i="16"/>
  <c r="H168" i="16" l="1"/>
  <c r="G171" i="17"/>
  <c r="E77" i="17"/>
  <c r="H171" i="17"/>
  <c r="F150" i="17"/>
  <c r="G150" i="17" s="1"/>
  <c r="E160" i="17"/>
  <c r="F160" i="17"/>
  <c r="F163" i="17"/>
  <c r="E152" i="17"/>
  <c r="E169" i="17" s="1"/>
  <c r="E163" i="17"/>
  <c r="G156" i="17"/>
  <c r="F156" i="17"/>
  <c r="E156" i="17"/>
  <c r="E173" i="17" s="1"/>
  <c r="H156" i="17"/>
  <c r="E189" i="17"/>
  <c r="E168" i="17"/>
  <c r="E256" i="17"/>
  <c r="E248" i="17"/>
  <c r="E182" i="17"/>
  <c r="E183" i="17" s="1"/>
  <c r="E272" i="17" s="1"/>
  <c r="E229" i="17"/>
  <c r="E191" i="17"/>
  <c r="G163" i="17"/>
  <c r="G160" i="17"/>
  <c r="F168" i="17"/>
  <c r="E208" i="17"/>
  <c r="E241" i="17"/>
  <c r="H163" i="17"/>
  <c r="G168" i="17"/>
  <c r="H160" i="17"/>
  <c r="H168" i="17"/>
  <c r="E188" i="17"/>
  <c r="B309" i="16"/>
  <c r="E74" i="16" s="1"/>
  <c r="D148" i="16" s="1"/>
  <c r="F168" i="16"/>
  <c r="D143" i="16"/>
  <c r="H143" i="16"/>
  <c r="H160" i="16" s="1"/>
  <c r="B311" i="16"/>
  <c r="B313" i="16" s="1"/>
  <c r="B10" i="16" s="1"/>
  <c r="E75" i="16" s="1"/>
  <c r="E78" i="16" s="1"/>
  <c r="E73" i="16"/>
  <c r="D147" i="16" s="1"/>
  <c r="E217" i="16" s="1"/>
  <c r="E94" i="16"/>
  <c r="E145" i="16"/>
  <c r="H145" i="16"/>
  <c r="E219" i="16" s="1"/>
  <c r="E236" i="16" s="1"/>
  <c r="G150" i="16"/>
  <c r="D144" i="16"/>
  <c r="E207" i="16" s="1"/>
  <c r="F144" i="16"/>
  <c r="H144" i="16"/>
  <c r="G144" i="16"/>
  <c r="E144" i="16"/>
  <c r="D150" i="16"/>
  <c r="E77" i="16"/>
  <c r="E109" i="16" s="1"/>
  <c r="E238" i="16" s="1"/>
  <c r="H154" i="16"/>
  <c r="G154" i="16"/>
  <c r="F154" i="16"/>
  <c r="E154" i="16"/>
  <c r="D154" i="16"/>
  <c r="B323" i="16"/>
  <c r="B14" i="16" s="1"/>
  <c r="E92" i="16" s="1"/>
  <c r="H150" i="16"/>
  <c r="E168" i="16"/>
  <c r="E108" i="16" s="1"/>
  <c r="E282" i="16"/>
  <c r="E67" i="16"/>
  <c r="E278" i="16" s="1"/>
  <c r="E98" i="16"/>
  <c r="E143" i="16"/>
  <c r="E160" i="16" s="1"/>
  <c r="B319" i="16"/>
  <c r="F248" i="16"/>
  <c r="F143" i="16"/>
  <c r="D145" i="16"/>
  <c r="G168" i="16"/>
  <c r="F145" i="16"/>
  <c r="E150" i="16"/>
  <c r="E84" i="16"/>
  <c r="F150" i="16"/>
  <c r="E208" i="16" l="1"/>
  <c r="E241" i="16"/>
  <c r="E220" i="16"/>
  <c r="E237" i="16" s="1"/>
  <c r="E204" i="16"/>
  <c r="D150" i="17"/>
  <c r="E109" i="17"/>
  <c r="F167" i="17"/>
  <c r="H161" i="16"/>
  <c r="H173" i="17"/>
  <c r="F173" i="17"/>
  <c r="G167" i="17"/>
  <c r="H150" i="17"/>
  <c r="H167" i="17" s="1"/>
  <c r="E283" i="17"/>
  <c r="E261" i="17"/>
  <c r="C295" i="17"/>
  <c r="E108" i="17"/>
  <c r="G173" i="17"/>
  <c r="E192" i="17"/>
  <c r="E203" i="16"/>
  <c r="D149" i="16"/>
  <c r="E180" i="16" s="1"/>
  <c r="F160" i="16"/>
  <c r="D152" i="16"/>
  <c r="E197" i="16"/>
  <c r="F171" i="16"/>
  <c r="E85" i="16"/>
  <c r="E147" i="16" s="1"/>
  <c r="E167" i="16"/>
  <c r="E107" i="16" s="1"/>
  <c r="E161" i="16"/>
  <c r="G160" i="16"/>
  <c r="H171" i="16"/>
  <c r="G161" i="16"/>
  <c r="G167" i="16"/>
  <c r="F162" i="16"/>
  <c r="E195" i="16"/>
  <c r="H162" i="16"/>
  <c r="H167" i="16"/>
  <c r="D153" i="16"/>
  <c r="E205" i="16" s="1"/>
  <c r="E110" i="16"/>
  <c r="G171" i="16"/>
  <c r="E196" i="16"/>
  <c r="E162" i="16"/>
  <c r="G162" i="16"/>
  <c r="E289" i="16"/>
  <c r="H149" i="16"/>
  <c r="E149" i="16"/>
  <c r="G149" i="16"/>
  <c r="F149" i="16"/>
  <c r="E95" i="16"/>
  <c r="F161" i="16"/>
  <c r="E255" i="16"/>
  <c r="E247" i="16"/>
  <c r="E228" i="16"/>
  <c r="E240" i="16" s="1"/>
  <c r="E190" i="16"/>
  <c r="F167" i="16"/>
  <c r="H146" i="16"/>
  <c r="G146" i="16"/>
  <c r="E146" i="16"/>
  <c r="F146" i="16"/>
  <c r="H252" i="16"/>
  <c r="E171" i="16"/>
  <c r="B19" i="16" l="1"/>
  <c r="E274" i="17"/>
  <c r="E238" i="17"/>
  <c r="D153" i="17"/>
  <c r="B19" i="17" s="1"/>
  <c r="E110" i="17"/>
  <c r="E153" i="17" s="1"/>
  <c r="E167" i="17"/>
  <c r="C296" i="17"/>
  <c r="C297" i="17" s="1"/>
  <c r="E262" i="17"/>
  <c r="H254" i="17"/>
  <c r="E285" i="17"/>
  <c r="E153" i="16"/>
  <c r="E170" i="16" s="1"/>
  <c r="E164" i="16"/>
  <c r="E246" i="16"/>
  <c r="E88" i="16"/>
  <c r="E148" i="16" s="1"/>
  <c r="E165" i="16" s="1"/>
  <c r="G166" i="16"/>
  <c r="H166" i="16"/>
  <c r="E152" i="16"/>
  <c r="E169" i="16" s="1"/>
  <c r="E163" i="16"/>
  <c r="E166" i="16"/>
  <c r="E181" i="16"/>
  <c r="F163" i="16"/>
  <c r="H163" i="16"/>
  <c r="G163" i="16"/>
  <c r="F166" i="16"/>
  <c r="E34" i="16"/>
  <c r="E170" i="17" l="1"/>
  <c r="E107" i="17"/>
  <c r="E115" i="17" s="1"/>
  <c r="E155" i="17" s="1"/>
  <c r="E172" i="17" s="1"/>
  <c r="E246" i="17"/>
  <c r="E249" i="17" s="1"/>
  <c r="E34" i="17"/>
  <c r="E205" i="17"/>
  <c r="E40" i="16"/>
  <c r="E91" i="16"/>
  <c r="E106" i="16" s="1"/>
  <c r="E37" i="16"/>
  <c r="E36" i="16"/>
  <c r="E273" i="17" l="1"/>
  <c r="E40" i="17"/>
  <c r="E37" i="17"/>
  <c r="E36" i="17"/>
  <c r="E284" i="17"/>
  <c r="H253" i="17"/>
  <c r="E41" i="16"/>
  <c r="E86" i="16" s="1"/>
  <c r="H86" i="16" s="1"/>
  <c r="E182" i="16"/>
  <c r="E183" i="16" s="1"/>
  <c r="E256" i="16"/>
  <c r="E229" i="16"/>
  <c r="E248" i="16"/>
  <c r="E249" i="16" s="1"/>
  <c r="E115" i="16"/>
  <c r="E155" i="16" s="1"/>
  <c r="E172" i="16" s="1"/>
  <c r="E191" i="16"/>
  <c r="E192" i="16" s="1"/>
  <c r="E274" i="16" s="1"/>
  <c r="F156" i="16"/>
  <c r="E156" i="16"/>
  <c r="E173" i="16" s="1"/>
  <c r="H156" i="16"/>
  <c r="G156" i="16"/>
  <c r="E273" i="16" l="1"/>
  <c r="E262" i="16"/>
  <c r="C298" i="16"/>
  <c r="E41" i="17"/>
  <c r="E86" i="17" s="1"/>
  <c r="E111" i="16"/>
  <c r="F153" i="16" s="1"/>
  <c r="E239" i="16" s="1"/>
  <c r="E261" i="16"/>
  <c r="E272" i="16" s="1"/>
  <c r="E283" i="16"/>
  <c r="E284" i="16"/>
  <c r="E285" i="16"/>
  <c r="H253" i="16"/>
  <c r="C299" i="16"/>
  <c r="H254" i="16"/>
  <c r="G173" i="16"/>
  <c r="H173" i="16"/>
  <c r="F147" i="16"/>
  <c r="E218" i="16" s="1"/>
  <c r="E89" i="16"/>
  <c r="F148" i="16" s="1"/>
  <c r="F165" i="16" s="1"/>
  <c r="F173" i="16"/>
  <c r="C300" i="16" l="1"/>
  <c r="E111" i="17"/>
  <c r="J111" i="17" s="1"/>
  <c r="F147" i="17"/>
  <c r="J86" i="17"/>
  <c r="E89" i="17"/>
  <c r="F148" i="17" s="1"/>
  <c r="F165" i="17" s="1"/>
  <c r="E206" i="16"/>
  <c r="E209" i="16" s="1"/>
  <c r="E276" i="16" s="1"/>
  <c r="H111" i="16"/>
  <c r="E198" i="16"/>
  <c r="E199" i="16" s="1"/>
  <c r="E275" i="16" s="1"/>
  <c r="F170" i="16"/>
  <c r="E105" i="16" s="1"/>
  <c r="E215" i="16" s="1"/>
  <c r="E234" i="16" s="1"/>
  <c r="F164" i="16"/>
  <c r="F152" i="16"/>
  <c r="F169" i="16" s="1"/>
  <c r="F153" i="17" l="1"/>
  <c r="E206" i="17" s="1"/>
  <c r="E209" i="17" s="1"/>
  <c r="E198" i="17"/>
  <c r="E199" i="17" s="1"/>
  <c r="F164" i="17"/>
  <c r="E218" i="17"/>
  <c r="F152" i="17"/>
  <c r="F169" i="17" s="1"/>
  <c r="E286" i="16"/>
  <c r="E296" i="16"/>
  <c r="E263" i="16"/>
  <c r="H255" i="16"/>
  <c r="H256" i="16"/>
  <c r="E287" i="16"/>
  <c r="E264" i="16"/>
  <c r="E298" i="16"/>
  <c r="E116" i="16"/>
  <c r="E275" i="17" l="1"/>
  <c r="E276" i="17"/>
  <c r="E239" i="17"/>
  <c r="F170" i="17"/>
  <c r="E116" i="17" s="1"/>
  <c r="E293" i="17"/>
  <c r="E263" i="17"/>
  <c r="H255" i="17"/>
  <c r="E286" i="17"/>
  <c r="E287" i="17"/>
  <c r="H256" i="17"/>
  <c r="E264" i="17"/>
  <c r="E295" i="17"/>
  <c r="E300" i="16"/>
  <c r="H257" i="16"/>
  <c r="F155" i="16"/>
  <c r="E214" i="16" s="1"/>
  <c r="E105" i="17" l="1"/>
  <c r="E87" i="17" s="1"/>
  <c r="E297" i="17"/>
  <c r="F155" i="17"/>
  <c r="H257" i="17"/>
  <c r="E221" i="16"/>
  <c r="E233" i="16"/>
  <c r="E242" i="16" s="1"/>
  <c r="E254" i="16"/>
  <c r="E257" i="16" s="1"/>
  <c r="F172" i="16"/>
  <c r="J153" i="16"/>
  <c r="G172" i="16"/>
  <c r="E87" i="16"/>
  <c r="H87" i="16" s="1"/>
  <c r="E215" i="17" l="1"/>
  <c r="E234" i="17" s="1"/>
  <c r="E90" i="17"/>
  <c r="G148" i="17" s="1"/>
  <c r="H147" i="17"/>
  <c r="J87" i="17"/>
  <c r="G147" i="17"/>
  <c r="F172" i="17"/>
  <c r="J153" i="17"/>
  <c r="G172" i="17"/>
  <c r="E214" i="17"/>
  <c r="E254" i="17"/>
  <c r="E257" i="17" s="1"/>
  <c r="E288" i="16"/>
  <c r="E290" i="16" s="1"/>
  <c r="H147" i="16"/>
  <c r="H152" i="16" s="1"/>
  <c r="E90" i="16"/>
  <c r="G148" i="16" s="1"/>
  <c r="H148" i="16" s="1"/>
  <c r="H165" i="16" s="1"/>
  <c r="G147" i="16"/>
  <c r="E267" i="16"/>
  <c r="I298" i="16"/>
  <c r="I300" i="16" s="1"/>
  <c r="G296" i="16"/>
  <c r="E265" i="16"/>
  <c r="G164" i="17" l="1"/>
  <c r="G152" i="17"/>
  <c r="G169" i="17" s="1"/>
  <c r="H164" i="17"/>
  <c r="H152" i="17"/>
  <c r="I295" i="17"/>
  <c r="I297" i="17" s="1"/>
  <c r="E267" i="17"/>
  <c r="H148" i="17"/>
  <c r="H165" i="17" s="1"/>
  <c r="G165" i="17"/>
  <c r="E112" i="17" s="1"/>
  <c r="E113" i="17" s="1"/>
  <c r="H153" i="17" s="1"/>
  <c r="E221" i="17"/>
  <c r="E233" i="17"/>
  <c r="E242" i="17" s="1"/>
  <c r="E278" i="17" s="1"/>
  <c r="H164" i="16"/>
  <c r="G152" i="16"/>
  <c r="G169" i="16" s="1"/>
  <c r="G164" i="16"/>
  <c r="G165" i="16"/>
  <c r="E112" i="16" s="1"/>
  <c r="H112" i="16" s="1"/>
  <c r="J296" i="16"/>
  <c r="E277" i="17" l="1"/>
  <c r="E280" i="17" s="1"/>
  <c r="J112" i="17"/>
  <c r="H169" i="17"/>
  <c r="G153" i="17"/>
  <c r="G170" i="17" s="1"/>
  <c r="E288" i="17"/>
  <c r="E290" i="17" s="1"/>
  <c r="B22" i="17" s="1"/>
  <c r="G293" i="17"/>
  <c r="J293" i="17" s="1"/>
  <c r="E265" i="17"/>
  <c r="H169" i="16"/>
  <c r="G153" i="16"/>
  <c r="G170" i="16" s="1"/>
  <c r="E113" i="16"/>
  <c r="H153" i="16" s="1"/>
  <c r="H170" i="17" l="1"/>
  <c r="J154" i="17"/>
  <c r="J155" i="17" s="1"/>
  <c r="E227" i="17"/>
  <c r="E230" i="17" s="1"/>
  <c r="H170" i="16"/>
  <c r="E227" i="16"/>
  <c r="E230" i="16" s="1"/>
  <c r="E277" i="16" s="1"/>
  <c r="J154" i="16"/>
  <c r="J155" i="16" s="1"/>
  <c r="E279" i="16" l="1"/>
  <c r="B22" i="16" s="1"/>
  <c r="G295" i="17"/>
  <c r="G297" i="17" s="1"/>
  <c r="J297" i="17" s="1"/>
  <c r="E266" i="17"/>
  <c r="E268" i="17" s="1"/>
  <c r="B21" i="17" s="1"/>
  <c r="G298" i="16"/>
  <c r="E266" i="16"/>
  <c r="E268" i="16" s="1"/>
  <c r="B21" i="16" s="1"/>
  <c r="J295" i="17" l="1"/>
  <c r="K296" i="17" s="1"/>
  <c r="B23" i="17"/>
  <c r="B24" i="17"/>
  <c r="B24" i="16"/>
  <c r="B23" i="16"/>
  <c r="J298" i="16"/>
  <c r="K299" i="16" s="1"/>
  <c r="G300" i="16"/>
  <c r="J300" i="16" s="1"/>
  <c r="K112" i="17" l="1"/>
</calcChain>
</file>

<file path=xl/comments1.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 ref="B310" authorId="0" shapeId="0">
      <text>
        <r>
          <rPr>
            <b/>
            <sz val="10"/>
            <color rgb="FF000000"/>
            <rFont val="Tahoma"/>
            <family val="2"/>
          </rPr>
          <t>Matthew Heun:</t>
        </r>
        <r>
          <rPr>
            <sz val="10"/>
            <color rgb="FF000000"/>
            <rFont val="Tahoma"/>
            <family val="2"/>
          </rPr>
          <t xml:space="preserve">
</t>
        </r>
        <r>
          <rPr>
            <sz val="10"/>
            <color rgb="FF000000"/>
            <rFont val="Tahoma"/>
            <family val="2"/>
          </rPr>
          <t xml:space="preserve">Calculated from q_dot_s (in Lm-hr/yr) and luminosity (inLm). 
</t>
        </r>
        <r>
          <rPr>
            <sz val="10"/>
            <color rgb="FF000000"/>
            <rFont val="Tahoma"/>
            <family val="2"/>
          </rPr>
          <t xml:space="preserve">
</t>
        </r>
        <r>
          <rPr>
            <sz val="10"/>
            <color rgb="FF000000"/>
            <rFont val="Tahoma"/>
            <family val="2"/>
          </rPr>
          <t>I moved the input cell to the top of the sheet, because it is easier to make graphs.</t>
        </r>
      </text>
    </comment>
    <comment ref="B318" authorId="0" shapeId="0">
      <text>
        <r>
          <rPr>
            <b/>
            <sz val="10"/>
            <color rgb="FF000000"/>
            <rFont val="Tahoma"/>
            <family val="2"/>
          </rPr>
          <t>Matthew Heun:</t>
        </r>
        <r>
          <rPr>
            <sz val="10"/>
            <color rgb="FF000000"/>
            <rFont val="Tahoma"/>
            <family val="2"/>
          </rPr>
          <t xml:space="preserve">
</t>
        </r>
        <r>
          <rPr>
            <sz val="10"/>
            <color rgb="FF000000"/>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<sst xmlns="http://schemas.openxmlformats.org/spreadsheetml/2006/main" count="1240" uniqueCount="488">
  <si>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</si>
  <si>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</si>
  <si>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</si>
  <si>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</si>
  <si>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</si>
  <si>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</si>
  <si>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</si>
  <si>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</si>
  <si>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</si>
  <si>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</si>
  <si>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</si>
  <si>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</si>
  <si>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</si>
  <si>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</si>
  <si>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</si>
  <si>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</si>
  <si>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</si>
  <si>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</si>
  <si>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</si>
  <si>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</si>
  <si>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</si>
  <si>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</si>
  <si>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</si>
  <si>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</si>
  <si>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</si>
  <si>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</si>
  <si>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</si>
  <si>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</si>
  <si>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</si>
  <si>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</si>
  <si>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</si>
  <si>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</si>
  <si>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</si>
  <si>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Elasticities</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</si>
  <si>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</si>
  <si>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</si>
  <si>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</si>
  <si>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</si>
  <si>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</si>
  <si>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</si>
  <si>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</si>
  <si>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</si>
  <si>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</si>
  <si>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</si>
  <si>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</si>
  <si>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</si>
  <si>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</si>
  <si>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Based on TCO for Massachusetts at Edmunds.com. Sum of insurance, maintenance, repairs, taxes &amp; fees (Excluding financing, depreciation, fuel)</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</si>
  <si>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</si>
  <si>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</si>
  <si>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</si>
  <si>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</si>
  <si>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</si>
  <si>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</si>
  <si>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</si>
  <si>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</si>
  <si>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</si>
  <si>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</si>
  <si>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</si>
  <si>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</si>
  <si>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</si>
  <si>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</si>
  <si>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</si>
  <si>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</si>
  <si>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</si>
  <si>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</si>
  <si>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</si>
  <si>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</si>
  <si>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</si>
  <si>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lifetime of device</t>
  </si>
  <si>
    <t>yr</t>
  </si>
  <si>
    <t>t</t>
  </si>
  <si>
    <t>Edot_emb</t>
  </si>
  <si>
    <t>t*</t>
  </si>
  <si>
    <t>E*_dot_emb</t>
  </si>
  <si>
    <t>Ndot_hat</t>
  </si>
  <si>
    <t>Gdot</t>
  </si>
  <si>
    <t>Eta</t>
  </si>
  <si>
    <t>qdot_s_hat</t>
  </si>
  <si>
    <t>Cdot_o_hat</t>
  </si>
  <si>
    <t xml:space="preserve"> -k*Re_isub</t>
  </si>
  <si>
    <t>Cdot_o_bar</t>
  </si>
  <si>
    <t>deltaCbar_dot_o</t>
  </si>
  <si>
    <t>Energy price</t>
  </si>
  <si>
    <t>Energy service efficiency</t>
  </si>
  <si>
    <t>Energy service price</t>
  </si>
  <si>
    <t>Energy service consumption rate</t>
  </si>
  <si>
    <t>Capital expenditure rate</t>
  </si>
  <si>
    <t>OM and disposal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</si>
  <si>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</si>
  <si>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</si>
  <si>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</si>
  <si>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</si>
  <si>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</si>
  <si>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</si>
  <si>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</si>
  <si>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</si>
  <si>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</si>
  <si>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</si>
  <si>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</si>
  <si>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</si>
  <si>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</si>
  <si>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</si>
  <si>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</si>
  <si>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</si>
  <si>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</si>
  <si>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</si>
  <si>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</si>
  <si>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</si>
  <si>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</si>
  <si>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</si>
  <si>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</si>
  <si>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</si>
  <si>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</si>
  <si>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DeltaCdot*_cap</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</si>
  <si>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</si>
  <si>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</si>
  <si>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</si>
  <si>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</si>
  <si>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</si>
  <si>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</si>
  <si>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</si>
  <si>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</si>
  <si>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</si>
  <si>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</si>
  <si>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</si>
  <si>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</si>
  <si>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</si>
  <si>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</si>
  <si>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</si>
  <si>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</si>
  <si>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</si>
  <si>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</si>
  <si>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</si>
  <si>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</si>
  <si>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</si>
  <si>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</si>
  <si>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</si>
  <si>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theme="1"/>
        <rFont val="Calibri (Body)"/>
      </rPr>
      <t>sum</t>
    </r>
  </si>
  <si>
    <r>
      <t>Re</t>
    </r>
    <r>
      <rPr>
        <vertAlign val="subscript"/>
        <sz val="11"/>
        <color theme="1"/>
        <rFont val="Calibri (Body)"/>
      </rPr>
      <t>dempl</t>
    </r>
  </si>
  <si>
    <r>
      <t>Re</t>
    </r>
    <r>
      <rPr>
        <vertAlign val="subscript"/>
        <sz val="11"/>
        <color theme="1"/>
        <rFont val="Calibri (Body)"/>
      </rPr>
      <t>dsub</t>
    </r>
  </si>
  <si>
    <r>
      <t>Re</t>
    </r>
    <r>
      <rPr>
        <vertAlign val="subscript"/>
        <sz val="11"/>
        <color theme="1"/>
        <rFont val="Calibri (Body)"/>
      </rPr>
      <t>dinc</t>
    </r>
  </si>
  <si>
    <r>
      <t>Re</t>
    </r>
    <r>
      <rPr>
        <vertAlign val="subscript"/>
        <sz val="11"/>
        <color theme="1"/>
        <rFont val="Calibri (Body)"/>
      </rPr>
      <t>emb</t>
    </r>
  </si>
  <si>
    <r>
      <t>Re</t>
    </r>
    <r>
      <rPr>
        <vertAlign val="subscript"/>
        <sz val="11"/>
        <color theme="1"/>
        <rFont val="Calibri (Body)"/>
      </rPr>
      <t>isub</t>
    </r>
  </si>
  <si>
    <r>
      <t>Re</t>
    </r>
    <r>
      <rPr>
        <vertAlign val="subscript"/>
        <sz val="11"/>
        <color theme="1"/>
        <rFont val="Calibri (Body)"/>
      </rPr>
      <t>iinc</t>
    </r>
  </si>
  <si>
    <r>
      <t>Re</t>
    </r>
    <r>
      <rPr>
        <vertAlign val="subscript"/>
        <sz val="11"/>
        <color theme="1"/>
        <rFont val="Calibri (Body)"/>
      </rPr>
      <t>prod</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</si>
  <si>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</si>
  <si>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</si>
  <si>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</si>
  <si>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</si>
  <si>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</si>
  <si>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</si>
  <si>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</si>
  <si>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</si>
  <si>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</si>
  <si>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</si>
  <si>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</si>
  <si>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</si>
  <si>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</si>
  <si>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</si>
  <si>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</si>
  <si>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</si>
  <si>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</si>
  <si>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</si>
  <si>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</si>
  <si>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</si>
  <si>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</si>
  <si>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</si>
  <si>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</si>
  <si>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</si>
  <si>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</si>
  <si>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</si>
  <si>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</si>
  <si>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</si>
  <si>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</si>
  <si>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</si>
  <si>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</si>
  <si>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</si>
  <si>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</si>
  <si>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</si>
  <si>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</si>
  <si>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</si>
  <si>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</si>
  <si>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</si>
  <si>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</si>
  <si>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 xml:space="preserve"> -k*pE*IE*Re_dsub</t>
  </si>
  <si>
    <t>Car specs: Car before upgrade</t>
  </si>
  <si>
    <t>Car specs: Car after upgrade</t>
  </si>
  <si>
    <t>Check</t>
  </si>
  <si>
    <t>economy-wide rebound, Re_sum_1</t>
  </si>
  <si>
    <t>economy-wide rebound, Re_sum_2</t>
  </si>
  <si>
    <t>Re values</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</si>
  <si>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</si>
  <si>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</si>
  <si>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</si>
  <si>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</si>
  <si>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</si>
  <si>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</si>
  <si>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</si>
  <si>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</si>
  <si>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</si>
  <si>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</si>
  <si>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</si>
  <si>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</si>
  <si>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</si>
  <si>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</si>
  <si>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</si>
  <si>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</si>
  <si>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</si>
  <si>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</si>
  <si>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</si>
  <si>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</si>
  <si>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</si>
  <si>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</si>
  <si>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</si>
  <si>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</si>
  <si>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</si>
  <si>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</si>
  <si>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</si>
  <si>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</si>
  <si>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UK car average: https://www.smmt.co.uk/industry-topics/sustainability/average-vehicle-age/</t>
  </si>
  <si>
    <t>https://berla.co/average-us-vehicle-lifespan/</t>
  </si>
  <si>
    <t>13-17 years</t>
  </si>
  <si>
    <t>US Vehicles</t>
  </si>
  <si>
    <t>14 years</t>
  </si>
  <si>
    <t>UK cars</t>
  </si>
  <si>
    <t>https://www.fhwa.dot.gov/ohim/onh00/bar8.htm</t>
  </si>
  <si>
    <t>miles per driver</t>
  </si>
  <si>
    <t>engine size</t>
  </si>
  <si>
    <t>mpg</t>
  </si>
  <si>
    <t>kerb weight</t>
  </si>
  <si>
    <t>Gas/Electric I-4, 2.0 L</t>
  </si>
  <si>
    <t>3695lbs</t>
  </si>
  <si>
    <t>$ MSRP</t>
  </si>
  <si>
    <t>34000MJ</t>
  </si>
  <si>
    <t>from Argonne 2010 report https://greet.es.anl.gov/files/vehicle_and_components_manufacturing</t>
  </si>
  <si>
    <t>2. vehicle lifespan</t>
  </si>
  <si>
    <t>3. average car mileage US per year</t>
  </si>
  <si>
    <t>4. Car costs, mpg data</t>
  </si>
  <si>
    <t>1. LCA energy use for mid-size car</t>
  </si>
  <si>
    <t>https://www.homedepot.com/p/Sylvania-60-Watt-Double-Life-A15-Incandescent-Light-Bulb-2-Pack-11969/303762187?modalType=drawer</t>
  </si>
  <si>
    <t>https://www.homedepot.com/p/EcoSmart-40-Watt-Equivalent-A19-Non-Dimmable-LED-Light-Bulb-Soft-White-8-Pack-1001015802/303714669?modalType=drawer</t>
  </si>
  <si>
    <t>I prefer to use the later models, to present a purchase in 2019/20</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</si>
  <si>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</si>
  <si>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</si>
  <si>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</si>
  <si>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</si>
  <si>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</si>
  <si>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</si>
  <si>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</si>
  <si>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</si>
  <si>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</si>
  <si>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</si>
  <si>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</si>
  <si>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</si>
  <si>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</si>
  <si>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</si>
  <si>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</si>
  <si>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</si>
  <si>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</si>
  <si>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</si>
  <si>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r>
      <t>·</t>
    </r>
    <r>
      <rPr>
        <sz val="7"/>
        <color rgb="FF1F497D"/>
        <rFont val="Times New Roman"/>
        <family val="1"/>
      </rPr>
      <t xml:space="preserve">         </t>
    </r>
    <r>
      <rPr>
        <sz val="11"/>
        <color rgb="FF1F497D"/>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rgb="FF1F497D"/>
        <rFont val="Calibri"/>
        <family val="2"/>
      </rPr>
      <t>nd</t>
    </r>
    <r>
      <rPr>
        <sz val="11"/>
        <color rgb="FF1F497D"/>
        <rFont val="Calibri"/>
        <family val="2"/>
      </rPr>
      <t xml:space="preserve"> battery</t>
    </r>
  </si>
  <si>
    <r>
      <t>·</t>
    </r>
    <r>
      <rPr>
        <sz val="7"/>
        <color rgb="FF1F497D"/>
        <rFont val="Times New Roman"/>
        <family val="1"/>
      </rPr>
      <t xml:space="preserve">         </t>
    </r>
    <r>
      <rPr>
        <sz val="11"/>
        <color rgb="FF1F497D"/>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</si>
  <si>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t>Articles reviewed/found/used</t>
  </si>
  <si>
    <r>
      <t>·</t>
    </r>
    <r>
      <rPr>
        <sz val="7"/>
        <color rgb="FF1F497D"/>
        <rFont val="Times New Roman"/>
        <family val="1"/>
      </rPr>
      <t xml:space="preserve">         </t>
    </r>
    <r>
      <rPr>
        <sz val="11"/>
        <color rgb="FF1F497D"/>
        <rFont val="Calibri"/>
        <family val="2"/>
      </rPr>
      <t xml:space="preserve">Hawkins TR, Singh B, Majeau-Bettez G, Strømman AH. Comparative Environmental Life Cycle Assessment of Conventional and Electric Vehicles. J Ind Ecol. 2013;17(1):53–64. </t>
    </r>
  </si>
  <si>
    <r>
      <t>·</t>
    </r>
    <r>
      <rPr>
        <sz val="7"/>
        <color rgb="FF1F497D"/>
        <rFont val="Times New Roman"/>
        <family val="1"/>
      </rPr>
      <t xml:space="preserve">         </t>
    </r>
    <r>
      <rPr>
        <sz val="11"/>
        <color rgb="FF1F497D"/>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</si>
  <si>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rgb="FF1F497D"/>
        <rFont val="Times New Roman"/>
        <family val="1"/>
      </rPr>
      <t xml:space="preserve">         </t>
    </r>
    <r>
      <rPr>
        <sz val="11"/>
        <color rgb="FF1F497D"/>
        <rFont val="Calibri"/>
        <family val="2"/>
      </rPr>
      <t xml:space="preserve">Ellingsen LAW, Majeau-Bettez G, Singh B, Srivastava AK, Valøen LO, Strømman AH. Life Cycle Assessment of a Lithium-Ion Battery Vehicle Pack. J Ind Ecol. 2014;18(1):113–24. </t>
    </r>
  </si>
  <si>
    <r>
      <t>·</t>
    </r>
    <r>
      <rPr>
        <sz val="7"/>
        <color rgb="FF1F497D"/>
        <rFont val="Times New Roman"/>
        <family val="1"/>
      </rPr>
      <t xml:space="preserve">         </t>
    </r>
    <r>
      <rPr>
        <sz val="11"/>
        <color rgb="FF1F497D"/>
        <rFont val="Calibri"/>
        <family val="2"/>
      </rPr>
      <t xml:space="preserve">Onat NC, Kucukvar M, Tatari O. Conventional, hybrid, plug-in hybrid or electric vehicles? State-based comparative carbon and energy footprint analysis in the United States. Appl Energy. 2015;150:36–49. </t>
    </r>
  </si>
  <si>
    <r>
      <t>·</t>
    </r>
    <r>
      <rPr>
        <sz val="7"/>
        <color rgb="FF1F497D"/>
        <rFont val="Times New Roman"/>
        <family val="1"/>
      </rPr>
      <t xml:space="preserve">         </t>
    </r>
    <r>
      <rPr>
        <sz val="11"/>
        <color rgb="FF1F497D"/>
        <rFont val="Calibri"/>
        <family val="2"/>
      </rPr>
      <t xml:space="preserve">Ellingsen LAW, Singh B, Strømman AH. The size and range effect: Lifecycle greenhouse gas emissions of electric vehicles. Environ Res Lett. 2016;11(5). </t>
    </r>
  </si>
  <si>
    <r>
      <t>·</t>
    </r>
    <r>
      <rPr>
        <sz val="7"/>
        <color rgb="FF1F497D"/>
        <rFont val="Times New Roman"/>
        <family val="1"/>
      </rPr>
      <t xml:space="preserve">         </t>
    </r>
    <r>
      <rPr>
        <sz val="11"/>
        <color rgb="FF1F497D"/>
        <rFont val="Calibri"/>
        <family val="2"/>
      </rPr>
      <t>Cox B, Mutel CL, Bauer C, Mendoza Beltran A, Van Vuuren DP. Uncertain Environmental Footprint of Current and Future Battery Electric Vehicles. Environ Sci Technol. 2018;52(8):4989–95.</t>
    </r>
  </si>
  <si>
    <r>
      <t>1.</t>
    </r>
    <r>
      <rPr>
        <sz val="7"/>
        <color rgb="FF1F497D"/>
        <rFont val="Times New Roman"/>
        <family val="1"/>
      </rPr>
      <t xml:space="preserve">       </t>
    </r>
    <r>
      <rPr>
        <u/>
        <sz val="11"/>
        <color rgb="FF1F497D"/>
        <rFont val="Calibri"/>
        <family val="2"/>
      </rPr>
      <t>Size of batteries</t>
    </r>
  </si>
  <si>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</si>
  <si>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</si>
  <si>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</si>
  <si>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</si>
  <si>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r>
      <t>·</t>
    </r>
    <r>
      <rPr>
        <sz val="7"/>
        <color rgb="FF1F497D"/>
        <rFont val="Times New Roman"/>
        <family val="1"/>
      </rPr>
      <t xml:space="preserve">         </t>
    </r>
    <r>
      <rPr>
        <u/>
        <sz val="11"/>
        <color rgb="FF1F497D"/>
        <rFont val="Calibri"/>
        <family val="2"/>
      </rPr>
      <t>Onat et al 2015:</t>
    </r>
    <r>
      <rPr>
        <sz val="11"/>
        <color rgb="FF1F497D"/>
        <rFont val="Calibri"/>
        <family val="2"/>
      </rPr>
      <t xml:space="preserve"> </t>
    </r>
    <r>
      <rPr>
        <b/>
        <sz val="11"/>
        <color rgb="FF1F497D"/>
        <rFont val="Calibri"/>
        <family val="2"/>
      </rPr>
      <t>In this analysis, the battery lifetimes are assumed to be same as the vehicle lifetimes,</t>
    </r>
    <r>
      <rPr>
        <sz val="11"/>
        <color rgb="FF1F497D"/>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</si>
  <si>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rgb="FF1F497D"/>
        <rFont val="Calibri"/>
        <family val="2"/>
      </rPr>
      <t>Therefore,we deem the assumption of a total driving distance of180 000 km to be reasonable.</t>
    </r>
  </si>
  <si>
    <t>Additional energy requirements of battery vs car manufacture</t>
  </si>
  <si>
    <r>
      <t>·</t>
    </r>
    <r>
      <rPr>
        <sz val="7"/>
        <color rgb="FF1F497D"/>
        <rFont val="Times New Roman"/>
        <family val="1"/>
      </rPr>
      <t xml:space="preserve">         </t>
    </r>
    <r>
      <rPr>
        <sz val="11"/>
        <color rgb="FF1F497D"/>
        <rFont val="Calibri"/>
        <family val="2"/>
      </rPr>
      <t>A wide range of values, from 20-75% of the energy used to make the cars</t>
    </r>
  </si>
  <si>
    <r>
      <t>·</t>
    </r>
    <r>
      <rPr>
        <sz val="7"/>
        <color rgb="FF1F497D"/>
        <rFont val="Times New Roman"/>
        <family val="1"/>
      </rPr>
      <t xml:space="preserve">         </t>
    </r>
    <r>
      <rPr>
        <sz val="11"/>
        <color rgb="FF1F497D"/>
        <rFont val="Calibri"/>
        <family val="2"/>
      </rPr>
      <t>Note: most of the studies focus on full EVs, with larger batteries than our example</t>
    </r>
  </si>
  <si>
    <r>
      <t>·</t>
    </r>
    <r>
      <rPr>
        <sz val="7"/>
        <color rgb="FF1F497D"/>
        <rFont val="Times New Roman"/>
        <family val="1"/>
      </rPr>
      <t xml:space="preserve">         </t>
    </r>
    <r>
      <rPr>
        <sz val="11"/>
        <color rgb="FF1F497D"/>
        <rFont val="Calibri"/>
        <family val="2"/>
      </rPr>
      <t>For our example, our battery is only 1.4kWh in size, vs 30kWh+ for a full EV</t>
    </r>
  </si>
  <si>
    <r>
      <t>·</t>
    </r>
    <r>
      <rPr>
        <sz val="7"/>
        <color rgb="FF1F497D"/>
        <rFont val="Times New Roman"/>
        <family val="1"/>
      </rPr>
      <t xml:space="preserve">         </t>
    </r>
    <r>
      <rPr>
        <sz val="11"/>
        <color rgb="FF1F497D"/>
        <rFont val="Calibri"/>
        <family val="2"/>
      </rPr>
      <t xml:space="preserve">Ellingsen 2013 finds the energy for the battery is related to the battery size, 2500MJ/kWh, for our example 1.4kWQh battery this is ~ 3,500MJ, about 10% fo the energy for car manufacture. </t>
    </r>
  </si>
  <si>
    <r>
      <t>·</t>
    </r>
    <r>
      <rPr>
        <sz val="7"/>
        <color rgb="FF1F497D"/>
        <rFont val="Times New Roman"/>
        <family val="1"/>
      </rPr>
      <t xml:space="preserve">         </t>
    </r>
    <r>
      <rPr>
        <sz val="11"/>
        <color rgb="FF1F497D"/>
        <rFont val="Calibri"/>
        <family val="2"/>
      </rPr>
      <t>So a lower value seems reasonable, say to take 10-20% of the vehicle energy use for battery manufactu4re for our example.</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</si>
  <si>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t>
    </r>
    <r>
      <rPr>
        <b/>
        <sz val="11"/>
        <color rgb="FF1F497D"/>
        <rFont val="Calibri"/>
        <family val="2"/>
      </rPr>
      <t>~50% energy use)</t>
    </r>
  </si>
  <si>
    <r>
      <t>·</t>
    </r>
    <r>
      <rPr>
        <sz val="7"/>
        <color rgb="FF1F4E79"/>
        <rFont val="Times New Roman"/>
        <family val="1"/>
      </rPr>
      <t xml:space="preserve">         </t>
    </r>
    <r>
      <rPr>
        <u/>
        <sz val="11"/>
        <color rgb="FF1F4E79"/>
        <rFont val="Calibri"/>
        <family val="2"/>
      </rPr>
      <t>Nordelöf et al 2014:</t>
    </r>
    <r>
      <rPr>
        <sz val="11"/>
        <color rgb="FF1F4E79"/>
        <rFont val="Calibri"/>
        <family val="2"/>
      </rPr>
      <t xml:space="preserve"> +25% of energy use. Battery is ~26,000MJ vs 94,000MJ for the car manufacture</t>
    </r>
  </si>
  <si>
    <r>
      <t>·</t>
    </r>
    <r>
      <rPr>
        <sz val="7"/>
        <color rgb="FF1F497D"/>
        <rFont val="Times New Roman"/>
        <family val="1"/>
      </rPr>
      <t xml:space="preserve">         </t>
    </r>
    <r>
      <rPr>
        <u/>
        <sz val="11"/>
        <color rgb="FF1F497D"/>
        <rFont val="Calibri"/>
        <family val="2"/>
      </rPr>
      <t>Cox et al 2018</t>
    </r>
    <r>
      <rPr>
        <sz val="11"/>
        <color rgb="FF1F497D"/>
        <rFont val="Calibri"/>
        <family val="2"/>
      </rPr>
      <t>: (</t>
    </r>
    <r>
      <rPr>
        <b/>
        <sz val="11"/>
        <color rgb="FF1F497D"/>
        <rFont val="Calibri"/>
        <family val="2"/>
      </rPr>
      <t>full EV +75% energy use)</t>
    </r>
    <r>
      <rPr>
        <sz val="11"/>
        <color rgb="FF1F497D"/>
        <rFont val="Calibri"/>
        <family val="2"/>
      </rPr>
      <t xml:space="preserve"> </t>
    </r>
  </si>
  <si>
    <r>
      <t xml:space="preserve">Onat et al 2015: battery </t>
    </r>
    <r>
      <rPr>
        <b/>
        <sz val="11"/>
        <color rgb="FF1F497D"/>
        <rFont val="Calibri"/>
        <family val="2"/>
      </rPr>
      <t>~ 20% of car manufacture</t>
    </r>
    <r>
      <rPr>
        <sz val="11"/>
        <color rgb="FF1F497D"/>
        <rFont val="Calibri"/>
        <family val="2"/>
      </rPr>
      <t xml:space="preserve"> </t>
    </r>
  </si>
  <si>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</si>
  <si>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</si>
  <si>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r>
      <t>·</t>
    </r>
    <r>
      <rPr>
        <sz val="7"/>
        <color rgb="FF1F497D"/>
        <rFont val="Times New Roman"/>
        <family val="1"/>
      </rPr>
      <t xml:space="preserve">         </t>
    </r>
    <r>
      <rPr>
        <sz val="11"/>
        <color rgb="FF1F497D"/>
        <rFont val="Calibri"/>
        <family val="2"/>
      </rPr>
      <t>Tesla battery is 60-100kWh, so could be up to 200,000MJ</t>
    </r>
  </si>
  <si>
    <r>
      <t>·</t>
    </r>
    <r>
      <rPr>
        <sz val="7"/>
        <color rgb="FF1F497D"/>
        <rFont val="Times New Roman"/>
        <family val="1"/>
      </rPr>
      <t xml:space="preserve">         </t>
    </r>
    <r>
      <rPr>
        <sz val="11"/>
        <color rgb="FF1F497D"/>
        <rFont val="Calibri"/>
        <family val="2"/>
      </rPr>
      <t>The ford focus energy (full EV) is only 9kWh</t>
    </r>
  </si>
  <si>
    <r>
      <t>·</t>
    </r>
    <r>
      <rPr>
        <sz val="7"/>
        <color rgb="FF1F497D"/>
        <rFont val="Times New Roman"/>
        <family val="1"/>
      </rPr>
      <t xml:space="preserve">         </t>
    </r>
    <r>
      <rPr>
        <sz val="11"/>
        <color rgb="FF1F497D"/>
        <rFont val="Calibri"/>
        <family val="2"/>
      </rPr>
      <t>The ford focus hybrid (our example) is only 1.4kWh. which would make the energy for battery production = 3,500MJ. This would be around 10% of the ~35,000MJ assumed for vehicle production</t>
    </r>
  </si>
  <si>
    <t>Change in maintainance &amp; disposal expenditure rate (after emplacement)</t>
  </si>
  <si>
    <t>∆C_star_md</t>
  </si>
  <si>
    <t>Cdot*_md</t>
  </si>
  <si>
    <t>maintainance &amp; disposal expenditure rate</t>
  </si>
  <si>
    <t>Cdot_md</t>
  </si>
  <si>
    <t>C*_md</t>
  </si>
  <si>
    <t>Re_md</t>
  </si>
  <si>
    <t xml:space="preserve"> -k*Re_md</t>
  </si>
  <si>
    <r>
      <t>Re</t>
    </r>
    <r>
      <rPr>
        <vertAlign val="subscript"/>
        <sz val="11"/>
        <color theme="1"/>
        <rFont val="Calibri (Body)"/>
      </rPr>
      <t>md</t>
    </r>
  </si>
  <si>
    <t>Maintainance and disposal expenditure rate</t>
  </si>
  <si>
    <t>Re_sum = Re_emb + Re_md + Re_dsub + Re_isub + Re_dinc + Re_iinc+ Re_prod</t>
  </si>
  <si>
    <t>use</t>
  </si>
  <si>
    <t>Share of income spent on q_s</t>
  </si>
  <si>
    <t>Marshallian (uncompensated) price elasticity of demand</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</si>
  <si>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</si>
  <si>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</si>
  <si>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</si>
  <si>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</si>
  <si>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</si>
  <si>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</si>
  <si>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</si>
  <si>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</si>
  <si>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</si>
  <si>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</si>
  <si>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</si>
  <si>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</si>
  <si>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</si>
  <si>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</si>
  <si>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</si>
  <si>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</si>
  <si>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</si>
  <si>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</si>
  <si>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</si>
  <si>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</si>
  <si>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</si>
  <si>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</si>
  <si>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</si>
  <si>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</si>
  <si>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</si>
  <si>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</si>
  <si>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</si>
  <si>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</si>
  <si>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</si>
  <si>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Budget constraint</t>
  </si>
  <si>
    <t>verify:</t>
  </si>
  <si>
    <t>N_dot_hat</t>
  </si>
  <si>
    <t>p_E*∆E_dot_bar_s + ∆C_dot_bar_o</t>
  </si>
  <si>
    <t>diff (should be 0)</t>
  </si>
  <si>
    <t>not used</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</si>
  <si>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</si>
  <si>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</si>
  <si>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</si>
  <si>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</si>
  <si>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</si>
  <si>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</si>
  <si>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</si>
  <si>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</si>
  <si>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</si>
  <si>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</si>
  <si>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</si>
  <si>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</si>
  <si>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</si>
  <si>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</si>
  <si>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</si>
  <si>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</si>
  <si>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</si>
  <si>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</si>
  <si>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</si>
  <si>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</si>
  <si>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</si>
  <si>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</si>
  <si>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</si>
  <si>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</si>
  <si>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</si>
  <si>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Maint. and disposal expenditure rate</t>
  </si>
  <si>
    <t>Real Income</t>
  </si>
  <si>
    <t>Net income (freed cash)</t>
  </si>
  <si>
    <t>Real income</t>
  </si>
  <si>
    <t>Mdot_prime_hat</t>
  </si>
  <si>
    <t>E_dot_s</t>
  </si>
  <si>
    <t>(1 -k)*Re_md</t>
  </si>
  <si>
    <t>[1-k*pE*I_E]*Re_dsub</t>
  </si>
  <si>
    <t>(1-k)*Re_isub</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</si>
  <si>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</si>
  <si>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</si>
  <si>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</si>
  <si>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</si>
  <si>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</si>
  <si>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</si>
  <si>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</si>
  <si>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</si>
  <si>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</si>
  <si>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</si>
  <si>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</si>
  <si>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</si>
  <si>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t>average year 1-7</t>
  </si>
  <si>
    <r>
      <t>E</t>
    </r>
    <r>
      <rPr>
        <vertAlign val="superscript"/>
        <sz val="11"/>
        <color theme="1"/>
        <rFont val="Calibri"/>
        <family val="2"/>
        <scheme val="minor"/>
      </rPr>
      <t>o</t>
    </r>
    <r>
      <rPr>
        <sz val="11"/>
        <color theme="1"/>
        <rFont val="Calibri"/>
        <family val="2"/>
        <scheme val="minor"/>
      </rPr>
      <t>_dot_emb</t>
    </r>
  </si>
  <si>
    <r>
      <t xml:space="preserve"> </t>
    </r>
    <r>
      <rPr>
        <vertAlign val="superscript"/>
        <sz val="11"/>
        <color theme="1"/>
        <rFont val="Calibri"/>
        <family val="2"/>
        <scheme val="minor"/>
      </rPr>
      <t>o</t>
    </r>
    <r>
      <rPr>
        <sz val="11"/>
        <color theme="1"/>
        <rFont val="Calibri"/>
        <family val="2"/>
        <scheme val="minor"/>
      </rPr>
      <t xml:space="preserve"> (Original)</t>
    </r>
  </si>
  <si>
    <r>
      <t>C</t>
    </r>
    <r>
      <rPr>
        <vertAlign val="superscript"/>
        <sz val="11"/>
        <color theme="1"/>
        <rFont val="Calibri"/>
        <family val="2"/>
        <scheme val="minor"/>
      </rPr>
      <t>o</t>
    </r>
    <r>
      <rPr>
        <sz val="11"/>
        <color theme="1"/>
        <rFont val="Calibri"/>
        <family val="2"/>
        <scheme val="minor"/>
      </rPr>
      <t>_md</t>
    </r>
  </si>
  <si>
    <r>
      <t>eta</t>
    </r>
    <r>
      <rPr>
        <vertAlign val="superscript"/>
        <sz val="11"/>
        <color theme="1"/>
        <rFont val="Calibri"/>
        <family val="2"/>
        <scheme val="minor"/>
      </rPr>
      <t>o</t>
    </r>
  </si>
  <si>
    <r>
      <t>C</t>
    </r>
    <r>
      <rPr>
        <vertAlign val="superscript"/>
        <sz val="11"/>
        <color theme="1"/>
        <rFont val="Calibri"/>
        <family val="2"/>
        <scheme val="minor"/>
      </rPr>
      <t>o</t>
    </r>
    <r>
      <rPr>
        <sz val="11"/>
        <color theme="1"/>
        <rFont val="Calibri"/>
        <family val="2"/>
        <scheme val="minor"/>
      </rPr>
      <t xml:space="preserve">dot_o </t>
    </r>
  </si>
  <si>
    <r>
      <t>E</t>
    </r>
    <r>
      <rPr>
        <vertAlign val="superscript"/>
        <sz val="11"/>
        <color theme="1"/>
        <rFont val="Calibri"/>
        <family val="2"/>
        <scheme val="minor"/>
      </rPr>
      <t>o</t>
    </r>
    <r>
      <rPr>
        <sz val="11"/>
        <color theme="1"/>
        <rFont val="Calibri"/>
        <family val="2"/>
        <scheme val="minor"/>
      </rPr>
      <t xml:space="preserve">dot_s </t>
    </r>
  </si>
  <si>
    <r>
      <t>C</t>
    </r>
    <r>
      <rPr>
        <vertAlign val="superscript"/>
        <sz val="11"/>
        <color theme="1"/>
        <rFont val="Calibri"/>
        <family val="2"/>
        <scheme val="minor"/>
      </rPr>
      <t>o</t>
    </r>
    <r>
      <rPr>
        <sz val="11"/>
        <color theme="1"/>
        <rFont val="Calibri"/>
        <family val="2"/>
        <scheme val="minor"/>
      </rPr>
      <t xml:space="preserve">dot_hat </t>
    </r>
  </si>
  <si>
    <r>
      <t>q</t>
    </r>
    <r>
      <rPr>
        <vertAlign val="superscript"/>
        <sz val="11"/>
        <color theme="1"/>
        <rFont val="Calibri"/>
        <family val="2"/>
        <scheme val="minor"/>
      </rPr>
      <t>o</t>
    </r>
    <r>
      <rPr>
        <sz val="11"/>
        <color theme="1"/>
        <rFont val="Calibri"/>
        <family val="2"/>
        <scheme val="minor"/>
      </rPr>
      <t>_dot_s</t>
    </r>
  </si>
  <si>
    <r>
      <t>q</t>
    </r>
    <r>
      <rPr>
        <sz val="11"/>
        <color theme="1"/>
        <rFont val="Calibri"/>
        <family val="2"/>
        <scheme val="minor"/>
      </rPr>
      <t>_dot_hat_s</t>
    </r>
  </si>
  <si>
    <t>elasticity of substitution</t>
  </si>
  <si>
    <t>ρ</t>
  </si>
  <si>
    <t>σ</t>
  </si>
  <si>
    <t>sigma</t>
  </si>
  <si>
    <t xml:space="preserve">C_dot_hat </t>
  </si>
  <si>
    <t>rho</t>
  </si>
  <si>
    <t>new_v3</t>
  </si>
  <si>
    <t>old_v2</t>
  </si>
  <si>
    <t xml:space="preserve">average vehicle miles driven, from </t>
  </si>
  <si>
    <t>new_v2</t>
  </si>
  <si>
    <t>old_v1</t>
  </si>
  <si>
    <t>Lm/yr</t>
  </si>
  <si>
    <t>Ford Fusion hybrid 2L titanium</t>
  </si>
  <si>
    <t>https://www.edmunds.com/ford/fusion-hybrid/2020/cost-to-own/</t>
  </si>
  <si>
    <t>Ford Fusion 2020</t>
  </si>
  <si>
    <t>https://www.thecarconnection.com/specifications/ford_fusion_2020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</si>
  <si>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</si>
  <si>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</si>
  <si>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</si>
  <si>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</si>
  <si>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</si>
  <si>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</si>
  <si>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</si>
  <si>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</si>
  <si>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</si>
  <si>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</si>
  <si>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</si>
  <si>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gasoline car - 7 year av. maint. and disp. Costs</t>
  </si>
  <si>
    <t>Fusion Titanium 2.0L Hybrid car  - capital purchase cost</t>
  </si>
  <si>
    <t>Fusion Titanium 2.0L hybrid car - 7 year av. maint. and disp. costs</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</si>
  <si>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</si>
  <si>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</si>
  <si>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</si>
  <si>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</si>
  <si>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</si>
  <si>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</si>
  <si>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</si>
  <si>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</si>
  <si>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</si>
  <si>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</si>
  <si>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</si>
  <si>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</si>
  <si>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</si>
  <si>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</si>
  <si>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</si>
  <si>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</si>
  <si>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</si>
  <si>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</si>
  <si>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</si>
  <si>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</si>
  <si>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</si>
  <si>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</si>
  <si>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</si>
  <si>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</si>
  <si>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</si>
  <si>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https://www.edmunds.com/ford/fusion/2020/cost-to-own/#style=401757616</t>
  </si>
  <si>
    <t xml:space="preserve">fraction of spend on original energy service </t>
  </si>
  <si>
    <t>READ ME SHEET</t>
  </si>
  <si>
    <t>A. Reproduction of external source data: terms of use</t>
  </si>
  <si>
    <t>Case study 1 - Car</t>
  </si>
  <si>
    <t>Case study 2 - LED lamp</t>
  </si>
  <si>
    <t>Case study 1 battery LCA data</t>
  </si>
  <si>
    <t>Contains the data and calculations for the Car case study in the Energy Economics paper</t>
  </si>
  <si>
    <t>Contains the data and calculations for the electric lamp case study in the Energy Economics paper</t>
  </si>
  <si>
    <t xml:space="preserve">All data sourced and contained on these datasheets is in the public domain. </t>
  </si>
  <si>
    <t>Case study 1: New car.</t>
  </si>
  <si>
    <t>Case study 2: New Light Bulb</t>
  </si>
  <si>
    <t>Re_macro</t>
  </si>
  <si>
    <t>Re_sum = Re_emb + Re_md + Re_dsub + Re_isub + Re_dinc + Re_iinc+ Re_macro</t>
  </si>
  <si>
    <t>(1-k)Remd</t>
  </si>
  <si>
    <t xml:space="preserve"> -kRecap</t>
  </si>
  <si>
    <t>(1-kpeIe)*Redsub</t>
  </si>
  <si>
    <t>(1-k)Reisub</t>
  </si>
  <si>
    <t>Redinc</t>
  </si>
  <si>
    <t>Reiinc</t>
  </si>
  <si>
    <t>kpEIE</t>
  </si>
  <si>
    <t>economy-wide rebound, Re_sum_3</t>
  </si>
  <si>
    <t>epsilon_{q_o,p_s,c}</t>
  </si>
  <si>
    <t>epsilon_{q_s,p_s,c}</t>
  </si>
  <si>
    <t>epilson_{q_s,p_s}</t>
  </si>
  <si>
    <t>Compensated price elasticity of demand for q_s</t>
  </si>
  <si>
    <t>Compensated cross price elasticity of demand for q_o</t>
  </si>
  <si>
    <t>Equation in main paper</t>
  </si>
  <si>
    <t>D.21</t>
  </si>
  <si>
    <t>D.22</t>
  </si>
  <si>
    <t>D.15</t>
  </si>
  <si>
    <t>f_{C_o_s}</t>
  </si>
  <si>
    <t>Case study - car</t>
  </si>
  <si>
    <t>This contains the source data/references for the battery LCA energy assumed in the Hybrid car case study 1 (car) example</t>
  </si>
  <si>
    <t>macro multiplier, k</t>
  </si>
  <si>
    <t>This file contains the following calculation data sheets for the rebound case study examples used in the submitted Energy Economics paper. The calculations are also performed using R code, and these excel-based calculations were developed in parallel, to check that the R-based calculations are correct. paper reference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</si>
</sst>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
    <numFmt numFmtId="173" formatCode="0.0000000"/>
    <numFmt numFmtId="174" formatCode="#,##0.0000000"/>
    <numFmt numFmtId="175" formatCode="0.00000"/>
    <numFmt numFmtId="176" formatCode="_-[$$-409]* #,##0_ ;_-[$$-409]* \-#,##0\ ;_-[$$-409]* &quot;-&quot;_ ;_-@_ "/>
    <numFmt numFmtId="177" formatCode="#,##0.0000"/>
    <numFmt numFmtId="178" formatCode="0.000000"/>
    <numFmt numFmtId="179" formatCode="_-[$$-409]* #,##0.00_ ;_-[$$-409]* \-#,##0.00\ ;_-[$$-409]* &quot;-&quot;??_ ;_-@_ "/>
    <numFmt numFmtId="180" formatCode="[$$-409]#,##0.00"/>
  </numFmts>
  <fonts count="36">
    <font>
      <sz val="12"/>
      <color theme="1"/>
      <name val="Calibri"/>
      <family val="2"/>
      <scheme val="minor"/>
    </font>
    <font>
      <b/>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sz val="11"/>
      <color theme="1"/>
      <name val="Arial"/>
      <family val="2"/>
    </font>
    <font>
      <u/>
      <sz val="11"/>
      <color theme="1"/>
      <name val="Calibri (Body)"/>
    </font>
    <font>
      <vertAlign val="subscript"/>
      <sz val="11"/>
      <color theme="1"/>
      <name val="Calibri (Body)"/>
    </font>
    <font>
      <sz val="11"/>
      <name val="Calibri"/>
      <family val="2"/>
      <scheme val="minor"/>
    </font>
    <font>
      <sz val="11"/>
      <color theme="1"/>
      <name val="Calibri"/>
      <family val="2"/>
      <charset val="2"/>
      <scheme val="minor"/>
    </font>
    <font>
      <u/>
      <sz val="11"/>
      <color theme="1"/>
      <name val="Calibri"/>
      <family val="2"/>
      <scheme val="minor"/>
    </font>
    <font>
      <u/>
      <sz val="12"/>
      <color theme="10"/>
      <name val="Calibri"/>
      <family val="2"/>
      <scheme val="minor"/>
    </font>
    <font>
      <sz val="12"/>
      <color theme="1"/>
      <name val="Times New Roman"/>
      <family val="1"/>
    </font>
    <font>
      <sz val="11"/>
      <color rgb="FF1F497D"/>
      <name val="Calibri"/>
      <family val="2"/>
    </font>
    <font>
      <sz val="11"/>
      <color rgb="FF1F497D"/>
      <name val="Symbol"/>
      <family val="1"/>
      <charset val="2"/>
    </font>
    <font>
      <sz val="7"/>
      <color rgb="FF1F497D"/>
      <name val="Times New Roman"/>
      <family val="1"/>
    </font>
    <font>
      <vertAlign val="superscript"/>
      <sz val="11"/>
      <color rgb="FF1F497D"/>
      <name val="Calibri"/>
      <family val="2"/>
    </font>
    <font>
      <u/>
      <sz val="11"/>
      <color rgb="FF1F497D"/>
      <name val="Calibri"/>
      <family val="2"/>
    </font>
    <font>
      <b/>
      <sz val="11"/>
      <color rgb="FF1F497D"/>
      <name val="Calibri"/>
      <family val="2"/>
    </font>
    <font>
      <sz val="11"/>
      <color rgb="FF1F4E79"/>
      <name val="Symbol"/>
      <family val="1"/>
      <charset val="2"/>
    </font>
    <font>
      <sz val="7"/>
      <color rgb="FF1F4E79"/>
      <name val="Times New Roman"/>
      <family val="1"/>
    </font>
    <font>
      <u/>
      <sz val="11"/>
      <color rgb="FF1F4E79"/>
      <name val="Calibri"/>
      <family val="2"/>
    </font>
    <font>
      <sz val="11"/>
      <color rgb="FF1F4E79"/>
      <name val="Calibri"/>
      <family val="2"/>
    </font>
    <font>
      <strike/>
      <sz val="11"/>
      <color theme="1"/>
      <name val="Calibri"/>
      <family val="2"/>
      <scheme val="minor"/>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vertAlign val="superscript"/>
      <sz val="11"/>
      <color theme="1"/>
      <name val="Calibri"/>
      <family val="2"/>
      <scheme val="minor"/>
    </font>
    <font>
      <b/>
      <strike/>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59999389629810485"/>
        <bgColor indexed="64"/>
      </patternFill>
    </fill>
  </fills>
  <borders count="18">
    <border>
      <left/>
      <right/>
      <top/>
      <bottom/>
      <diagonal/>
    </border>
    <border>
      <left/>
      <right/>
      <top style="medium">
        <color auto="1"/>
      </top>
      <bottom style="thin">
        <color auto="1"/>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16" fillId="0" borderId="0" applyNumberFormat="0" applyFill="0" applyBorder="0" applyAlignment="0" applyProtection="0"/>
  </cellStyleXfs>
  <cellXfs count="189">
    <xf numFmtId="0" fontId="0" fillId="0" borderId="0" xfId="0"/>
    <xf numFmtId="0" fontId="0" fillId="0" borderId="0" xfId="0" applyFill="1"/>
    <xf numFmtId="0" fontId="1" fillId="0" borderId="0" xfId="0" applyFont="1"/>
    <xf numFmtId="0" fontId="5" fillId="0" borderId="0" xfId="0" applyFont="1"/>
    <xf numFmtId="0" fontId="6" fillId="0" borderId="0" xfId="0" applyFont="1"/>
    <xf numFmtId="0" fontId="6" fillId="0" borderId="0" xfId="0" applyFont="1" applyAlignment="1">
      <alignment horizontal="center"/>
    </xf>
    <xf numFmtId="0" fontId="6" fillId="2" borderId="0" xfId="0" applyFont="1" applyFill="1"/>
    <xf numFmtId="0" fontId="7" fillId="0" borderId="0" xfId="0" applyFont="1"/>
    <xf numFmtId="0" fontId="7" fillId="0" borderId="0" xfId="0" applyFont="1" applyAlignment="1">
      <alignment horizontal="center"/>
    </xf>
    <xf numFmtId="0" fontId="8" fillId="0" borderId="0" xfId="0" applyFont="1"/>
    <xf numFmtId="0" fontId="6" fillId="0" borderId="0" xfId="0" applyFont="1" applyFill="1"/>
    <xf numFmtId="1" fontId="6" fillId="0" borderId="0" xfId="0" applyNumberFormat="1" applyFont="1"/>
    <xf numFmtId="164" fontId="6" fillId="0" borderId="0" xfId="0" applyNumberFormat="1" applyFont="1"/>
    <xf numFmtId="0" fontId="6" fillId="0" borderId="0" xfId="0" applyFont="1" applyFill="1" applyAlignment="1">
      <alignment horizontal="center"/>
    </xf>
    <xf numFmtId="2" fontId="6" fillId="0" borderId="0" xfId="0" applyNumberFormat="1" applyFont="1" applyFill="1"/>
    <xf numFmtId="0" fontId="8" fillId="0" borderId="0" xfId="0" applyFont="1" applyFill="1"/>
    <xf numFmtId="3" fontId="6" fillId="2" borderId="0" xfId="0" applyNumberFormat="1" applyFont="1" applyFill="1" applyAlignment="1">
      <alignment horizontal="right"/>
    </xf>
    <xf numFmtId="3" fontId="6" fillId="0" borderId="0" xfId="0" applyNumberFormat="1" applyFont="1" applyAlignment="1">
      <alignment horizontal="right"/>
    </xf>
    <xf numFmtId="3" fontId="6" fillId="2" borderId="0" xfId="0" applyNumberFormat="1" applyFont="1" applyFill="1"/>
    <xf numFmtId="2" fontId="6" fillId="0" borderId="0" xfId="0" applyNumberFormat="1" applyFont="1"/>
    <xf numFmtId="0" fontId="6" fillId="0" borderId="0" xfId="0" quotePrefix="1" applyFont="1"/>
    <xf numFmtId="2" fontId="6" fillId="2" borderId="0" xfId="0" applyNumberFormat="1" applyFont="1" applyFill="1"/>
    <xf numFmtId="3" fontId="6" fillId="0" borderId="0" xfId="0" applyNumberFormat="1" applyFont="1"/>
    <xf numFmtId="3" fontId="6" fillId="0" borderId="0" xfId="0" applyNumberFormat="1" applyFont="1" applyFill="1"/>
    <xf numFmtId="0" fontId="9" fillId="0" borderId="0" xfId="0" applyFont="1" applyAlignment="1">
      <alignment horizontal="center"/>
    </xf>
    <xf numFmtId="0" fontId="8" fillId="0" borderId="0" xfId="0" applyFont="1" applyAlignment="1">
      <alignment horizontal="left"/>
    </xf>
    <xf numFmtId="0" fontId="6" fillId="0" borderId="0" xfId="0" applyFont="1" applyAlignment="1">
      <alignment horizontal="left"/>
    </xf>
    <xf numFmtId="0" fontId="11" fillId="0" borderId="0" xfId="0" applyFont="1"/>
    <xf numFmtId="0" fontId="6" fillId="0" borderId="1" xfId="0" applyFont="1" applyBorder="1" applyAlignment="1"/>
    <xf numFmtId="0" fontId="6" fillId="0" borderId="1" xfId="0" applyFont="1" applyBorder="1" applyAlignment="1">
      <alignment horizontal="center"/>
    </xf>
    <xf numFmtId="0" fontId="6" fillId="0" borderId="0" xfId="0" applyFont="1" applyAlignment="1">
      <alignment horizontal="right"/>
    </xf>
    <xf numFmtId="164" fontId="6" fillId="0" borderId="0" xfId="0" applyNumberFormat="1" applyFont="1" applyAlignment="1">
      <alignment horizontal="center"/>
    </xf>
    <xf numFmtId="1" fontId="6" fillId="0" borderId="0" xfId="0" applyNumberFormat="1" applyFont="1" applyAlignment="1">
      <alignment horizontal="center"/>
    </xf>
    <xf numFmtId="3" fontId="6" fillId="0" borderId="0" xfId="0" applyNumberFormat="1" applyFont="1" applyAlignment="1">
      <alignment horizontal="center"/>
    </xf>
    <xf numFmtId="3" fontId="6" fillId="0" borderId="0" xfId="0" applyNumberFormat="1" applyFont="1" applyFill="1" applyAlignment="1">
      <alignment horizontal="center"/>
    </xf>
    <xf numFmtId="0" fontId="6" fillId="0" borderId="2" xfId="0" applyFont="1" applyBorder="1" applyAlignment="1">
      <alignment horizontal="right"/>
    </xf>
    <xf numFmtId="0" fontId="6" fillId="0" borderId="2" xfId="0" applyFont="1" applyBorder="1" applyAlignment="1">
      <alignment horizontal="center"/>
    </xf>
    <xf numFmtId="3" fontId="6" fillId="0" borderId="2" xfId="0" applyNumberFormat="1" applyFont="1" applyFill="1" applyBorder="1" applyAlignment="1">
      <alignment horizontal="center"/>
    </xf>
    <xf numFmtId="164" fontId="6" fillId="0" borderId="0" xfId="0" applyNumberFormat="1" applyFont="1" applyFill="1" applyAlignment="1">
      <alignment horizontal="center"/>
    </xf>
    <xf numFmtId="1" fontId="6" fillId="0" borderId="0" xfId="0" applyNumberFormat="1" applyFont="1" applyFill="1" applyAlignment="1">
      <alignment horizontal="center"/>
    </xf>
    <xf numFmtId="0" fontId="6" fillId="0" borderId="2" xfId="0" applyFont="1" applyFill="1" applyBorder="1" applyAlignment="1">
      <alignment horizontal="center"/>
    </xf>
    <xf numFmtId="0" fontId="6" fillId="3" borderId="0" xfId="0" applyFont="1" applyFill="1"/>
    <xf numFmtId="165" fontId="6" fillId="3" borderId="0" xfId="1" applyNumberFormat="1" applyFont="1" applyFill="1"/>
    <xf numFmtId="0" fontId="8" fillId="0" borderId="0" xfId="0" applyFont="1" applyAlignment="1">
      <alignment horizontal="right"/>
    </xf>
    <xf numFmtId="0" fontId="8" fillId="0" borderId="0" xfId="0" applyFont="1" applyAlignment="1">
      <alignment horizontal="center"/>
    </xf>
    <xf numFmtId="165" fontId="6" fillId="0" borderId="0" xfId="1" applyNumberFormat="1" applyFont="1" applyFill="1"/>
    <xf numFmtId="9" fontId="6" fillId="0" borderId="0" xfId="1" applyFont="1" applyAlignment="1">
      <alignment horizontal="center"/>
    </xf>
    <xf numFmtId="0" fontId="6" fillId="0" borderId="1" xfId="0" applyFont="1" applyBorder="1"/>
    <xf numFmtId="165" fontId="6" fillId="0" borderId="0" xfId="0" applyNumberFormat="1" applyFont="1" applyAlignment="1">
      <alignment horizontal="center"/>
    </xf>
    <xf numFmtId="165" fontId="6" fillId="0" borderId="0" xfId="0" applyNumberFormat="1" applyFont="1"/>
    <xf numFmtId="165" fontId="6" fillId="0" borderId="0" xfId="1" applyNumberFormat="1" applyFont="1"/>
    <xf numFmtId="0" fontId="13" fillId="0" borderId="0" xfId="0" applyFont="1"/>
    <xf numFmtId="166" fontId="6" fillId="0" borderId="0" xfId="0" applyNumberFormat="1" applyFont="1"/>
    <xf numFmtId="166" fontId="6" fillId="2" borderId="0" xfId="0" applyNumberFormat="1" applyFont="1" applyFill="1" applyAlignment="1">
      <alignment horizontal="right"/>
    </xf>
    <xf numFmtId="1" fontId="6" fillId="2" borderId="0" xfId="0" applyNumberFormat="1" applyFont="1" applyFill="1"/>
    <xf numFmtId="167" fontId="6" fillId="2" borderId="0" xfId="0" applyNumberFormat="1" applyFont="1" applyFill="1"/>
    <xf numFmtId="165" fontId="6" fillId="0" borderId="2" xfId="0" applyNumberFormat="1" applyFont="1" applyBorder="1" applyAlignment="1">
      <alignment horizontal="center"/>
    </xf>
    <xf numFmtId="168" fontId="6" fillId="0" borderId="0" xfId="0" applyNumberFormat="1" applyFont="1" applyFill="1"/>
    <xf numFmtId="0" fontId="6" fillId="0" borderId="0" xfId="0" quotePrefix="1" applyFont="1" applyAlignment="1">
      <alignment horizontal="left"/>
    </xf>
    <xf numFmtId="169" fontId="6" fillId="0" borderId="0" xfId="0" applyNumberFormat="1" applyFont="1" applyFill="1" applyAlignment="1">
      <alignment horizontal="center"/>
    </xf>
    <xf numFmtId="165" fontId="6" fillId="0" borderId="0" xfId="0" applyNumberFormat="1" applyFont="1" applyFill="1"/>
    <xf numFmtId="2" fontId="6" fillId="0" borderId="0" xfId="0" applyNumberFormat="1" applyFont="1" applyAlignment="1">
      <alignment horizontal="center"/>
    </xf>
    <xf numFmtId="9" fontId="6" fillId="0" borderId="0" xfId="1" applyFont="1" applyFill="1"/>
    <xf numFmtId="170" fontId="6" fillId="0" borderId="0" xfId="0" applyNumberFormat="1" applyFont="1" applyFill="1"/>
    <xf numFmtId="0" fontId="6" fillId="0" borderId="0" xfId="0" quotePrefix="1" applyFont="1" applyFill="1"/>
    <xf numFmtId="165" fontId="6" fillId="0" borderId="0" xfId="0" applyNumberFormat="1" applyFont="1" applyBorder="1"/>
    <xf numFmtId="0" fontId="15" fillId="0" borderId="0" xfId="0" applyFont="1"/>
    <xf numFmtId="0" fontId="6" fillId="0" borderId="0" xfId="0" applyNumberFormat="1" applyFont="1" applyFill="1"/>
    <xf numFmtId="10" fontId="6" fillId="0" borderId="0" xfId="0" applyNumberFormat="1" applyFont="1" applyFill="1"/>
    <xf numFmtId="0" fontId="14" fillId="0" borderId="0" xfId="0" applyFont="1" applyFill="1" applyAlignment="1">
      <alignment horizontal="center"/>
    </xf>
    <xf numFmtId="0" fontId="9" fillId="0" borderId="0" xfId="0" applyFont="1" applyFill="1"/>
    <xf numFmtId="0" fontId="6" fillId="0" borderId="0" xfId="0" applyFont="1" applyFill="1" applyAlignment="1">
      <alignment horizontal="left"/>
    </xf>
    <xf numFmtId="4" fontId="6" fillId="0" borderId="0" xfId="0" applyNumberFormat="1" applyFont="1" applyFill="1"/>
    <xf numFmtId="0" fontId="6" fillId="0" borderId="0" xfId="0" applyNumberFormat="1" applyFont="1"/>
    <xf numFmtId="170" fontId="6" fillId="0" borderId="0" xfId="0" applyNumberFormat="1" applyFont="1"/>
    <xf numFmtId="167" fontId="6" fillId="0" borderId="0" xfId="0" applyNumberFormat="1" applyFont="1" applyFill="1"/>
    <xf numFmtId="166" fontId="6" fillId="2" borderId="0" xfId="0" applyNumberFormat="1" applyFont="1" applyFill="1"/>
    <xf numFmtId="4" fontId="6" fillId="2" borderId="0" xfId="0" applyNumberFormat="1" applyFont="1" applyFill="1"/>
    <xf numFmtId="4" fontId="6" fillId="0" borderId="0" xfId="0" applyNumberFormat="1" applyFont="1"/>
    <xf numFmtId="170" fontId="6" fillId="2" borderId="0" xfId="0" applyNumberFormat="1" applyFont="1" applyFill="1"/>
    <xf numFmtId="167" fontId="6" fillId="0" borderId="0" xfId="0" applyNumberFormat="1" applyFont="1"/>
    <xf numFmtId="174" fontId="6" fillId="0" borderId="0" xfId="0" applyNumberFormat="1" applyFont="1" applyFill="1" applyAlignment="1">
      <alignment horizontal="center"/>
    </xf>
    <xf numFmtId="3" fontId="6" fillId="4" borderId="0" xfId="0" applyNumberFormat="1" applyFont="1" applyFill="1"/>
    <xf numFmtId="0" fontId="6" fillId="4" borderId="0" xfId="0" applyFont="1" applyFill="1"/>
    <xf numFmtId="0" fontId="16" fillId="0" borderId="0" xfId="2"/>
    <xf numFmtId="0" fontId="18" fillId="0" borderId="0" xfId="0" applyFont="1" applyAlignment="1">
      <alignment vertical="center"/>
    </xf>
    <xf numFmtId="0" fontId="19" fillId="0" borderId="0" xfId="0" applyFont="1" applyAlignment="1">
      <alignment horizontal="left" vertical="center" indent="4"/>
    </xf>
    <xf numFmtId="0" fontId="22" fillId="0" borderId="0" xfId="0" applyFont="1" applyAlignment="1">
      <alignment vertical="center"/>
    </xf>
    <xf numFmtId="0" fontId="18" fillId="0" borderId="0" xfId="0" applyFont="1" applyAlignment="1">
      <alignment horizontal="left" vertical="center" indent="4"/>
    </xf>
    <xf numFmtId="0" fontId="0" fillId="2" borderId="0" xfId="0" applyFill="1"/>
    <xf numFmtId="164" fontId="0" fillId="0" borderId="0" xfId="0" applyNumberFormat="1"/>
    <xf numFmtId="166" fontId="6" fillId="0" borderId="0" xfId="0" applyNumberFormat="1" applyFont="1" applyFill="1"/>
    <xf numFmtId="173" fontId="6" fillId="0" borderId="0" xfId="0" applyNumberFormat="1" applyFont="1" applyFill="1"/>
    <xf numFmtId="0" fontId="8" fillId="0" borderId="0" xfId="0" applyFont="1" applyAlignment="1">
      <alignment wrapText="1"/>
    </xf>
    <xf numFmtId="0" fontId="6" fillId="0" borderId="0" xfId="0" applyFont="1" applyFill="1" applyAlignment="1">
      <alignment horizontal="right"/>
    </xf>
    <xf numFmtId="175" fontId="6" fillId="0" borderId="0" xfId="0" applyNumberFormat="1" applyFont="1"/>
    <xf numFmtId="1" fontId="6" fillId="0" borderId="0" xfId="0" applyNumberFormat="1" applyFont="1" applyFill="1"/>
    <xf numFmtId="3" fontId="6" fillId="5" borderId="0" xfId="0" applyNumberFormat="1" applyFont="1" applyFill="1"/>
    <xf numFmtId="3" fontId="6" fillId="5" borderId="0" xfId="0" applyNumberFormat="1" applyFont="1" applyFill="1" applyAlignment="1">
      <alignment horizontal="center"/>
    </xf>
    <xf numFmtId="3" fontId="6" fillId="6" borderId="0" xfId="0" applyNumberFormat="1" applyFont="1" applyFill="1"/>
    <xf numFmtId="176" fontId="6" fillId="0" borderId="0" xfId="0" applyNumberFormat="1" applyFont="1"/>
    <xf numFmtId="176" fontId="8" fillId="0" borderId="0" xfId="0" applyNumberFormat="1" applyFont="1"/>
    <xf numFmtId="167" fontId="6" fillId="0" borderId="0" xfId="0" applyNumberFormat="1" applyFont="1" applyAlignment="1">
      <alignment horizontal="center"/>
    </xf>
    <xf numFmtId="167" fontId="6" fillId="0" borderId="0" xfId="0" applyNumberFormat="1" applyFont="1" applyFill="1" applyAlignment="1">
      <alignment horizontal="center"/>
    </xf>
    <xf numFmtId="167" fontId="6" fillId="0" borderId="2" xfId="0" applyNumberFormat="1" applyFont="1" applyFill="1" applyBorder="1" applyAlignment="1">
      <alignment horizontal="center"/>
    </xf>
    <xf numFmtId="167" fontId="6" fillId="5" borderId="0" xfId="0" applyNumberFormat="1" applyFont="1" applyFill="1" applyAlignment="1">
      <alignment horizontal="center"/>
    </xf>
    <xf numFmtId="167" fontId="6" fillId="0" borderId="2" xfId="0" applyNumberFormat="1" applyFont="1" applyBorder="1" applyAlignment="1">
      <alignment horizontal="center"/>
    </xf>
    <xf numFmtId="0" fontId="28" fillId="0" borderId="0" xfId="0" applyFont="1" applyFill="1"/>
    <xf numFmtId="178" fontId="6" fillId="0" borderId="0" xfId="0" applyNumberFormat="1" applyFont="1" applyAlignment="1">
      <alignment horizontal="center"/>
    </xf>
    <xf numFmtId="173" fontId="6" fillId="0" borderId="0" xfId="0" applyNumberFormat="1" applyFont="1" applyAlignment="1">
      <alignment horizontal="center"/>
    </xf>
    <xf numFmtId="166" fontId="6" fillId="0" borderId="0" xfId="0" applyNumberFormat="1" applyFont="1" applyAlignment="1">
      <alignment horizontal="center"/>
    </xf>
    <xf numFmtId="177" fontId="6" fillId="0" borderId="0" xfId="0" applyNumberFormat="1" applyFont="1" applyAlignment="1">
      <alignment horizontal="center"/>
    </xf>
    <xf numFmtId="175" fontId="6" fillId="0" borderId="0" xfId="0" applyNumberFormat="1" applyFont="1" applyFill="1"/>
    <xf numFmtId="176" fontId="6" fillId="0" borderId="0" xfId="0" applyNumberFormat="1" applyFont="1" applyFill="1"/>
    <xf numFmtId="164" fontId="0" fillId="0" borderId="0" xfId="0" applyNumberFormat="1" applyFill="1"/>
    <xf numFmtId="0" fontId="10" fillId="0" borderId="0" xfId="0" applyFont="1" applyFill="1"/>
    <xf numFmtId="0" fontId="28" fillId="0" borderId="0" xfId="0" applyFont="1" applyFill="1" applyAlignment="1">
      <alignment horizontal="center"/>
    </xf>
    <xf numFmtId="0" fontId="29" fillId="0" borderId="0" xfId="0" applyFont="1" applyFill="1" applyAlignment="1">
      <alignment horizontal="center"/>
    </xf>
    <xf numFmtId="0" fontId="6" fillId="0" borderId="5" xfId="0" applyFont="1" applyBorder="1"/>
    <xf numFmtId="176" fontId="6" fillId="2" borderId="0" xfId="0" applyNumberFormat="1" applyFont="1" applyFill="1"/>
    <xf numFmtId="3" fontId="6" fillId="0" borderId="0" xfId="0" applyNumberFormat="1" applyFont="1" applyFill="1" applyAlignment="1">
      <alignment horizontal="right"/>
    </xf>
    <xf numFmtId="178" fontId="6" fillId="0" borderId="0" xfId="0" applyNumberFormat="1" applyFont="1" applyFill="1"/>
    <xf numFmtId="168" fontId="6" fillId="0" borderId="0" xfId="0" applyNumberFormat="1" applyFont="1" applyFill="1" applyAlignment="1">
      <alignment horizontal="center"/>
    </xf>
    <xf numFmtId="179" fontId="6" fillId="0" borderId="0" xfId="0" applyNumberFormat="1" applyFont="1"/>
    <xf numFmtId="179" fontId="6" fillId="0" borderId="0" xfId="0" applyNumberFormat="1" applyFont="1" applyAlignment="1">
      <alignment horizontal="center"/>
    </xf>
    <xf numFmtId="179" fontId="8" fillId="0" borderId="0" xfId="0" applyNumberFormat="1" applyFont="1"/>
    <xf numFmtId="179" fontId="6" fillId="0" borderId="0" xfId="0" applyNumberFormat="1" applyFont="1" applyAlignment="1">
      <alignment horizontal="right"/>
    </xf>
    <xf numFmtId="179" fontId="8" fillId="0" borderId="0" xfId="0" applyNumberFormat="1" applyFont="1" applyAlignment="1">
      <alignment horizontal="right"/>
    </xf>
    <xf numFmtId="0" fontId="30" fillId="0" borderId="6" xfId="0" applyFont="1" applyBorder="1" applyAlignment="1">
      <alignment vertical="center"/>
    </xf>
    <xf numFmtId="0" fontId="31" fillId="0" borderId="4" xfId="0" applyFont="1" applyBorder="1" applyAlignment="1">
      <alignment vertical="center"/>
    </xf>
    <xf numFmtId="0" fontId="31" fillId="0" borderId="7" xfId="0" applyFont="1" applyBorder="1" applyAlignment="1">
      <alignment horizontal="right" vertical="center"/>
    </xf>
    <xf numFmtId="0" fontId="31" fillId="0" borderId="7" xfId="0" applyFont="1" applyBorder="1" applyAlignment="1">
      <alignment horizontal="right" vertical="center" wrapText="1"/>
    </xf>
    <xf numFmtId="0" fontId="32" fillId="0" borderId="4" xfId="0" applyFont="1" applyBorder="1" applyAlignment="1">
      <alignment vertical="center"/>
    </xf>
    <xf numFmtId="10" fontId="32" fillId="0" borderId="8" xfId="0" applyNumberFormat="1" applyFont="1" applyBorder="1" applyAlignment="1">
      <alignment horizontal="right" vertical="center"/>
    </xf>
    <xf numFmtId="10" fontId="32" fillId="0" borderId="8" xfId="0" applyNumberFormat="1" applyFont="1" applyBorder="1" applyAlignment="1">
      <alignment horizontal="right" vertical="center" wrapText="1"/>
    </xf>
    <xf numFmtId="0" fontId="32" fillId="3" borderId="4" xfId="0" applyFont="1" applyFill="1" applyBorder="1" applyAlignment="1">
      <alignment vertical="center"/>
    </xf>
    <xf numFmtId="10" fontId="32" fillId="3" borderId="8" xfId="0" applyNumberFormat="1" applyFont="1" applyFill="1" applyBorder="1" applyAlignment="1">
      <alignment horizontal="right" vertical="center"/>
    </xf>
    <xf numFmtId="10" fontId="32" fillId="3" borderId="8" xfId="0" applyNumberFormat="1" applyFont="1" applyFill="1" applyBorder="1" applyAlignment="1">
      <alignment horizontal="right" vertical="center" wrapText="1"/>
    </xf>
    <xf numFmtId="10" fontId="6" fillId="3" borderId="0" xfId="1" applyNumberFormat="1" applyFont="1" applyFill="1"/>
    <xf numFmtId="165" fontId="6" fillId="3" borderId="0" xfId="0" applyNumberFormat="1" applyFont="1" applyFill="1" applyAlignment="1">
      <alignment horizontal="center"/>
    </xf>
    <xf numFmtId="172" fontId="6" fillId="3" borderId="0" xfId="1" applyNumberFormat="1" applyFont="1" applyFill="1"/>
    <xf numFmtId="180" fontId="6" fillId="0" borderId="0" xfId="0" applyNumberFormat="1" applyFont="1"/>
    <xf numFmtId="180" fontId="6" fillId="0" borderId="0" xfId="0" applyNumberFormat="1" applyFont="1" applyAlignment="1">
      <alignment horizontal="center"/>
    </xf>
    <xf numFmtId="180" fontId="8" fillId="0" borderId="0" xfId="0" applyNumberFormat="1" applyFont="1"/>
    <xf numFmtId="3" fontId="6" fillId="2" borderId="0" xfId="0" applyNumberFormat="1" applyFont="1" applyFill="1" applyAlignment="1">
      <alignment horizontal="center"/>
    </xf>
    <xf numFmtId="164" fontId="8" fillId="0" borderId="0" xfId="0" applyNumberFormat="1" applyFont="1"/>
    <xf numFmtId="0" fontId="10" fillId="0" borderId="0" xfId="0" applyFont="1" applyAlignment="1">
      <alignment horizontal="center"/>
    </xf>
    <xf numFmtId="0" fontId="28" fillId="0" borderId="0" xfId="0" applyFont="1"/>
    <xf numFmtId="176" fontId="28" fillId="2" borderId="0" xfId="0" applyNumberFormat="1" applyFont="1" applyFill="1"/>
    <xf numFmtId="176" fontId="34" fillId="0" borderId="0" xfId="0" applyNumberFormat="1" applyFont="1"/>
    <xf numFmtId="176" fontId="28" fillId="0" borderId="0" xfId="0" applyNumberFormat="1" applyFont="1"/>
    <xf numFmtId="10" fontId="6" fillId="0" borderId="0" xfId="0" applyNumberFormat="1" applyFont="1" applyFill="1" applyAlignment="1">
      <alignment horizontal="center"/>
    </xf>
    <xf numFmtId="0" fontId="16" fillId="0" borderId="0" xfId="2" applyFill="1"/>
    <xf numFmtId="175" fontId="6" fillId="2" borderId="0" xfId="0" applyNumberFormat="1" applyFont="1" applyFill="1"/>
    <xf numFmtId="0" fontId="6" fillId="0" borderId="13" xfId="0" applyFont="1" applyFill="1" applyBorder="1"/>
    <xf numFmtId="177" fontId="6" fillId="0" borderId="0" xfId="0" applyNumberFormat="1" applyFont="1" applyFill="1"/>
    <xf numFmtId="3" fontId="8" fillId="0" borderId="0" xfId="0" applyNumberFormat="1" applyFont="1"/>
    <xf numFmtId="171" fontId="6" fillId="0" borderId="0" xfId="0" applyNumberFormat="1" applyFont="1"/>
    <xf numFmtId="4" fontId="6" fillId="0" borderId="0" xfId="0" applyNumberFormat="1" applyFont="1" applyAlignment="1">
      <alignment horizontal="center"/>
    </xf>
    <xf numFmtId="178" fontId="13" fillId="0" borderId="0" xfId="0" applyNumberFormat="1" applyFont="1" applyFill="1"/>
    <xf numFmtId="0" fontId="35" fillId="0" borderId="0" xfId="2" applyFont="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6" fillId="0" borderId="0" xfId="0" applyFont="1" applyBorder="1"/>
    <xf numFmtId="0" fontId="6" fillId="0" borderId="13" xfId="0" applyFont="1" applyBorder="1"/>
    <xf numFmtId="0" fontId="6" fillId="0" borderId="12" xfId="0" applyFont="1" applyBorder="1" applyAlignment="1">
      <alignment horizontal="right"/>
    </xf>
    <xf numFmtId="175" fontId="6" fillId="2" borderId="13" xfId="0" applyNumberFormat="1" applyFont="1" applyFill="1" applyBorder="1"/>
    <xf numFmtId="0" fontId="6" fillId="0" borderId="14" xfId="0" applyFont="1" applyBorder="1" applyAlignment="1">
      <alignment horizontal="right"/>
    </xf>
    <xf numFmtId="0" fontId="6" fillId="0" borderId="2" xfId="0" applyFont="1" applyBorder="1"/>
    <xf numFmtId="175" fontId="6" fillId="2" borderId="8" xfId="0" applyNumberFormat="1" applyFont="1" applyFill="1" applyBorder="1"/>
    <xf numFmtId="0" fontId="6" fillId="0" borderId="0" xfId="0" applyFont="1" applyAlignment="1">
      <alignment vertical="top" wrapText="1"/>
    </xf>
    <xf numFmtId="0" fontId="6" fillId="0" borderId="17" xfId="0" applyFont="1" applyBorder="1" applyAlignment="1">
      <alignment vertical="top"/>
    </xf>
    <xf numFmtId="0" fontId="6" fillId="0" borderId="17" xfId="0" applyFont="1" applyBorder="1" applyAlignment="1">
      <alignment vertical="top" wrapText="1"/>
    </xf>
    <xf numFmtId="0" fontId="6" fillId="7" borderId="15" xfId="0" applyFont="1" applyFill="1" applyBorder="1" applyAlignment="1">
      <alignment horizontal="left"/>
    </xf>
    <xf numFmtId="0" fontId="6" fillId="7" borderId="16" xfId="0" applyFont="1" applyFill="1" applyBorder="1" applyAlignment="1">
      <alignment horizontal="left"/>
    </xf>
    <xf numFmtId="0" fontId="6" fillId="0" borderId="17" xfId="0" applyFont="1" applyBorder="1" applyAlignment="1">
      <alignment horizontal="left" vertical="top" wrapText="1"/>
    </xf>
    <xf numFmtId="0" fontId="6" fillId="0" borderId="0" xfId="0" applyFont="1" applyAlignment="1">
      <alignment horizontal="left" vertical="top" wrapText="1"/>
    </xf>
    <xf numFmtId="0" fontId="19" fillId="0" borderId="3" xfId="0" applyFont="1" applyBorder="1" applyAlignment="1">
      <alignment horizontal="left" vertical="center" wrapText="1" indent="4"/>
    </xf>
    <xf numFmtId="0" fontId="19" fillId="0" borderId="4" xfId="0" applyFont="1" applyBorder="1" applyAlignment="1">
      <alignment horizontal="left" vertical="center" wrapText="1" indent="4"/>
    </xf>
    <xf numFmtId="0" fontId="24" fillId="0" borderId="3" xfId="0" applyFont="1" applyBorder="1" applyAlignment="1">
      <alignment horizontal="left" vertical="center" wrapText="1" indent="4"/>
    </xf>
    <xf numFmtId="0" fontId="24" fillId="0" borderId="4" xfId="0" applyFont="1" applyBorder="1" applyAlignment="1">
      <alignment horizontal="left" vertical="center" wrapText="1" indent="4"/>
    </xf>
    <xf numFmtId="0" fontId="18" fillId="0" borderId="3"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top" wrapText="1"/>
    </xf>
    <xf numFmtId="0" fontId="18" fillId="0" borderId="4" xfId="0" applyFont="1" applyBorder="1" applyAlignment="1">
      <alignment vertical="top" wrapText="1"/>
    </xf>
    <xf numFmtId="0" fontId="17" fillId="0" borderId="3" xfId="0" applyFont="1" applyBorder="1" applyAlignment="1">
      <alignment vertical="top" wrapText="1"/>
    </xf>
    <xf numFmtId="0" fontId="17" fillId="0" borderId="4" xfId="0" applyFont="1" applyBorder="1" applyAlignment="1">
      <alignmen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'1_Case study 1 - Car'!$A$477</c:f>
              <c:strCache>
                <c:ptCount val="1"/>
                <c:pt idx="0">
                  <c:v>Re_emb</c:v>
                </c:pt>
              </c:strCache>
            </c:strRef>
          </c:tx>
          <c:spPr>
            <a:solidFill>
              <a:schemeClr val="accent1"/>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Car'!$B$477:$G$477</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7382-42A7-9FB9-916CD0759AF5}"/>
            </c:ext>
          </c:extLst>
        </c:ser>
        <c:ser>
          <c:idx val="1"/>
          <c:order val="1"/>
          <c:tx>
            <c:strRef>
              <c:f>'1_Case study 1 - Car'!$A$478</c:f>
              <c:strCache>
                <c:ptCount val="1"/>
                <c:pt idx="0">
                  <c:v>Re_md</c:v>
                </c:pt>
              </c:strCache>
            </c:strRef>
          </c:tx>
          <c:spPr>
            <a:solidFill>
              <a:schemeClr val="accent2"/>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Car'!$B$478:$G$478</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7382-42A7-9FB9-916CD0759AF5}"/>
            </c:ext>
          </c:extLst>
        </c:ser>
        <c:ser>
          <c:idx val="2"/>
          <c:order val="2"/>
          <c:tx>
            <c:strRef>
              <c:f>'1_Case study 1 - Car'!$A$479</c:f>
              <c:strCache>
                <c:ptCount val="1"/>
                <c:pt idx="0">
                  <c:v>Re_dsub</c:v>
                </c:pt>
              </c:strCache>
            </c:strRef>
          </c:tx>
          <c:spPr>
            <a:solidFill>
              <a:schemeClr val="accent3"/>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Car'!$B$479:$G$479</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7382-42A7-9FB9-916CD0759AF5}"/>
            </c:ext>
          </c:extLst>
        </c:ser>
        <c:ser>
          <c:idx val="3"/>
          <c:order val="3"/>
          <c:tx>
            <c:strRef>
              <c:f>'1_Case study 1 - Car'!$A$480</c:f>
              <c:strCache>
                <c:ptCount val="1"/>
                <c:pt idx="0">
                  <c:v>Re_isub</c:v>
                </c:pt>
              </c:strCache>
            </c:strRef>
          </c:tx>
          <c:spPr>
            <a:solidFill>
              <a:schemeClr val="accent4"/>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Car'!$B$480:$G$480</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7382-42A7-9FB9-916CD0759AF5}"/>
            </c:ext>
          </c:extLst>
        </c:ser>
        <c:ser>
          <c:idx val="4"/>
          <c:order val="4"/>
          <c:tx>
            <c:strRef>
              <c:f>'1_Case study 1 - Car'!$A$481</c:f>
              <c:strCache>
                <c:ptCount val="1"/>
                <c:pt idx="0">
                  <c:v>Re_dinc</c:v>
                </c:pt>
              </c:strCache>
            </c:strRef>
          </c:tx>
          <c:spPr>
            <a:solidFill>
              <a:schemeClr val="accent5"/>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Car'!$B$481:$G$481</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7382-42A7-9FB9-916CD0759AF5}"/>
            </c:ext>
          </c:extLst>
        </c:ser>
        <c:ser>
          <c:idx val="5"/>
          <c:order val="5"/>
          <c:tx>
            <c:strRef>
              <c:f>'1_Case study 1 - Car'!$A$482</c:f>
              <c:strCache>
                <c:ptCount val="1"/>
                <c:pt idx="0">
                  <c:v>Re_iinc</c:v>
                </c:pt>
              </c:strCache>
            </c:strRef>
          </c:tx>
          <c:spPr>
            <a:solidFill>
              <a:schemeClr val="accent6"/>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Car'!$B$482:$G$482</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7382-42A7-9FB9-916CD0759AF5}"/>
            </c:ext>
          </c:extLst>
        </c:ser>
        <c:ser>
          <c:idx val="6"/>
          <c:order val="6"/>
          <c:tx>
            <c:strRef>
              <c:f>'1_Case study 1 - Car'!$A$483</c:f>
              <c:strCache>
                <c:ptCount val="1"/>
                <c:pt idx="0">
                  <c:v>Re_prod</c:v>
                </c:pt>
              </c:strCache>
            </c:strRef>
          </c:tx>
          <c:spPr>
            <a:solidFill>
              <a:schemeClr val="accent1">
                <a:lumMod val="60000"/>
              </a:schemeClr>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Car'!$B$483:$G$483</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7382-42A7-9FB9-916CD0759AF5}"/>
            </c:ext>
          </c:extLst>
        </c:ser>
        <c:dLbls>
          <c:showLegendKey val="0"/>
          <c:showVal val="0"/>
          <c:showCatName val="0"/>
          <c:showSerName val="0"/>
          <c:showPercent val="0"/>
          <c:showBubbleSize val="0"/>
        </c:dLbls>
        <c:gapWidth val="219"/>
        <c:overlap val="100"/>
        <c:axId val="669762584"/>
        <c:axId val="669762256"/>
      </c:barChart>
      <c:catAx>
        <c:axId val="66976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256"/>
        <c:crosses val="autoZero"/>
        <c:auto val="1"/>
        <c:lblAlgn val="ctr"/>
        <c:lblOffset val="100"/>
        <c:noMultiLvlLbl val="0"/>
      </c:catAx>
      <c:valAx>
        <c:axId val="6697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9" Type="http://schemas.openxmlformats.org/officeDocument/2006/relationships/image" Target="../media/image38.tmp"/><Relationship Id="rId21" Type="http://schemas.openxmlformats.org/officeDocument/2006/relationships/image" Target="../media/image20.png"/><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png"/><Relationship Id="rId50" Type="http://schemas.openxmlformats.org/officeDocument/2006/relationships/image" Target="../media/image49.png"/><Relationship Id="rId55" Type="http://schemas.openxmlformats.org/officeDocument/2006/relationships/image" Target="../media/image54.png"/><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6.png"/><Relationship Id="rId25" Type="http://schemas.openxmlformats.org/officeDocument/2006/relationships/image" Target="../media/image24.png"/><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png"/><Relationship Id="rId59" Type="http://schemas.openxmlformats.org/officeDocument/2006/relationships/image" Target="../media/image58.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41" Type="http://schemas.openxmlformats.org/officeDocument/2006/relationships/image" Target="../media/image40.tmp"/><Relationship Id="rId54" Type="http://schemas.openxmlformats.org/officeDocument/2006/relationships/image" Target="../media/image53.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3" Type="http://schemas.openxmlformats.org/officeDocument/2006/relationships/image" Target="../media/image52.png"/><Relationship Id="rId58" Type="http://schemas.openxmlformats.org/officeDocument/2006/relationships/image" Target="../media/image57.pn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36" Type="http://schemas.openxmlformats.org/officeDocument/2006/relationships/image" Target="../media/image35.tmp"/><Relationship Id="rId49" Type="http://schemas.openxmlformats.org/officeDocument/2006/relationships/image" Target="../media/image48.png"/><Relationship Id="rId57" Type="http://schemas.openxmlformats.org/officeDocument/2006/relationships/image" Target="../media/image56.png"/><Relationship Id="rId10" Type="http://schemas.openxmlformats.org/officeDocument/2006/relationships/image" Target="../media/image10.png"/><Relationship Id="rId19" Type="http://schemas.openxmlformats.org/officeDocument/2006/relationships/image" Target="../media/image18.png"/><Relationship Id="rId31" Type="http://schemas.openxmlformats.org/officeDocument/2006/relationships/image" Target="../media/image30.tmp"/><Relationship Id="rId44" Type="http://schemas.openxmlformats.org/officeDocument/2006/relationships/image" Target="../media/image43.tmp"/><Relationship Id="rId52"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 Id="rId35" Type="http://schemas.openxmlformats.org/officeDocument/2006/relationships/image" Target="../media/image34.tmp"/><Relationship Id="rId43" Type="http://schemas.openxmlformats.org/officeDocument/2006/relationships/image" Target="../media/image42.tmp"/><Relationship Id="rId48" Type="http://schemas.openxmlformats.org/officeDocument/2006/relationships/image" Target="../media/image47.png"/><Relationship Id="rId56" Type="http://schemas.openxmlformats.org/officeDocument/2006/relationships/image" Target="../media/image55.png"/><Relationship Id="rId8" Type="http://schemas.openxmlformats.org/officeDocument/2006/relationships/image" Target="../media/image8.png"/><Relationship Id="rId51" Type="http://schemas.openxmlformats.org/officeDocument/2006/relationships/image" Target="../media/image50.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6.png"/><Relationship Id="rId18" Type="http://schemas.openxmlformats.org/officeDocument/2006/relationships/image" Target="../media/image25.png"/><Relationship Id="rId26" Type="http://schemas.openxmlformats.org/officeDocument/2006/relationships/image" Target="../media/image21.png"/><Relationship Id="rId39" Type="http://schemas.openxmlformats.org/officeDocument/2006/relationships/image" Target="../media/image46.png"/><Relationship Id="rId3" Type="http://schemas.openxmlformats.org/officeDocument/2006/relationships/image" Target="../media/image3.png"/><Relationship Id="rId21" Type="http://schemas.openxmlformats.org/officeDocument/2006/relationships/image" Target="../media/image28.png"/><Relationship Id="rId34" Type="http://schemas.openxmlformats.org/officeDocument/2006/relationships/image" Target="../media/image68.png"/><Relationship Id="rId42" Type="http://schemas.openxmlformats.org/officeDocument/2006/relationships/image" Target="../media/image49.png"/><Relationship Id="rId47" Type="http://schemas.openxmlformats.org/officeDocument/2006/relationships/image" Target="../media/image58.png"/><Relationship Id="rId7" Type="http://schemas.openxmlformats.org/officeDocument/2006/relationships/image" Target="../media/image61.tmp"/><Relationship Id="rId12" Type="http://schemas.openxmlformats.org/officeDocument/2006/relationships/image" Target="../media/image11.png"/><Relationship Id="rId17" Type="http://schemas.openxmlformats.org/officeDocument/2006/relationships/image" Target="../media/image24.png"/><Relationship Id="rId25" Type="http://schemas.openxmlformats.org/officeDocument/2006/relationships/image" Target="../media/image20.png"/><Relationship Id="rId33" Type="http://schemas.openxmlformats.org/officeDocument/2006/relationships/image" Target="../media/image67.png"/><Relationship Id="rId38" Type="http://schemas.openxmlformats.org/officeDocument/2006/relationships/image" Target="../media/image45.png"/><Relationship Id="rId46" Type="http://schemas.openxmlformats.org/officeDocument/2006/relationships/image" Target="../media/image57.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7.png"/><Relationship Id="rId29" Type="http://schemas.openxmlformats.org/officeDocument/2006/relationships/image" Target="../media/image12.png"/><Relationship Id="rId41" Type="http://schemas.openxmlformats.org/officeDocument/2006/relationships/image" Target="../media/image48.png"/><Relationship Id="rId1" Type="http://schemas.openxmlformats.org/officeDocument/2006/relationships/image" Target="../media/image1.png"/><Relationship Id="rId6" Type="http://schemas.openxmlformats.org/officeDocument/2006/relationships/image" Target="../media/image60.png"/><Relationship Id="rId11" Type="http://schemas.openxmlformats.org/officeDocument/2006/relationships/image" Target="../media/image65.png"/><Relationship Id="rId24" Type="http://schemas.openxmlformats.org/officeDocument/2006/relationships/image" Target="../media/image19.png"/><Relationship Id="rId32" Type="http://schemas.openxmlformats.org/officeDocument/2006/relationships/image" Target="../media/image14.png"/><Relationship Id="rId37" Type="http://schemas.openxmlformats.org/officeDocument/2006/relationships/image" Target="../media/image42.tmp"/><Relationship Id="rId40" Type="http://schemas.openxmlformats.org/officeDocument/2006/relationships/image" Target="../media/image47.png"/><Relationship Id="rId45" Type="http://schemas.openxmlformats.org/officeDocument/2006/relationships/image" Target="../media/image56.png"/><Relationship Id="rId5" Type="http://schemas.openxmlformats.org/officeDocument/2006/relationships/image" Target="../media/image59.png"/><Relationship Id="rId15" Type="http://schemas.openxmlformats.org/officeDocument/2006/relationships/image" Target="../media/image16.png"/><Relationship Id="rId23" Type="http://schemas.openxmlformats.org/officeDocument/2006/relationships/image" Target="../media/image18.png"/><Relationship Id="rId28" Type="http://schemas.openxmlformats.org/officeDocument/2006/relationships/image" Target="../media/image10.png"/><Relationship Id="rId36" Type="http://schemas.openxmlformats.org/officeDocument/2006/relationships/image" Target="../media/image41.tmp"/><Relationship Id="rId49" Type="http://schemas.openxmlformats.org/officeDocument/2006/relationships/image" Target="../media/image55.png"/><Relationship Id="rId10" Type="http://schemas.openxmlformats.org/officeDocument/2006/relationships/image" Target="../media/image64.tmp"/><Relationship Id="rId19" Type="http://schemas.openxmlformats.org/officeDocument/2006/relationships/image" Target="../media/image26.png"/><Relationship Id="rId31" Type="http://schemas.openxmlformats.org/officeDocument/2006/relationships/image" Target="../media/image13.png"/><Relationship Id="rId44"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63.tmp"/><Relationship Id="rId14" Type="http://schemas.openxmlformats.org/officeDocument/2006/relationships/image" Target="../media/image15.png"/><Relationship Id="rId22" Type="http://schemas.openxmlformats.org/officeDocument/2006/relationships/image" Target="../media/image29.png"/><Relationship Id="rId27" Type="http://schemas.openxmlformats.org/officeDocument/2006/relationships/image" Target="../media/image22.png"/><Relationship Id="rId30" Type="http://schemas.openxmlformats.org/officeDocument/2006/relationships/image" Target="../media/image23.png"/><Relationship Id="rId35" Type="http://schemas.openxmlformats.org/officeDocument/2006/relationships/image" Target="../media/image43.tmp"/><Relationship Id="rId43" Type="http://schemas.openxmlformats.org/officeDocument/2006/relationships/image" Target="../media/image50.png"/><Relationship Id="rId48" Type="http://schemas.openxmlformats.org/officeDocument/2006/relationships/image" Target="../media/image54.png"/><Relationship Id="rId8" Type="http://schemas.openxmlformats.org/officeDocument/2006/relationships/image" Target="../media/image62.tmp"/></Relationships>
</file>

<file path=xl/drawings/_rels/drawing3.xml.rels><?xml version="1.0" encoding="UTF-8" standalone="yes"?>
<Relationships xmlns="http://schemas.openxmlformats.org/package/2006/relationships"><Relationship Id="rId8" Type="http://schemas.openxmlformats.org/officeDocument/2006/relationships/image" Target="cid:image004.png@01D67F92.5B479920" TargetMode="External"/><Relationship Id="rId3" Type="http://schemas.openxmlformats.org/officeDocument/2006/relationships/image" Target="../media/image70.png"/><Relationship Id="rId7" Type="http://schemas.openxmlformats.org/officeDocument/2006/relationships/image" Target="../media/image72.png"/><Relationship Id="rId12" Type="http://schemas.openxmlformats.org/officeDocument/2006/relationships/image" Target="cid:image009.jpg@01D67F99.B1802EE0" TargetMode="External"/><Relationship Id="rId2" Type="http://schemas.openxmlformats.org/officeDocument/2006/relationships/image" Target="cid:image002.png@01D67F99.B1802EE0" TargetMode="External"/><Relationship Id="rId1" Type="http://schemas.openxmlformats.org/officeDocument/2006/relationships/image" Target="../media/image69.png"/><Relationship Id="rId6" Type="http://schemas.openxmlformats.org/officeDocument/2006/relationships/image" Target="cid:image007.png@01D67F93.9A509260" TargetMode="External"/><Relationship Id="rId11" Type="http://schemas.openxmlformats.org/officeDocument/2006/relationships/image" Target="../media/image74.jpeg"/><Relationship Id="rId5" Type="http://schemas.openxmlformats.org/officeDocument/2006/relationships/image" Target="../media/image71.png"/><Relationship Id="rId10" Type="http://schemas.openxmlformats.org/officeDocument/2006/relationships/image" Target="cid:image005.png@01D67F92.A6EBEAC0" TargetMode="External"/><Relationship Id="rId4" Type="http://schemas.openxmlformats.org/officeDocument/2006/relationships/image" Target="cid:image006.png@01D67F92.F33A3800" TargetMode="External"/><Relationship Id="rId9" Type="http://schemas.openxmlformats.org/officeDocument/2006/relationships/image" Target="../media/image73.png"/></Relationships>
</file>

<file path=xl/drawings/drawing1.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6"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515600" y="285242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455179</xdr:colOff>
      <xdr:row>169</xdr:row>
      <xdr:rowOff>0</xdr:rowOff>
    </xdr:from>
    <xdr:ext cx="260584"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0833100" y="3197542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291</xdr:row>
      <xdr:rowOff>31750</xdr:rowOff>
    </xdr:from>
    <xdr:ext cx="1117600" cy="218989"/>
    <xdr:pic>
      <xdr:nvPicPr>
        <xdr:cNvPr id="30" name="Picture 29">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
        <a:stretch>
          <a:fillRect/>
        </a:stretch>
      </xdr:blipFill>
      <xdr:spPr>
        <a:xfrm>
          <a:off x="4041775" y="58934350"/>
          <a:ext cx="1117600" cy="218989"/>
        </a:xfrm>
        <a:prstGeom prst="rect">
          <a:avLst/>
        </a:prstGeom>
      </xdr:spPr>
    </xdr:pic>
    <xdr:clientData/>
  </xdr:oneCellAnchor>
  <xdr:oneCellAnchor>
    <xdr:from>
      <xdr:col>3</xdr:col>
      <xdr:colOff>631825</xdr:colOff>
      <xdr:row>291</xdr:row>
      <xdr:rowOff>24680</xdr:rowOff>
    </xdr:from>
    <xdr:ext cx="1066800" cy="213360"/>
    <xdr:pic>
      <xdr:nvPicPr>
        <xdr:cNvPr id="31" name="Picture 30">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stretch>
          <a:fillRect/>
        </a:stretch>
      </xdr:blipFill>
      <xdr:spPr>
        <a:xfrm>
          <a:off x="6642100" y="58927280"/>
          <a:ext cx="1066800" cy="213360"/>
        </a:xfrm>
        <a:prstGeom prst="rect">
          <a:avLst/>
        </a:prstGeom>
      </xdr:spPr>
    </xdr:pic>
    <xdr:clientData/>
  </xdr:oneCellAnchor>
  <xdr:oneCellAnchor>
    <xdr:from>
      <xdr:col>5</xdr:col>
      <xdr:colOff>854075</xdr:colOff>
      <xdr:row>291</xdr:row>
      <xdr:rowOff>31665</xdr:rowOff>
    </xdr:from>
    <xdr:ext cx="838200" cy="213504"/>
    <xdr:pic>
      <xdr:nvPicPr>
        <xdr:cNvPr id="32" name="Picture 31">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
        <a:stretch>
          <a:fillRect/>
        </a:stretch>
      </xdr:blipFill>
      <xdr:spPr>
        <a:xfrm>
          <a:off x="9759950" y="58934265"/>
          <a:ext cx="838200" cy="213504"/>
        </a:xfrm>
        <a:prstGeom prst="rect">
          <a:avLst/>
        </a:prstGeom>
      </xdr:spPr>
    </xdr:pic>
    <xdr:clientData/>
  </xdr:oneCellAnchor>
  <xdr:oneCellAnchor>
    <xdr:from>
      <xdr:col>7</xdr:col>
      <xdr:colOff>666750</xdr:colOff>
      <xdr:row>291</xdr:row>
      <xdr:rowOff>34840</xdr:rowOff>
    </xdr:from>
    <xdr:ext cx="1102632" cy="215900"/>
    <xdr:pic>
      <xdr:nvPicPr>
        <xdr:cNvPr id="33" name="Picture 32">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
        <a:stretch>
          <a:fillRect/>
        </a:stretch>
      </xdr:blipFill>
      <xdr:spPr>
        <a:xfrm>
          <a:off x="12430125" y="58937440"/>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54</xdr:row>
      <xdr:rowOff>6062</xdr:rowOff>
    </xdr:from>
    <xdr:ext cx="181716"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4814454" y="212182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107</xdr:row>
      <xdr:rowOff>8659</xdr:rowOff>
    </xdr:from>
    <xdr:ext cx="1262782" cy="167354"/>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8659</xdr:rowOff>
    </xdr:from>
    <xdr:ext cx="1234890" cy="168829"/>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330877" cy="167354"/>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4814454" y="232184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16</xdr:col>
      <xdr:colOff>0</xdr:colOff>
      <xdr:row>0</xdr:row>
      <xdr:rowOff>165100</xdr:rowOff>
    </xdr:from>
    <xdr:to>
      <xdr:col>19</xdr:col>
      <xdr:colOff>342900</xdr:colOff>
      <xdr:row>2</xdr:row>
      <xdr:rowOff>75274</xdr:rowOff>
    </xdr:to>
    <xdr:pic>
      <xdr:nvPicPr>
        <xdr:cNvPr id="105" name="Picture 104">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5"/>
        <a:stretch>
          <a:fillRect/>
        </a:stretch>
      </xdr:blipFill>
      <xdr:spPr>
        <a:xfrm>
          <a:off x="35017075" y="165100"/>
          <a:ext cx="2857500" cy="310224"/>
        </a:xfrm>
        <a:prstGeom prst="rect">
          <a:avLst/>
        </a:prstGeom>
      </xdr:spPr>
    </xdr:pic>
    <xdr:clientData/>
  </xdr:twoCellAnchor>
  <xdr:twoCellAnchor editAs="oneCell">
    <xdr:from>
      <xdr:col>16</xdr:col>
      <xdr:colOff>0</xdr:colOff>
      <xdr:row>3</xdr:row>
      <xdr:rowOff>0</xdr:rowOff>
    </xdr:from>
    <xdr:to>
      <xdr:col>19</xdr:col>
      <xdr:colOff>368300</xdr:colOff>
      <xdr:row>4</xdr:row>
      <xdr:rowOff>125007</xdr:rowOff>
    </xdr:to>
    <xdr:pic>
      <xdr:nvPicPr>
        <xdr:cNvPr id="106" name="Picture 105">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6"/>
        <a:stretch>
          <a:fillRect/>
        </a:stretch>
      </xdr:blipFill>
      <xdr:spPr>
        <a:xfrm>
          <a:off x="35029775" y="600075"/>
          <a:ext cx="2882900" cy="325032"/>
        </a:xfrm>
        <a:prstGeom prst="rect">
          <a:avLst/>
        </a:prstGeom>
      </xdr:spPr>
    </xdr:pic>
    <xdr:clientData/>
  </xdr:twoCellAnchor>
  <xdr:twoCellAnchor editAs="oneCell">
    <xdr:from>
      <xdr:col>16</xdr:col>
      <xdr:colOff>0</xdr:colOff>
      <xdr:row>5</xdr:row>
      <xdr:rowOff>25400</xdr:rowOff>
    </xdr:from>
    <xdr:to>
      <xdr:col>19</xdr:col>
      <xdr:colOff>368300</xdr:colOff>
      <xdr:row>7</xdr:row>
      <xdr:rowOff>16922</xdr:rowOff>
    </xdr:to>
    <xdr:pic>
      <xdr:nvPicPr>
        <xdr:cNvPr id="107" name="Picture 106">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7"/>
        <a:stretch>
          <a:fillRect/>
        </a:stretch>
      </xdr:blipFill>
      <xdr:spPr>
        <a:xfrm>
          <a:off x="34978975" y="1025525"/>
          <a:ext cx="2882900" cy="391572"/>
        </a:xfrm>
        <a:prstGeom prst="rect">
          <a:avLst/>
        </a:prstGeom>
      </xdr:spPr>
    </xdr:pic>
    <xdr:clientData/>
  </xdr:twoCellAnchor>
  <xdr:twoCellAnchor editAs="oneCell">
    <xdr:from>
      <xdr:col>16</xdr:col>
      <xdr:colOff>0</xdr:colOff>
      <xdr:row>7</xdr:row>
      <xdr:rowOff>88900</xdr:rowOff>
    </xdr:from>
    <xdr:to>
      <xdr:col>19</xdr:col>
      <xdr:colOff>434622</xdr:colOff>
      <xdr:row>10</xdr:row>
      <xdr:rowOff>177800</xdr:rowOff>
    </xdr:to>
    <xdr:pic>
      <xdr:nvPicPr>
        <xdr:cNvPr id="108" name="Picture 107">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8"/>
        <a:stretch>
          <a:fillRect/>
        </a:stretch>
      </xdr:blipFill>
      <xdr:spPr>
        <a:xfrm>
          <a:off x="34966275" y="1489075"/>
          <a:ext cx="2949222" cy="688975"/>
        </a:xfrm>
        <a:prstGeom prst="rect">
          <a:avLst/>
        </a:prstGeom>
      </xdr:spPr>
    </xdr:pic>
    <xdr:clientData/>
  </xdr:twoCellAnchor>
  <xdr:twoCellAnchor editAs="oneCell">
    <xdr:from>
      <xdr:col>16</xdr:col>
      <xdr:colOff>0</xdr:colOff>
      <xdr:row>11</xdr:row>
      <xdr:rowOff>12700</xdr:rowOff>
    </xdr:from>
    <xdr:to>
      <xdr:col>17</xdr:col>
      <xdr:colOff>300737</xdr:colOff>
      <xdr:row>12</xdr:row>
      <xdr:rowOff>50800</xdr:rowOff>
    </xdr:to>
    <xdr:pic>
      <xdr:nvPicPr>
        <xdr:cNvPr id="109" name="Picture 108">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9"/>
        <a:stretch>
          <a:fillRect/>
        </a:stretch>
      </xdr:blipFill>
      <xdr:spPr>
        <a:xfrm>
          <a:off x="34966275" y="2212975"/>
          <a:ext cx="1138937" cy="238125"/>
        </a:xfrm>
        <a:prstGeom prst="rect">
          <a:avLst/>
        </a:prstGeom>
      </xdr:spPr>
    </xdr:pic>
    <xdr:clientData/>
  </xdr:twoCellAnchor>
  <xdr:twoCellAnchor editAs="oneCell">
    <xdr:from>
      <xdr:col>0</xdr:col>
      <xdr:colOff>77932</xdr:colOff>
      <xdr:row>174</xdr:row>
      <xdr:rowOff>69273</xdr:rowOff>
    </xdr:from>
    <xdr:to>
      <xdr:col>0</xdr:col>
      <xdr:colOff>3908137</xdr:colOff>
      <xdr:row>176</xdr:row>
      <xdr:rowOff>84013</xdr:rowOff>
    </xdr:to>
    <xdr:pic>
      <xdr:nvPicPr>
        <xdr:cNvPr id="112" name="Picture 111">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0"/>
        <a:stretch>
          <a:fillRect/>
        </a:stretch>
      </xdr:blipFill>
      <xdr:spPr>
        <a:xfrm>
          <a:off x="77932" y="35349873"/>
          <a:ext cx="3833380" cy="414791"/>
        </a:xfrm>
        <a:prstGeom prst="rect">
          <a:avLst/>
        </a:prstGeom>
        <a:solidFill>
          <a:srgbClr val="7030A0"/>
        </a:solidFill>
        <a:ln>
          <a:solidFill>
            <a:srgbClr val="7030A0"/>
          </a:solidFill>
        </a:ln>
      </xdr:spPr>
    </xdr:pic>
    <xdr:clientData/>
  </xdr:twoCellAnchor>
  <xdr:oneCellAnchor>
    <xdr:from>
      <xdr:col>2</xdr:col>
      <xdr:colOff>421349</xdr:colOff>
      <xdr:row>36</xdr:row>
      <xdr:rowOff>4629</xdr:rowOff>
    </xdr:from>
    <xdr:ext cx="327397" cy="195438"/>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 )</a:t>
              </a:r>
              <a:endParaRPr lang="en-GB" sz="1100"/>
            </a:p>
          </xdr:txBody>
        </xdr:sp>
      </mc:Fallback>
    </mc:AlternateContent>
    <xdr:clientData/>
  </xdr:oneCellAnchor>
  <xdr:oneCellAnchor>
    <xdr:from>
      <xdr:col>2</xdr:col>
      <xdr:colOff>421349</xdr:colOff>
      <xdr:row>35</xdr:row>
      <xdr:rowOff>4629</xdr:rowOff>
    </xdr:from>
    <xdr:ext cx="327397" cy="19543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461858" cy="19543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𝑈𝐶</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𝑝_(𝑠,𝑈𝐶) )</a:t>
              </a:r>
              <a:endParaRPr lang="en-GB" sz="1100"/>
            </a:p>
          </xdr:txBody>
        </xdr:sp>
      </mc:Fallback>
    </mc:AlternateContent>
    <xdr:clientData/>
  </xdr:oneCellAnchor>
  <xdr:oneCellAnchor>
    <xdr:from>
      <xdr:col>2</xdr:col>
      <xdr:colOff>421349</xdr:colOff>
      <xdr:row>33</xdr:row>
      <xdr:rowOff>4629</xdr:rowOff>
    </xdr:from>
    <xdr:ext cx="296428" cy="241669"/>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147</xdr:row>
      <xdr:rowOff>15586</xdr:rowOff>
    </xdr:from>
    <xdr:ext cx="170175" cy="181140"/>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164</xdr:row>
      <xdr:rowOff>6061</xdr:rowOff>
    </xdr:from>
    <xdr:ext cx="254237" cy="182229"/>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410307</xdr:colOff>
      <xdr:row>150</xdr:row>
      <xdr:rowOff>92808</xdr:rowOff>
    </xdr:to>
    <xdr:pic>
      <xdr:nvPicPr>
        <xdr:cNvPr id="123" name="Picture 122">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11"/>
        <a:stretch>
          <a:fillRect/>
        </a:stretch>
      </xdr:blipFill>
      <xdr:spPr>
        <a:xfrm>
          <a:off x="13343792" y="30109991"/>
          <a:ext cx="3173290" cy="434243"/>
        </a:xfrm>
        <a:prstGeom prst="rect">
          <a:avLst/>
        </a:prstGeom>
      </xdr:spPr>
    </xdr:pic>
    <xdr:clientData/>
  </xdr:twoCellAnchor>
  <xdr:twoCellAnchor>
    <xdr:from>
      <xdr:col>2</xdr:col>
      <xdr:colOff>894290</xdr:colOff>
      <xdr:row>484</xdr:row>
      <xdr:rowOff>178858</xdr:rowOff>
    </xdr:from>
    <xdr:to>
      <xdr:col>7</xdr:col>
      <xdr:colOff>21166</xdr:colOff>
      <xdr:row>502</xdr:row>
      <xdr:rowOff>31750</xdr:rowOff>
    </xdr:to>
    <xdr:graphicFrame macro="">
      <xdr:nvGraphicFramePr>
        <xdr:cNvPr id="135" name="Chart 134">
          <a:extLst>
            <a:ext uri="{FF2B5EF4-FFF2-40B4-BE49-F238E27FC236}">
              <a16:creationId xmlns:a16="http://schemas.microsoft.com/office/drawing/2014/main" id="{00000000-0008-0000-0000-00009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71004</xdr:colOff>
      <xdr:row>170</xdr:row>
      <xdr:rowOff>196561</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4814454" y="3466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39425" cy="182229"/>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0</xdr:col>
      <xdr:colOff>47625</xdr:colOff>
      <xdr:row>181</xdr:row>
      <xdr:rowOff>174627</xdr:rowOff>
    </xdr:from>
    <xdr:to>
      <xdr:col>0</xdr:col>
      <xdr:colOff>3921125</xdr:colOff>
      <xdr:row>185</xdr:row>
      <xdr:rowOff>2411</xdr:rowOff>
    </xdr:to>
    <xdr:pic>
      <xdr:nvPicPr>
        <xdr:cNvPr id="154" name="Picture 153">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13"/>
        <a:stretch>
          <a:fillRect/>
        </a:stretch>
      </xdr:blipFill>
      <xdr:spPr>
        <a:xfrm>
          <a:off x="47625" y="36874452"/>
          <a:ext cx="3876675" cy="627883"/>
        </a:xfrm>
        <a:prstGeom prst="rect">
          <a:avLst/>
        </a:prstGeom>
        <a:ln>
          <a:solidFill>
            <a:srgbClr val="7030A0"/>
          </a:solidFill>
        </a:ln>
      </xdr:spPr>
    </xdr:pic>
    <xdr:clientData/>
  </xdr:twoCellAnchor>
  <xdr:twoCellAnchor editAs="oneCell">
    <xdr:from>
      <xdr:col>0</xdr:col>
      <xdr:colOff>215759</xdr:colOff>
      <xdr:row>194</xdr:row>
      <xdr:rowOff>141866</xdr:rowOff>
    </xdr:from>
    <xdr:to>
      <xdr:col>0</xdr:col>
      <xdr:colOff>3200401</xdr:colOff>
      <xdr:row>197</xdr:row>
      <xdr:rowOff>59317</xdr:rowOff>
    </xdr:to>
    <xdr:pic>
      <xdr:nvPicPr>
        <xdr:cNvPr id="155" name="Picture 154">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14"/>
        <a:stretch>
          <a:fillRect/>
        </a:stretch>
      </xdr:blipFill>
      <xdr:spPr>
        <a:xfrm>
          <a:off x="215759" y="39461066"/>
          <a:ext cx="2984642" cy="555625"/>
        </a:xfrm>
        <a:prstGeom prst="rect">
          <a:avLst/>
        </a:prstGeom>
        <a:ln>
          <a:solidFill>
            <a:srgbClr val="7030A0"/>
          </a:solidFill>
        </a:ln>
      </xdr:spPr>
    </xdr:pic>
    <xdr:clientData/>
  </xdr:twoCellAnchor>
  <xdr:twoCellAnchor editAs="oneCell">
    <xdr:from>
      <xdr:col>0</xdr:col>
      <xdr:colOff>76200</xdr:colOff>
      <xdr:row>203</xdr:row>
      <xdr:rowOff>0</xdr:rowOff>
    </xdr:from>
    <xdr:to>
      <xdr:col>0</xdr:col>
      <xdr:colOff>3932382</xdr:colOff>
      <xdr:row>205</xdr:row>
      <xdr:rowOff>158374</xdr:rowOff>
    </xdr:to>
    <xdr:pic>
      <xdr:nvPicPr>
        <xdr:cNvPr id="156" name="Picture 155">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15"/>
        <a:stretch>
          <a:fillRect/>
        </a:stretch>
      </xdr:blipFill>
      <xdr:spPr>
        <a:xfrm>
          <a:off x="76200" y="41157525"/>
          <a:ext cx="3859357" cy="596524"/>
        </a:xfrm>
        <a:prstGeom prst="rect">
          <a:avLst/>
        </a:prstGeom>
        <a:ln>
          <a:solidFill>
            <a:srgbClr val="7030A0"/>
          </a:solidFill>
        </a:ln>
      </xdr:spPr>
    </xdr:pic>
    <xdr:clientData/>
  </xdr:twoCellAnchor>
  <xdr:twoCellAnchor editAs="oneCell">
    <xdr:from>
      <xdr:col>6</xdr:col>
      <xdr:colOff>382778</xdr:colOff>
      <xdr:row>87</xdr:row>
      <xdr:rowOff>29811</xdr:rowOff>
    </xdr:from>
    <xdr:to>
      <xdr:col>9</xdr:col>
      <xdr:colOff>821286</xdr:colOff>
      <xdr:row>90</xdr:row>
      <xdr:rowOff>96307</xdr:rowOff>
    </xdr:to>
    <xdr:pic>
      <xdr:nvPicPr>
        <xdr:cNvPr id="165" name="Picture 164">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6"/>
        <a:stretch>
          <a:fillRect/>
        </a:stretch>
      </xdr:blipFill>
      <xdr:spPr>
        <a:xfrm>
          <a:off x="10593578" y="17851086"/>
          <a:ext cx="4229458" cy="666571"/>
        </a:xfrm>
        <a:prstGeom prst="rect">
          <a:avLst/>
        </a:prstGeom>
        <a:ln>
          <a:solidFill>
            <a:srgbClr val="7030A0"/>
          </a:solidFill>
        </a:ln>
      </xdr:spPr>
    </xdr:pic>
    <xdr:clientData/>
  </xdr:twoCellAnchor>
  <xdr:twoCellAnchor editAs="oneCell">
    <xdr:from>
      <xdr:col>6</xdr:col>
      <xdr:colOff>415390</xdr:colOff>
      <xdr:row>90</xdr:row>
      <xdr:rowOff>135639</xdr:rowOff>
    </xdr:from>
    <xdr:to>
      <xdr:col>8</xdr:col>
      <xdr:colOff>574470</xdr:colOff>
      <xdr:row>93</xdr:row>
      <xdr:rowOff>126427</xdr:rowOff>
    </xdr:to>
    <xdr:pic>
      <xdr:nvPicPr>
        <xdr:cNvPr id="166" name="Picture 165">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7"/>
        <a:stretch>
          <a:fillRect/>
        </a:stretch>
      </xdr:blipFill>
      <xdr:spPr>
        <a:xfrm>
          <a:off x="10626190" y="18556989"/>
          <a:ext cx="3109714" cy="590863"/>
        </a:xfrm>
        <a:prstGeom prst="rect">
          <a:avLst/>
        </a:prstGeom>
        <a:ln>
          <a:solidFill>
            <a:srgbClr val="7030A0"/>
          </a:solidFill>
        </a:ln>
      </xdr:spPr>
    </xdr:pic>
    <xdr:clientData/>
  </xdr:twoCellAnchor>
  <xdr:twoCellAnchor editAs="oneCell">
    <xdr:from>
      <xdr:col>6</xdr:col>
      <xdr:colOff>1489362</xdr:colOff>
      <xdr:row>100</xdr:row>
      <xdr:rowOff>165898</xdr:rowOff>
    </xdr:from>
    <xdr:to>
      <xdr:col>10</xdr:col>
      <xdr:colOff>395136</xdr:colOff>
      <xdr:row>103</xdr:row>
      <xdr:rowOff>42302</xdr:rowOff>
    </xdr:to>
    <xdr:pic>
      <xdr:nvPicPr>
        <xdr:cNvPr id="167" name="Picture 166">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8"/>
        <a:stretch>
          <a:fillRect/>
        </a:stretch>
      </xdr:blipFill>
      <xdr:spPr>
        <a:xfrm>
          <a:off x="11700162" y="20587498"/>
          <a:ext cx="3532807" cy="476479"/>
        </a:xfrm>
        <a:prstGeom prst="rect">
          <a:avLst/>
        </a:prstGeom>
        <a:ln>
          <a:solidFill>
            <a:srgbClr val="7030A0"/>
          </a:solidFill>
        </a:ln>
      </xdr:spPr>
    </xdr:pic>
    <xdr:clientData/>
  </xdr:twoCellAnchor>
  <xdr:twoCellAnchor editAs="oneCell">
    <xdr:from>
      <xdr:col>1</xdr:col>
      <xdr:colOff>591454</xdr:colOff>
      <xdr:row>119</xdr:row>
      <xdr:rowOff>40504</xdr:rowOff>
    </xdr:from>
    <xdr:to>
      <xdr:col>7</xdr:col>
      <xdr:colOff>1244287</xdr:colOff>
      <xdr:row>139</xdr:row>
      <xdr:rowOff>63502</xdr:rowOff>
    </xdr:to>
    <xdr:pic>
      <xdr:nvPicPr>
        <xdr:cNvPr id="168" name="Picture 167">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19"/>
        <a:stretch>
          <a:fillRect/>
        </a:stretch>
      </xdr:blipFill>
      <xdr:spPr>
        <a:xfrm>
          <a:off x="4277629" y="24262579"/>
          <a:ext cx="8731092" cy="4023496"/>
        </a:xfrm>
        <a:prstGeom prst="rect">
          <a:avLst/>
        </a:prstGeom>
        <a:ln>
          <a:solidFill>
            <a:srgbClr val="7030A0"/>
          </a:solidFill>
        </a:ln>
      </xdr:spPr>
    </xdr:pic>
    <xdr:clientData/>
  </xdr:twoCellAnchor>
  <xdr:twoCellAnchor editAs="oneCell">
    <xdr:from>
      <xdr:col>3</xdr:col>
      <xdr:colOff>1193118</xdr:colOff>
      <xdr:row>143</xdr:row>
      <xdr:rowOff>19156</xdr:rowOff>
    </xdr:from>
    <xdr:to>
      <xdr:col>4</xdr:col>
      <xdr:colOff>108955</xdr:colOff>
      <xdr:row>153</xdr:row>
      <xdr:rowOff>65662</xdr:rowOff>
    </xdr:to>
    <xdr:pic>
      <xdr:nvPicPr>
        <xdr:cNvPr id="169" name="Picture 168">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0"/>
        <a:stretch>
          <a:fillRect/>
        </a:stretch>
      </xdr:blipFill>
      <xdr:spPr>
        <a:xfrm rot="16200000">
          <a:off x="6361834" y="29911965"/>
          <a:ext cx="2046755" cy="363637"/>
        </a:xfrm>
        <a:prstGeom prst="rect">
          <a:avLst/>
        </a:prstGeom>
      </xdr:spPr>
    </xdr:pic>
    <xdr:clientData/>
  </xdr:twoCellAnchor>
  <xdr:twoCellAnchor editAs="oneCell">
    <xdr:from>
      <xdr:col>4</xdr:col>
      <xdr:colOff>1235124</xdr:colOff>
      <xdr:row>143</xdr:row>
      <xdr:rowOff>89718</xdr:rowOff>
    </xdr:from>
    <xdr:to>
      <xdr:col>5</xdr:col>
      <xdr:colOff>189056</xdr:colOff>
      <xdr:row>153</xdr:row>
      <xdr:rowOff>50510</xdr:rowOff>
    </xdr:to>
    <xdr:pic>
      <xdr:nvPicPr>
        <xdr:cNvPr id="170" name="Picture 169">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1"/>
        <a:stretch>
          <a:fillRect/>
        </a:stretch>
      </xdr:blipFill>
      <xdr:spPr>
        <a:xfrm rot="16200000">
          <a:off x="7913544" y="29920623"/>
          <a:ext cx="1961041" cy="401732"/>
        </a:xfrm>
        <a:prstGeom prst="rect">
          <a:avLst/>
        </a:prstGeom>
      </xdr:spPr>
    </xdr:pic>
    <xdr:clientData/>
  </xdr:twoCellAnchor>
  <xdr:twoCellAnchor editAs="oneCell">
    <xdr:from>
      <xdr:col>5</xdr:col>
      <xdr:colOff>1131677</xdr:colOff>
      <xdr:row>144</xdr:row>
      <xdr:rowOff>167188</xdr:rowOff>
    </xdr:from>
    <xdr:to>
      <xdr:col>6</xdr:col>
      <xdr:colOff>205106</xdr:colOff>
      <xdr:row>152</xdr:row>
      <xdr:rowOff>40581</xdr:rowOff>
    </xdr:to>
    <xdr:pic>
      <xdr:nvPicPr>
        <xdr:cNvPr id="171" name="Picture 170">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2"/>
        <a:stretch>
          <a:fillRect/>
        </a:stretch>
      </xdr:blipFill>
      <xdr:spPr>
        <a:xfrm rot="16200000">
          <a:off x="9489932" y="29966083"/>
          <a:ext cx="1473594" cy="378354"/>
        </a:xfrm>
        <a:prstGeom prst="rect">
          <a:avLst/>
        </a:prstGeom>
      </xdr:spPr>
    </xdr:pic>
    <xdr:clientData/>
  </xdr:twoCellAnchor>
  <xdr:twoCellAnchor editAs="oneCell">
    <xdr:from>
      <xdr:col>6</xdr:col>
      <xdr:colOff>1296601</xdr:colOff>
      <xdr:row>143</xdr:row>
      <xdr:rowOff>45559</xdr:rowOff>
    </xdr:from>
    <xdr:to>
      <xdr:col>7</xdr:col>
      <xdr:colOff>156148</xdr:colOff>
      <xdr:row>153</xdr:row>
      <xdr:rowOff>34922</xdr:rowOff>
    </xdr:to>
    <xdr:pic>
      <xdr:nvPicPr>
        <xdr:cNvPr id="172" name="Picture 171">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3"/>
        <a:stretch>
          <a:fillRect/>
        </a:stretch>
      </xdr:blipFill>
      <xdr:spPr>
        <a:xfrm rot="16200000">
          <a:off x="10718656" y="29885554"/>
          <a:ext cx="1989612" cy="412122"/>
        </a:xfrm>
        <a:prstGeom prst="rect">
          <a:avLst/>
        </a:prstGeom>
      </xdr:spPr>
    </xdr:pic>
    <xdr:clientData/>
  </xdr:twoCellAnchor>
  <xdr:twoCellAnchor editAs="oneCell">
    <xdr:from>
      <xdr:col>4</xdr:col>
      <xdr:colOff>183754</xdr:colOff>
      <xdr:row>156</xdr:row>
      <xdr:rowOff>147205</xdr:rowOff>
    </xdr:from>
    <xdr:to>
      <xdr:col>4</xdr:col>
      <xdr:colOff>1324587</xdr:colOff>
      <xdr:row>157</xdr:row>
      <xdr:rowOff>150623</xdr:rowOff>
    </xdr:to>
    <xdr:pic>
      <xdr:nvPicPr>
        <xdr:cNvPr id="173" name="Picture 172">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0"/>
        <a:stretch>
          <a:fillRect/>
        </a:stretch>
      </xdr:blipFill>
      <xdr:spPr>
        <a:xfrm>
          <a:off x="7641829" y="31808305"/>
          <a:ext cx="1140833" cy="203444"/>
        </a:xfrm>
        <a:prstGeom prst="rect">
          <a:avLst/>
        </a:prstGeom>
      </xdr:spPr>
    </xdr:pic>
    <xdr:clientData/>
  </xdr:twoCellAnchor>
  <xdr:twoCellAnchor editAs="oneCell">
    <xdr:from>
      <xdr:col>5</xdr:col>
      <xdr:colOff>120041</xdr:colOff>
      <xdr:row>156</xdr:row>
      <xdr:rowOff>120679</xdr:rowOff>
    </xdr:from>
    <xdr:to>
      <xdr:col>5</xdr:col>
      <xdr:colOff>1212896</xdr:colOff>
      <xdr:row>157</xdr:row>
      <xdr:rowOff>145421</xdr:rowOff>
    </xdr:to>
    <xdr:pic>
      <xdr:nvPicPr>
        <xdr:cNvPr id="174" name="Picture 173">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1"/>
        <a:stretch>
          <a:fillRect/>
        </a:stretch>
      </xdr:blipFill>
      <xdr:spPr>
        <a:xfrm>
          <a:off x="9025916" y="31781779"/>
          <a:ext cx="1092855" cy="224768"/>
        </a:xfrm>
        <a:prstGeom prst="rect">
          <a:avLst/>
        </a:prstGeom>
      </xdr:spPr>
    </xdr:pic>
    <xdr:clientData/>
  </xdr:twoCellAnchor>
  <xdr:twoCellAnchor editAs="oneCell">
    <xdr:from>
      <xdr:col>6</xdr:col>
      <xdr:colOff>373797</xdr:colOff>
      <xdr:row>156</xdr:row>
      <xdr:rowOff>120953</xdr:rowOff>
    </xdr:from>
    <xdr:to>
      <xdr:col>6</xdr:col>
      <xdr:colOff>1194772</xdr:colOff>
      <xdr:row>157</xdr:row>
      <xdr:rowOff>135033</xdr:rowOff>
    </xdr:to>
    <xdr:pic>
      <xdr:nvPicPr>
        <xdr:cNvPr id="175" name="Picture 174">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2"/>
        <a:stretch>
          <a:fillRect/>
        </a:stretch>
      </xdr:blipFill>
      <xdr:spPr>
        <a:xfrm>
          <a:off x="10584597" y="31782053"/>
          <a:ext cx="820975" cy="214106"/>
        </a:xfrm>
        <a:prstGeom prst="rect">
          <a:avLst/>
        </a:prstGeom>
      </xdr:spPr>
    </xdr:pic>
    <xdr:clientData/>
  </xdr:twoCellAnchor>
  <xdr:twoCellAnchor editAs="oneCell">
    <xdr:from>
      <xdr:col>7</xdr:col>
      <xdr:colOff>80664</xdr:colOff>
      <xdr:row>156</xdr:row>
      <xdr:rowOff>107553</xdr:rowOff>
    </xdr:from>
    <xdr:to>
      <xdr:col>7</xdr:col>
      <xdr:colOff>1189511</xdr:colOff>
      <xdr:row>157</xdr:row>
      <xdr:rowOff>137626</xdr:rowOff>
    </xdr:to>
    <xdr:pic>
      <xdr:nvPicPr>
        <xdr:cNvPr id="176" name="Picture 175">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3"/>
        <a:stretch>
          <a:fillRect/>
        </a:stretch>
      </xdr:blipFill>
      <xdr:spPr>
        <a:xfrm>
          <a:off x="11844039" y="31768653"/>
          <a:ext cx="1108847" cy="230099"/>
        </a:xfrm>
        <a:prstGeom prst="rect">
          <a:avLst/>
        </a:prstGeom>
      </xdr:spPr>
    </xdr:pic>
    <xdr:clientData/>
  </xdr:twoCellAnchor>
  <xdr:twoCellAnchor editAs="oneCell">
    <xdr:from>
      <xdr:col>0</xdr:col>
      <xdr:colOff>121228</xdr:colOff>
      <xdr:row>187</xdr:row>
      <xdr:rowOff>43295</xdr:rowOff>
    </xdr:from>
    <xdr:to>
      <xdr:col>0</xdr:col>
      <xdr:colOff>3830204</xdr:colOff>
      <xdr:row>190</xdr:row>
      <xdr:rowOff>18765</xdr:rowOff>
    </xdr:to>
    <xdr:pic>
      <xdr:nvPicPr>
        <xdr:cNvPr id="178" name="Picture 177">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4"/>
        <a:stretch>
          <a:fillRect/>
        </a:stretch>
      </xdr:blipFill>
      <xdr:spPr>
        <a:xfrm>
          <a:off x="121228" y="37943270"/>
          <a:ext cx="3712151" cy="594596"/>
        </a:xfrm>
        <a:prstGeom prst="rect">
          <a:avLst/>
        </a:prstGeom>
        <a:ln>
          <a:solidFill>
            <a:srgbClr val="7030A0"/>
          </a:solidFill>
        </a:ln>
      </xdr:spPr>
    </xdr:pic>
    <xdr:clientData/>
  </xdr:twoCellAnchor>
  <xdr:twoCellAnchor editAs="oneCell">
    <xdr:from>
      <xdr:col>6</xdr:col>
      <xdr:colOff>1506681</xdr:colOff>
      <xdr:row>104</xdr:row>
      <xdr:rowOff>121227</xdr:rowOff>
    </xdr:from>
    <xdr:to>
      <xdr:col>9</xdr:col>
      <xdr:colOff>527372</xdr:colOff>
      <xdr:row>106</xdr:row>
      <xdr:rowOff>703</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5"/>
        <a:stretch>
          <a:fillRect/>
        </a:stretch>
      </xdr:blipFill>
      <xdr:spPr>
        <a:xfrm>
          <a:off x="11717481" y="21342927"/>
          <a:ext cx="2809524" cy="277056"/>
        </a:xfrm>
        <a:prstGeom prst="rect">
          <a:avLst/>
        </a:prstGeom>
        <a:ln>
          <a:solidFill>
            <a:srgbClr val="7030A0"/>
          </a:solidFill>
        </a:ln>
      </xdr:spPr>
    </xdr:pic>
    <xdr:clientData/>
  </xdr:twoCellAnchor>
  <xdr:twoCellAnchor editAs="oneCell">
    <xdr:from>
      <xdr:col>6</xdr:col>
      <xdr:colOff>300899</xdr:colOff>
      <xdr:row>108</xdr:row>
      <xdr:rowOff>34637</xdr:rowOff>
    </xdr:from>
    <xdr:to>
      <xdr:col>7</xdr:col>
      <xdr:colOff>995366</xdr:colOff>
      <xdr:row>108</xdr:row>
      <xdr:rowOff>190501</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6"/>
        <a:stretch>
          <a:fillRect/>
        </a:stretch>
      </xdr:blipFill>
      <xdr:spPr>
        <a:xfrm>
          <a:off x="10511699" y="22056437"/>
          <a:ext cx="2247042" cy="155864"/>
        </a:xfrm>
        <a:prstGeom prst="rect">
          <a:avLst/>
        </a:prstGeom>
        <a:ln>
          <a:solidFill>
            <a:srgbClr val="7030A0"/>
          </a:solidFill>
        </a:ln>
      </xdr:spPr>
    </xdr:pic>
    <xdr:clientData/>
  </xdr:twoCellAnchor>
  <xdr:twoCellAnchor editAs="oneCell">
    <xdr:from>
      <xdr:col>8</xdr:col>
      <xdr:colOff>268432</xdr:colOff>
      <xdr:row>106</xdr:row>
      <xdr:rowOff>116897</xdr:rowOff>
    </xdr:from>
    <xdr:to>
      <xdr:col>12</xdr:col>
      <xdr:colOff>372341</xdr:colOff>
      <xdr:row>108</xdr:row>
      <xdr:rowOff>40581</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7"/>
        <a:stretch>
          <a:fillRect/>
        </a:stretch>
      </xdr:blipFill>
      <xdr:spPr>
        <a:xfrm>
          <a:off x="13260532" y="21738647"/>
          <a:ext cx="3218584" cy="323735"/>
        </a:xfrm>
        <a:prstGeom prst="rect">
          <a:avLst/>
        </a:prstGeom>
        <a:ln>
          <a:solidFill>
            <a:srgbClr val="7030A0"/>
          </a:solidFill>
        </a:ln>
      </xdr:spPr>
    </xdr:pic>
    <xdr:clientData/>
  </xdr:twoCellAnchor>
  <xdr:twoCellAnchor editAs="oneCell">
    <xdr:from>
      <xdr:col>5</xdr:col>
      <xdr:colOff>1255568</xdr:colOff>
      <xdr:row>115</xdr:row>
      <xdr:rowOff>155864</xdr:rowOff>
    </xdr:from>
    <xdr:to>
      <xdr:col>8</xdr:col>
      <xdr:colOff>220325</xdr:colOff>
      <xdr:row>117</xdr:row>
      <xdr:rowOff>80414</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27"/>
        <a:stretch>
          <a:fillRect/>
        </a:stretch>
      </xdr:blipFill>
      <xdr:spPr>
        <a:xfrm>
          <a:off x="10161443" y="23577839"/>
          <a:ext cx="3220316" cy="324601"/>
        </a:xfrm>
        <a:prstGeom prst="rect">
          <a:avLst/>
        </a:prstGeom>
        <a:ln>
          <a:solidFill>
            <a:srgbClr val="7030A0"/>
          </a:solidFill>
        </a:ln>
      </xdr:spPr>
    </xdr:pic>
    <xdr:clientData/>
  </xdr:twoCellAnchor>
  <xdr:twoCellAnchor editAs="oneCell">
    <xdr:from>
      <xdr:col>5</xdr:col>
      <xdr:colOff>1272887</xdr:colOff>
      <xdr:row>113</xdr:row>
      <xdr:rowOff>184286</xdr:rowOff>
    </xdr:from>
    <xdr:to>
      <xdr:col>8</xdr:col>
      <xdr:colOff>399936</xdr:colOff>
      <xdr:row>115</xdr:row>
      <xdr:rowOff>44991</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8"/>
        <a:stretch>
          <a:fillRect/>
        </a:stretch>
      </xdr:blipFill>
      <xdr:spPr>
        <a:xfrm>
          <a:off x="10178762" y="23206211"/>
          <a:ext cx="3382608" cy="260754"/>
        </a:xfrm>
        <a:prstGeom prst="rect">
          <a:avLst/>
        </a:prstGeom>
        <a:ln>
          <a:solidFill>
            <a:srgbClr val="7030A0"/>
          </a:solidFill>
        </a:ln>
      </xdr:spPr>
    </xdr:pic>
    <xdr:clientData/>
  </xdr:twoCellAnchor>
  <xdr:twoCellAnchor editAs="oneCell">
    <xdr:from>
      <xdr:col>6</xdr:col>
      <xdr:colOff>1190195</xdr:colOff>
      <xdr:row>112</xdr:row>
      <xdr:rowOff>9277</xdr:rowOff>
    </xdr:from>
    <xdr:to>
      <xdr:col>8</xdr:col>
      <xdr:colOff>419485</xdr:colOff>
      <xdr:row>113</xdr:row>
      <xdr:rowOff>28619</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9"/>
        <a:stretch>
          <a:fillRect/>
        </a:stretch>
      </xdr:blipFill>
      <xdr:spPr>
        <a:xfrm>
          <a:off x="11400995" y="22831177"/>
          <a:ext cx="2179924" cy="219368"/>
        </a:xfrm>
        <a:prstGeom prst="rect">
          <a:avLst/>
        </a:prstGeom>
        <a:ln>
          <a:solidFill>
            <a:srgbClr val="7030A0"/>
          </a:solidFill>
        </a:ln>
      </xdr:spPr>
    </xdr:pic>
    <xdr:clientData/>
  </xdr:twoCellAnchor>
  <xdr:twoCellAnchor editAs="oneCell">
    <xdr:from>
      <xdr:col>7</xdr:col>
      <xdr:colOff>38100</xdr:colOff>
      <xdr:row>109</xdr:row>
      <xdr:rowOff>69893</xdr:rowOff>
    </xdr:from>
    <xdr:to>
      <xdr:col>8</xdr:col>
      <xdr:colOff>522238</xdr:colOff>
      <xdr:row>111</xdr:row>
      <xdr:rowOff>154708</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30"/>
        <a:stretch>
          <a:fillRect/>
        </a:stretch>
      </xdr:blipFill>
      <xdr:spPr>
        <a:xfrm>
          <a:off x="11801475" y="22291718"/>
          <a:ext cx="1882197" cy="484866"/>
        </a:xfrm>
        <a:prstGeom prst="rect">
          <a:avLst/>
        </a:prstGeom>
        <a:ln>
          <a:solidFill>
            <a:srgbClr val="7030A0"/>
          </a:solidFill>
        </a:ln>
      </xdr:spPr>
    </xdr:pic>
    <xdr:clientData/>
  </xdr:twoCellAnchor>
  <xdr:twoCellAnchor editAs="oneCell">
    <xdr:from>
      <xdr:col>3</xdr:col>
      <xdr:colOff>338668</xdr:colOff>
      <xdr:row>393</xdr:row>
      <xdr:rowOff>72633</xdr:rowOff>
    </xdr:from>
    <xdr:to>
      <xdr:col>7</xdr:col>
      <xdr:colOff>683934</xdr:colOff>
      <xdr:row>407</xdr:row>
      <xdr:rowOff>187953</xdr:rowOff>
    </xdr:to>
    <xdr:pic>
      <xdr:nvPicPr>
        <xdr:cNvPr id="187" name="Picture 18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667501" y="80019133"/>
          <a:ext cx="6102600" cy="2930487"/>
        </a:xfrm>
        <a:prstGeom prst="rect">
          <a:avLst/>
        </a:prstGeom>
      </xdr:spPr>
    </xdr:pic>
    <xdr:clientData/>
  </xdr:twoCellAnchor>
  <xdr:twoCellAnchor editAs="oneCell">
    <xdr:from>
      <xdr:col>3</xdr:col>
      <xdr:colOff>370783</xdr:colOff>
      <xdr:row>411</xdr:row>
      <xdr:rowOff>148169</xdr:rowOff>
    </xdr:from>
    <xdr:to>
      <xdr:col>7</xdr:col>
      <xdr:colOff>810370</xdr:colOff>
      <xdr:row>438</xdr:row>
      <xdr:rowOff>21168</xdr:rowOff>
    </xdr:to>
    <xdr:pic>
      <xdr:nvPicPr>
        <xdr:cNvPr id="188" name="Picture 18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6699616" y="83714169"/>
          <a:ext cx="6196921" cy="5302249"/>
        </a:xfrm>
        <a:prstGeom prst="rect">
          <a:avLst/>
        </a:prstGeom>
      </xdr:spPr>
    </xdr:pic>
    <xdr:clientData/>
  </xdr:twoCellAnchor>
  <xdr:twoCellAnchor editAs="oneCell">
    <xdr:from>
      <xdr:col>0</xdr:col>
      <xdr:colOff>127000</xdr:colOff>
      <xdr:row>394</xdr:row>
      <xdr:rowOff>11205</xdr:rowOff>
    </xdr:from>
    <xdr:to>
      <xdr:col>2</xdr:col>
      <xdr:colOff>1026584</xdr:colOff>
      <xdr:row>407</xdr:row>
      <xdr:rowOff>197454</xdr:rowOff>
    </xdr:to>
    <xdr:pic>
      <xdr:nvPicPr>
        <xdr:cNvPr id="189" name="Picture 188"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27000" y="80158788"/>
          <a:ext cx="5958417" cy="2800333"/>
        </a:xfrm>
        <a:prstGeom prst="rect">
          <a:avLst/>
        </a:prstGeom>
      </xdr:spPr>
    </xdr:pic>
    <xdr:clientData/>
  </xdr:twoCellAnchor>
  <xdr:twoCellAnchor editAs="oneCell">
    <xdr:from>
      <xdr:col>0</xdr:col>
      <xdr:colOff>105833</xdr:colOff>
      <xdr:row>411</xdr:row>
      <xdr:rowOff>105836</xdr:rowOff>
    </xdr:from>
    <xdr:to>
      <xdr:col>3</xdr:col>
      <xdr:colOff>31874</xdr:colOff>
      <xdr:row>438</xdr:row>
      <xdr:rowOff>113255</xdr:rowOff>
    </xdr:to>
    <xdr:pic>
      <xdr:nvPicPr>
        <xdr:cNvPr id="190" name="Picture 189"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5833" y="83671836"/>
          <a:ext cx="6254874" cy="5436669"/>
        </a:xfrm>
        <a:prstGeom prst="rect">
          <a:avLst/>
        </a:prstGeom>
        <a:ln>
          <a:solidFill>
            <a:schemeClr val="accent1"/>
          </a:solidFill>
        </a:ln>
      </xdr:spPr>
    </xdr:pic>
    <xdr:clientData/>
  </xdr:twoCellAnchor>
  <xdr:twoCellAnchor editAs="oneCell">
    <xdr:from>
      <xdr:col>0</xdr:col>
      <xdr:colOff>84666</xdr:colOff>
      <xdr:row>334</xdr:row>
      <xdr:rowOff>1179</xdr:rowOff>
    </xdr:from>
    <xdr:to>
      <xdr:col>2</xdr:col>
      <xdr:colOff>201083</xdr:colOff>
      <xdr:row>358</xdr:row>
      <xdr:rowOff>115190</xdr:rowOff>
    </xdr:to>
    <xdr:pic>
      <xdr:nvPicPr>
        <xdr:cNvPr id="191" name="Picture 19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4666" y="68083762"/>
          <a:ext cx="5175250" cy="4940011"/>
        </a:xfrm>
        <a:prstGeom prst="rect">
          <a:avLst/>
        </a:prstGeom>
        <a:ln>
          <a:solidFill>
            <a:schemeClr val="accent1"/>
          </a:solidFill>
        </a:ln>
      </xdr:spPr>
    </xdr:pic>
    <xdr:clientData/>
  </xdr:twoCellAnchor>
  <xdr:twoCellAnchor editAs="oneCell">
    <xdr:from>
      <xdr:col>0</xdr:col>
      <xdr:colOff>285750</xdr:colOff>
      <xdr:row>358</xdr:row>
      <xdr:rowOff>155174</xdr:rowOff>
    </xdr:from>
    <xdr:to>
      <xdr:col>0</xdr:col>
      <xdr:colOff>3242229</xdr:colOff>
      <xdr:row>365</xdr:row>
      <xdr:rowOff>123026</xdr:rowOff>
    </xdr:to>
    <xdr:pic>
      <xdr:nvPicPr>
        <xdr:cNvPr id="192" name="Picture 191"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85750" y="73063757"/>
          <a:ext cx="2956479" cy="1375436"/>
        </a:xfrm>
        <a:prstGeom prst="rect">
          <a:avLst/>
        </a:prstGeom>
        <a:ln>
          <a:solidFill>
            <a:schemeClr val="accent1"/>
          </a:solidFill>
        </a:ln>
      </xdr:spPr>
    </xdr:pic>
    <xdr:clientData/>
  </xdr:twoCellAnchor>
  <xdr:twoCellAnchor editAs="oneCell">
    <xdr:from>
      <xdr:col>0</xdr:col>
      <xdr:colOff>179917</xdr:colOff>
      <xdr:row>366</xdr:row>
      <xdr:rowOff>21003</xdr:rowOff>
    </xdr:from>
    <xdr:to>
      <xdr:col>0</xdr:col>
      <xdr:colOff>3259666</xdr:colOff>
      <xdr:row>375</xdr:row>
      <xdr:rowOff>68506</xdr:rowOff>
    </xdr:to>
    <xdr:pic>
      <xdr:nvPicPr>
        <xdr:cNvPr id="193" name="Picture 192"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79917" y="74538253"/>
          <a:ext cx="3079749" cy="1857253"/>
        </a:xfrm>
        <a:prstGeom prst="rect">
          <a:avLst/>
        </a:prstGeom>
        <a:ln>
          <a:solidFill>
            <a:schemeClr val="accent1"/>
          </a:solidFill>
        </a:ln>
      </xdr:spPr>
    </xdr:pic>
    <xdr:clientData/>
  </xdr:twoCellAnchor>
  <xdr:twoCellAnchor editAs="oneCell">
    <xdr:from>
      <xdr:col>2</xdr:col>
      <xdr:colOff>530423</xdr:colOff>
      <xdr:row>333</xdr:row>
      <xdr:rowOff>95250</xdr:rowOff>
    </xdr:from>
    <xdr:to>
      <xdr:col>5</xdr:col>
      <xdr:colOff>1284685</xdr:colOff>
      <xdr:row>355</xdr:row>
      <xdr:rowOff>136306</xdr:rowOff>
    </xdr:to>
    <xdr:pic>
      <xdr:nvPicPr>
        <xdr:cNvPr id="194" name="Picture 193"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589256" y="67976750"/>
          <a:ext cx="4924096" cy="4464890"/>
        </a:xfrm>
        <a:prstGeom prst="rect">
          <a:avLst/>
        </a:prstGeom>
        <a:ln>
          <a:solidFill>
            <a:schemeClr val="accent1"/>
          </a:solidFill>
        </a:ln>
      </xdr:spPr>
    </xdr:pic>
    <xdr:clientData/>
  </xdr:twoCellAnchor>
  <xdr:twoCellAnchor editAs="oneCell">
    <xdr:from>
      <xdr:col>2</xdr:col>
      <xdr:colOff>582084</xdr:colOff>
      <xdr:row>355</xdr:row>
      <xdr:rowOff>191199</xdr:rowOff>
    </xdr:from>
    <xdr:to>
      <xdr:col>4</xdr:col>
      <xdr:colOff>1075790</xdr:colOff>
      <xdr:row>365</xdr:row>
      <xdr:rowOff>137903</xdr:rowOff>
    </xdr:to>
    <xdr:pic>
      <xdr:nvPicPr>
        <xdr:cNvPr id="195" name="Picture 194"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640917" y="72496532"/>
          <a:ext cx="3213623" cy="1957537"/>
        </a:xfrm>
        <a:prstGeom prst="rect">
          <a:avLst/>
        </a:prstGeom>
        <a:ln>
          <a:solidFill>
            <a:schemeClr val="accent1"/>
          </a:solidFill>
        </a:ln>
      </xdr:spPr>
    </xdr:pic>
    <xdr:clientData/>
  </xdr:twoCellAnchor>
  <xdr:twoCellAnchor editAs="oneCell">
    <xdr:from>
      <xdr:col>2</xdr:col>
      <xdr:colOff>677334</xdr:colOff>
      <xdr:row>365</xdr:row>
      <xdr:rowOff>148168</xdr:rowOff>
    </xdr:from>
    <xdr:to>
      <xdr:col>4</xdr:col>
      <xdr:colOff>793751</xdr:colOff>
      <xdr:row>375</xdr:row>
      <xdr:rowOff>82250</xdr:rowOff>
    </xdr:to>
    <xdr:pic>
      <xdr:nvPicPr>
        <xdr:cNvPr id="196" name="Picture 195"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36167" y="74464335"/>
          <a:ext cx="2836334" cy="1944915"/>
        </a:xfrm>
        <a:prstGeom prst="rect">
          <a:avLst/>
        </a:prstGeom>
        <a:ln>
          <a:solidFill>
            <a:schemeClr val="accent1"/>
          </a:solidFill>
        </a:ln>
      </xdr:spPr>
    </xdr:pic>
    <xdr:clientData/>
  </xdr:twoCellAnchor>
  <xdr:twoCellAnchor editAs="oneCell">
    <xdr:from>
      <xdr:col>5</xdr:col>
      <xdr:colOff>984248</xdr:colOff>
      <xdr:row>303</xdr:row>
      <xdr:rowOff>131586</xdr:rowOff>
    </xdr:from>
    <xdr:to>
      <xdr:col>9</xdr:col>
      <xdr:colOff>395564</xdr:colOff>
      <xdr:row>313</xdr:row>
      <xdr:rowOff>690</xdr:rowOff>
    </xdr:to>
    <xdr:pic>
      <xdr:nvPicPr>
        <xdr:cNvPr id="197" name="Picture 196"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212915" y="61959419"/>
          <a:ext cx="4501899" cy="1876409"/>
        </a:xfrm>
        <a:prstGeom prst="rect">
          <a:avLst/>
        </a:prstGeom>
      </xdr:spPr>
    </xdr:pic>
    <xdr:clientData/>
  </xdr:twoCellAnchor>
  <xdr:twoCellAnchor editAs="oneCell">
    <xdr:from>
      <xdr:col>7</xdr:col>
      <xdr:colOff>28222</xdr:colOff>
      <xdr:row>55</xdr:row>
      <xdr:rowOff>136718</xdr:rowOff>
    </xdr:from>
    <xdr:to>
      <xdr:col>16</xdr:col>
      <xdr:colOff>366889</xdr:colOff>
      <xdr:row>61</xdr:row>
      <xdr:rowOff>190499</xdr:rowOff>
    </xdr:to>
    <xdr:pic>
      <xdr:nvPicPr>
        <xdr:cNvPr id="198" name="Picture 197" descr="Screen Clipping"/>
        <xdr:cNvPicPr>
          <a:picLocks noChangeAspect="1"/>
        </xdr:cNvPicPr>
      </xdr:nvPicPr>
      <xdr:blipFill rotWithShape="1">
        <a:blip xmlns:r="http://schemas.openxmlformats.org/officeDocument/2006/relationships" r:embed="rId42">
          <a:extLst>
            <a:ext uri="{28A0092B-C50C-407E-A947-70E740481C1C}">
              <a14:useLocalDpi xmlns:a14="http://schemas.microsoft.com/office/drawing/2010/main" val="0"/>
            </a:ext>
          </a:extLst>
        </a:blip>
        <a:srcRect b="40798"/>
        <a:stretch/>
      </xdr:blipFill>
      <xdr:spPr>
        <a:xfrm>
          <a:off x="12093222" y="11185718"/>
          <a:ext cx="7732889" cy="1239114"/>
        </a:xfrm>
        <a:prstGeom prst="rect">
          <a:avLst/>
        </a:prstGeom>
      </xdr:spPr>
    </xdr:pic>
    <xdr:clientData/>
  </xdr:twoCellAnchor>
  <xdr:twoCellAnchor editAs="oneCell">
    <xdr:from>
      <xdr:col>7</xdr:col>
      <xdr:colOff>95251</xdr:colOff>
      <xdr:row>65</xdr:row>
      <xdr:rowOff>21166</xdr:rowOff>
    </xdr:from>
    <xdr:to>
      <xdr:col>11</xdr:col>
      <xdr:colOff>279456</xdr:colOff>
      <xdr:row>70</xdr:row>
      <xdr:rowOff>163497</xdr:rowOff>
    </xdr:to>
    <xdr:pic>
      <xdr:nvPicPr>
        <xdr:cNvPr id="199" name="Picture 198" descr="Screen Clipping"/>
        <xdr:cNvPicPr>
          <a:picLocks noChangeAspect="1"/>
        </xdr:cNvPicPr>
      </xdr:nvPicPr>
      <xdr:blipFill rotWithShape="1">
        <a:blip xmlns:r="http://schemas.openxmlformats.org/officeDocument/2006/relationships" r:embed="rId43">
          <a:extLst>
            <a:ext uri="{28A0092B-C50C-407E-A947-70E740481C1C}">
              <a14:useLocalDpi xmlns:a14="http://schemas.microsoft.com/office/drawing/2010/main" val="0"/>
            </a:ext>
          </a:extLst>
        </a:blip>
        <a:srcRect t="39686"/>
        <a:stretch/>
      </xdr:blipFill>
      <xdr:spPr>
        <a:xfrm>
          <a:off x="12181418" y="13536083"/>
          <a:ext cx="3856621" cy="1147746"/>
        </a:xfrm>
        <a:prstGeom prst="rect">
          <a:avLst/>
        </a:prstGeom>
      </xdr:spPr>
    </xdr:pic>
    <xdr:clientData/>
  </xdr:twoCellAnchor>
  <xdr:twoCellAnchor editAs="oneCell">
    <xdr:from>
      <xdr:col>6</xdr:col>
      <xdr:colOff>493889</xdr:colOff>
      <xdr:row>10</xdr:row>
      <xdr:rowOff>7566</xdr:rowOff>
    </xdr:from>
    <xdr:to>
      <xdr:col>11</xdr:col>
      <xdr:colOff>128960</xdr:colOff>
      <xdr:row>22</xdr:row>
      <xdr:rowOff>17639</xdr:rowOff>
    </xdr:to>
    <xdr:pic>
      <xdr:nvPicPr>
        <xdr:cNvPr id="201" name="Picture 200"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1006667" y="1983122"/>
          <a:ext cx="4863237" cy="2387795"/>
        </a:xfrm>
        <a:prstGeom prst="rect">
          <a:avLst/>
        </a:prstGeom>
      </xdr:spPr>
    </xdr:pic>
    <xdr:clientData/>
  </xdr:twoCellAnchor>
  <xdr:twoCellAnchor editAs="oneCell">
    <xdr:from>
      <xdr:col>9</xdr:col>
      <xdr:colOff>228641</xdr:colOff>
      <xdr:row>319</xdr:row>
      <xdr:rowOff>116417</xdr:rowOff>
    </xdr:from>
    <xdr:to>
      <xdr:col>15</xdr:col>
      <xdr:colOff>547395</xdr:colOff>
      <xdr:row>331</xdr:row>
      <xdr:rowOff>21168</xdr:rowOff>
    </xdr:to>
    <xdr:pic>
      <xdr:nvPicPr>
        <xdr:cNvPr id="203" name="Picture 202" descr="Screen Clipping"/>
        <xdr:cNvPicPr>
          <a:picLocks noChangeAspect="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b="29131"/>
        <a:stretch/>
      </xdr:blipFill>
      <xdr:spPr>
        <a:xfrm>
          <a:off x="14547891" y="65182750"/>
          <a:ext cx="4636754" cy="2317750"/>
        </a:xfrm>
        <a:prstGeom prst="rect">
          <a:avLst/>
        </a:prstGeom>
      </xdr:spPr>
    </xdr:pic>
    <xdr:clientData/>
  </xdr:twoCellAnchor>
  <xdr:twoCellAnchor editAs="oneCell">
    <xdr:from>
      <xdr:col>0</xdr:col>
      <xdr:colOff>91723</xdr:colOff>
      <xdr:row>215</xdr:row>
      <xdr:rowOff>21167</xdr:rowOff>
    </xdr:from>
    <xdr:to>
      <xdr:col>1</xdr:col>
      <xdr:colOff>119945</xdr:colOff>
      <xdr:row>218</xdr:row>
      <xdr:rowOff>133379</xdr:rowOff>
    </xdr:to>
    <xdr:pic>
      <xdr:nvPicPr>
        <xdr:cNvPr id="200" name="Picture 199"/>
        <xdr:cNvPicPr>
          <a:picLocks noChangeAspect="1"/>
        </xdr:cNvPicPr>
      </xdr:nvPicPr>
      <xdr:blipFill>
        <a:blip xmlns:r="http://schemas.openxmlformats.org/officeDocument/2006/relationships" r:embed="rId46"/>
        <a:stretch>
          <a:fillRect/>
        </a:stretch>
      </xdr:blipFill>
      <xdr:spPr>
        <a:xfrm>
          <a:off x="91723" y="43074167"/>
          <a:ext cx="4028722" cy="718990"/>
        </a:xfrm>
        <a:prstGeom prst="rect">
          <a:avLst/>
        </a:prstGeom>
        <a:ln>
          <a:solidFill>
            <a:srgbClr val="7030A0"/>
          </a:solidFill>
        </a:ln>
      </xdr:spPr>
    </xdr:pic>
    <xdr:clientData/>
  </xdr:twoCellAnchor>
  <xdr:twoCellAnchor editAs="oneCell">
    <xdr:from>
      <xdr:col>0</xdr:col>
      <xdr:colOff>402167</xdr:colOff>
      <xdr:row>225</xdr:row>
      <xdr:rowOff>93179</xdr:rowOff>
    </xdr:from>
    <xdr:to>
      <xdr:col>1</xdr:col>
      <xdr:colOff>296063</xdr:colOff>
      <xdr:row>228</xdr:row>
      <xdr:rowOff>163229</xdr:rowOff>
    </xdr:to>
    <xdr:pic>
      <xdr:nvPicPr>
        <xdr:cNvPr id="110" name="Picture 109"/>
        <xdr:cNvPicPr>
          <a:picLocks noChangeAspect="1"/>
        </xdr:cNvPicPr>
      </xdr:nvPicPr>
      <xdr:blipFill>
        <a:blip xmlns:r="http://schemas.openxmlformats.org/officeDocument/2006/relationships" r:embed="rId47"/>
        <a:stretch>
          <a:fillRect/>
        </a:stretch>
      </xdr:blipFill>
      <xdr:spPr>
        <a:xfrm>
          <a:off x="402167" y="45149957"/>
          <a:ext cx="3894396" cy="662717"/>
        </a:xfrm>
        <a:prstGeom prst="rect">
          <a:avLst/>
        </a:prstGeom>
        <a:ln>
          <a:solidFill>
            <a:srgbClr val="7030A0"/>
          </a:solidFill>
        </a:ln>
      </xdr:spPr>
    </xdr:pic>
    <xdr:clientData/>
  </xdr:twoCellAnchor>
  <xdr:twoCellAnchor editAs="oneCell">
    <xdr:from>
      <xdr:col>0</xdr:col>
      <xdr:colOff>275166</xdr:colOff>
      <xdr:row>237</xdr:row>
      <xdr:rowOff>112889</xdr:rowOff>
    </xdr:from>
    <xdr:to>
      <xdr:col>1</xdr:col>
      <xdr:colOff>527308</xdr:colOff>
      <xdr:row>240</xdr:row>
      <xdr:rowOff>147662</xdr:rowOff>
    </xdr:to>
    <xdr:pic>
      <xdr:nvPicPr>
        <xdr:cNvPr id="202" name="Picture 201"/>
        <xdr:cNvPicPr>
          <a:picLocks noChangeAspect="1"/>
        </xdr:cNvPicPr>
      </xdr:nvPicPr>
      <xdr:blipFill>
        <a:blip xmlns:r="http://schemas.openxmlformats.org/officeDocument/2006/relationships" r:embed="rId48"/>
        <a:stretch>
          <a:fillRect/>
        </a:stretch>
      </xdr:blipFill>
      <xdr:spPr>
        <a:xfrm>
          <a:off x="275166" y="47554445"/>
          <a:ext cx="4252642" cy="627439"/>
        </a:xfrm>
        <a:prstGeom prst="rect">
          <a:avLst/>
        </a:prstGeom>
        <a:ln>
          <a:solidFill>
            <a:srgbClr val="7030A0"/>
          </a:solidFill>
        </a:ln>
      </xdr:spPr>
    </xdr:pic>
    <xdr:clientData/>
  </xdr:twoCellAnchor>
  <xdr:twoCellAnchor editAs="oneCell">
    <xdr:from>
      <xdr:col>0</xdr:col>
      <xdr:colOff>359832</xdr:colOff>
      <xdr:row>245</xdr:row>
      <xdr:rowOff>120304</xdr:rowOff>
    </xdr:from>
    <xdr:to>
      <xdr:col>0</xdr:col>
      <xdr:colOff>3888411</xdr:colOff>
      <xdr:row>249</xdr:row>
      <xdr:rowOff>33041</xdr:rowOff>
    </xdr:to>
    <xdr:pic>
      <xdr:nvPicPr>
        <xdr:cNvPr id="111" name="Picture 110"/>
        <xdr:cNvPicPr>
          <a:picLocks noChangeAspect="1"/>
        </xdr:cNvPicPr>
      </xdr:nvPicPr>
      <xdr:blipFill>
        <a:blip xmlns:r="http://schemas.openxmlformats.org/officeDocument/2006/relationships" r:embed="rId49"/>
        <a:stretch>
          <a:fillRect/>
        </a:stretch>
      </xdr:blipFill>
      <xdr:spPr>
        <a:xfrm>
          <a:off x="359832" y="49142304"/>
          <a:ext cx="3528579" cy="702959"/>
        </a:xfrm>
        <a:prstGeom prst="rect">
          <a:avLst/>
        </a:prstGeom>
        <a:ln>
          <a:solidFill>
            <a:srgbClr val="7030A0"/>
          </a:solidFill>
        </a:ln>
      </xdr:spPr>
    </xdr:pic>
    <xdr:clientData/>
  </xdr:twoCellAnchor>
  <xdr:twoCellAnchor editAs="oneCell">
    <xdr:from>
      <xdr:col>0</xdr:col>
      <xdr:colOff>324556</xdr:colOff>
      <xdr:row>253</xdr:row>
      <xdr:rowOff>21167</xdr:rowOff>
    </xdr:from>
    <xdr:to>
      <xdr:col>0</xdr:col>
      <xdr:colOff>3855604</xdr:colOff>
      <xdr:row>256</xdr:row>
      <xdr:rowOff>82399</xdr:rowOff>
    </xdr:to>
    <xdr:pic>
      <xdr:nvPicPr>
        <xdr:cNvPr id="204" name="Picture 203"/>
        <xdr:cNvPicPr>
          <a:picLocks noChangeAspect="1"/>
        </xdr:cNvPicPr>
      </xdr:nvPicPr>
      <xdr:blipFill>
        <a:blip xmlns:r="http://schemas.openxmlformats.org/officeDocument/2006/relationships" r:embed="rId50"/>
        <a:stretch>
          <a:fillRect/>
        </a:stretch>
      </xdr:blipFill>
      <xdr:spPr>
        <a:xfrm>
          <a:off x="324556" y="50623611"/>
          <a:ext cx="3531048" cy="653898"/>
        </a:xfrm>
        <a:prstGeom prst="rect">
          <a:avLst/>
        </a:prstGeom>
        <a:ln>
          <a:solidFill>
            <a:srgbClr val="7030A0"/>
          </a:solidFill>
        </a:ln>
      </xdr:spPr>
    </xdr:pic>
    <xdr:clientData/>
  </xdr:twoCellAnchor>
  <xdr:twoCellAnchor editAs="oneCell">
    <xdr:from>
      <xdr:col>0</xdr:col>
      <xdr:colOff>253999</xdr:colOff>
      <xdr:row>271</xdr:row>
      <xdr:rowOff>161181</xdr:rowOff>
    </xdr:from>
    <xdr:to>
      <xdr:col>1</xdr:col>
      <xdr:colOff>167486</xdr:colOff>
      <xdr:row>275</xdr:row>
      <xdr:rowOff>162278</xdr:rowOff>
    </xdr:to>
    <xdr:pic>
      <xdr:nvPicPr>
        <xdr:cNvPr id="126" name="Picture 125"/>
        <xdr:cNvPicPr>
          <a:picLocks noChangeAspect="1"/>
        </xdr:cNvPicPr>
      </xdr:nvPicPr>
      <xdr:blipFill>
        <a:blip xmlns:r="http://schemas.openxmlformats.org/officeDocument/2006/relationships" r:embed="rId51"/>
        <a:stretch>
          <a:fillRect/>
        </a:stretch>
      </xdr:blipFill>
      <xdr:spPr>
        <a:xfrm>
          <a:off x="253999" y="54319625"/>
          <a:ext cx="3913987" cy="791319"/>
        </a:xfrm>
        <a:prstGeom prst="rect">
          <a:avLst/>
        </a:prstGeom>
        <a:ln>
          <a:solidFill>
            <a:srgbClr val="7030A0"/>
          </a:solidFill>
        </a:ln>
      </xdr:spPr>
    </xdr:pic>
    <xdr:clientData/>
  </xdr:twoCellAnchor>
  <xdr:twoCellAnchor editAs="oneCell">
    <xdr:from>
      <xdr:col>0</xdr:col>
      <xdr:colOff>218722</xdr:colOff>
      <xdr:row>286</xdr:row>
      <xdr:rowOff>138606</xdr:rowOff>
    </xdr:from>
    <xdr:to>
      <xdr:col>1</xdr:col>
      <xdr:colOff>550333</xdr:colOff>
      <xdr:row>288</xdr:row>
      <xdr:rowOff>42067</xdr:rowOff>
    </xdr:to>
    <xdr:pic>
      <xdr:nvPicPr>
        <xdr:cNvPr id="127" name="Picture 126"/>
        <xdr:cNvPicPr>
          <a:picLocks noChangeAspect="1"/>
        </xdr:cNvPicPr>
      </xdr:nvPicPr>
      <xdr:blipFill>
        <a:blip xmlns:r="http://schemas.openxmlformats.org/officeDocument/2006/relationships" r:embed="rId52"/>
        <a:stretch>
          <a:fillRect/>
        </a:stretch>
      </xdr:blipFill>
      <xdr:spPr>
        <a:xfrm>
          <a:off x="218722" y="57260384"/>
          <a:ext cx="4332111" cy="298572"/>
        </a:xfrm>
        <a:prstGeom prst="rect">
          <a:avLst/>
        </a:prstGeom>
        <a:ln>
          <a:solidFill>
            <a:srgbClr val="7030A0"/>
          </a:solidFill>
        </a:ln>
      </xdr:spPr>
    </xdr:pic>
    <xdr:clientData/>
  </xdr:twoCellAnchor>
  <xdr:twoCellAnchor editAs="oneCell">
    <xdr:from>
      <xdr:col>0</xdr:col>
      <xdr:colOff>254000</xdr:colOff>
      <xdr:row>262</xdr:row>
      <xdr:rowOff>18062</xdr:rowOff>
    </xdr:from>
    <xdr:to>
      <xdr:col>0</xdr:col>
      <xdr:colOff>3709642</xdr:colOff>
      <xdr:row>266</xdr:row>
      <xdr:rowOff>183556</xdr:rowOff>
    </xdr:to>
    <xdr:pic>
      <xdr:nvPicPr>
        <xdr:cNvPr id="128" name="Picture 127"/>
        <xdr:cNvPicPr>
          <a:picLocks noChangeAspect="1"/>
        </xdr:cNvPicPr>
      </xdr:nvPicPr>
      <xdr:blipFill>
        <a:blip xmlns:r="http://schemas.openxmlformats.org/officeDocument/2006/relationships" r:embed="rId53"/>
        <a:stretch>
          <a:fillRect/>
        </a:stretch>
      </xdr:blipFill>
      <xdr:spPr>
        <a:xfrm>
          <a:off x="254000" y="52398506"/>
          <a:ext cx="3455642" cy="955716"/>
        </a:xfrm>
        <a:prstGeom prst="rect">
          <a:avLst/>
        </a:prstGeom>
        <a:ln>
          <a:solidFill>
            <a:srgbClr val="7030A0"/>
          </a:solidFill>
        </a:ln>
      </xdr:spPr>
    </xdr:pic>
    <xdr:clientData/>
  </xdr:twoCellAnchor>
  <xdr:twoCellAnchor editAs="oneCell">
    <xdr:from>
      <xdr:col>0</xdr:col>
      <xdr:colOff>98778</xdr:colOff>
      <xdr:row>280</xdr:row>
      <xdr:rowOff>69763</xdr:rowOff>
    </xdr:from>
    <xdr:to>
      <xdr:col>1</xdr:col>
      <xdr:colOff>644500</xdr:colOff>
      <xdr:row>286</xdr:row>
      <xdr:rowOff>43467</xdr:rowOff>
    </xdr:to>
    <xdr:pic>
      <xdr:nvPicPr>
        <xdr:cNvPr id="129" name="Picture 128"/>
        <xdr:cNvPicPr>
          <a:picLocks noChangeAspect="1"/>
        </xdr:cNvPicPr>
      </xdr:nvPicPr>
      <xdr:blipFill>
        <a:blip xmlns:r="http://schemas.openxmlformats.org/officeDocument/2006/relationships" r:embed="rId54"/>
        <a:stretch>
          <a:fillRect/>
        </a:stretch>
      </xdr:blipFill>
      <xdr:spPr>
        <a:xfrm>
          <a:off x="98778" y="56006207"/>
          <a:ext cx="4546222" cy="1159037"/>
        </a:xfrm>
        <a:prstGeom prst="rect">
          <a:avLst/>
        </a:prstGeom>
        <a:ln>
          <a:solidFill>
            <a:srgbClr val="7030A0"/>
          </a:solidFill>
        </a:ln>
      </xdr:spPr>
    </xdr:pic>
    <xdr:clientData/>
  </xdr:twoCellAnchor>
  <xdr:twoCellAnchor editAs="oneCell">
    <xdr:from>
      <xdr:col>5</xdr:col>
      <xdr:colOff>1241778</xdr:colOff>
      <xdr:row>258</xdr:row>
      <xdr:rowOff>42333</xdr:rowOff>
    </xdr:from>
    <xdr:to>
      <xdr:col>9</xdr:col>
      <xdr:colOff>479778</xdr:colOff>
      <xdr:row>259</xdr:row>
      <xdr:rowOff>143349</xdr:rowOff>
    </xdr:to>
    <xdr:pic>
      <xdr:nvPicPr>
        <xdr:cNvPr id="205" name="Picture 204"/>
        <xdr:cNvPicPr>
          <a:picLocks noChangeAspect="1"/>
        </xdr:cNvPicPr>
      </xdr:nvPicPr>
      <xdr:blipFill>
        <a:blip xmlns:r="http://schemas.openxmlformats.org/officeDocument/2006/relationships" r:embed="rId52"/>
        <a:stretch>
          <a:fillRect/>
        </a:stretch>
      </xdr:blipFill>
      <xdr:spPr>
        <a:xfrm>
          <a:off x="10449278" y="51632555"/>
          <a:ext cx="4332111" cy="298572"/>
        </a:xfrm>
        <a:prstGeom prst="rect">
          <a:avLst/>
        </a:prstGeom>
        <a:ln>
          <a:solidFill>
            <a:srgbClr val="7030A0"/>
          </a:solidFill>
        </a:ln>
      </xdr:spPr>
    </xdr:pic>
    <xdr:clientData/>
  </xdr:twoCellAnchor>
  <xdr:twoCellAnchor editAs="oneCell">
    <xdr:from>
      <xdr:col>6</xdr:col>
      <xdr:colOff>7055</xdr:colOff>
      <xdr:row>40</xdr:row>
      <xdr:rowOff>85176</xdr:rowOff>
    </xdr:from>
    <xdr:to>
      <xdr:col>9</xdr:col>
      <xdr:colOff>32898</xdr:colOff>
      <xdr:row>41</xdr:row>
      <xdr:rowOff>173363</xdr:rowOff>
    </xdr:to>
    <xdr:pic>
      <xdr:nvPicPr>
        <xdr:cNvPr id="206" name="Picture 205"/>
        <xdr:cNvPicPr>
          <a:picLocks noChangeAspect="1"/>
        </xdr:cNvPicPr>
      </xdr:nvPicPr>
      <xdr:blipFill>
        <a:blip xmlns:r="http://schemas.openxmlformats.org/officeDocument/2006/relationships" r:embed="rId55"/>
        <a:stretch>
          <a:fillRect/>
        </a:stretch>
      </xdr:blipFill>
      <xdr:spPr>
        <a:xfrm>
          <a:off x="10519833" y="8184954"/>
          <a:ext cx="3814676" cy="285742"/>
        </a:xfrm>
        <a:prstGeom prst="rect">
          <a:avLst/>
        </a:prstGeom>
        <a:ln>
          <a:solidFill>
            <a:srgbClr val="7030A0"/>
          </a:solidFill>
        </a:ln>
      </xdr:spPr>
    </xdr:pic>
    <xdr:clientData/>
  </xdr:twoCellAnchor>
  <xdr:twoCellAnchor editAs="oneCell">
    <xdr:from>
      <xdr:col>6</xdr:col>
      <xdr:colOff>0</xdr:colOff>
      <xdr:row>41</xdr:row>
      <xdr:rowOff>169468</xdr:rowOff>
    </xdr:from>
    <xdr:to>
      <xdr:col>9</xdr:col>
      <xdr:colOff>102503</xdr:colOff>
      <xdr:row>42</xdr:row>
      <xdr:rowOff>149093</xdr:rowOff>
    </xdr:to>
    <xdr:pic>
      <xdr:nvPicPr>
        <xdr:cNvPr id="207" name="Picture 206"/>
        <xdr:cNvPicPr>
          <a:picLocks noChangeAspect="1"/>
        </xdr:cNvPicPr>
      </xdr:nvPicPr>
      <xdr:blipFill>
        <a:blip xmlns:r="http://schemas.openxmlformats.org/officeDocument/2006/relationships" r:embed="rId56"/>
        <a:stretch>
          <a:fillRect/>
        </a:stretch>
      </xdr:blipFill>
      <xdr:spPr>
        <a:xfrm>
          <a:off x="10512778" y="8466801"/>
          <a:ext cx="3891336" cy="177181"/>
        </a:xfrm>
        <a:prstGeom prst="rect">
          <a:avLst/>
        </a:prstGeom>
        <a:ln>
          <a:solidFill>
            <a:srgbClr val="7030A0"/>
          </a:solidFill>
        </a:ln>
      </xdr:spPr>
    </xdr:pic>
    <xdr:clientData/>
  </xdr:twoCellAnchor>
  <xdr:twoCellAnchor editAs="oneCell">
    <xdr:from>
      <xdr:col>6</xdr:col>
      <xdr:colOff>32455</xdr:colOff>
      <xdr:row>31</xdr:row>
      <xdr:rowOff>0</xdr:rowOff>
    </xdr:from>
    <xdr:to>
      <xdr:col>9</xdr:col>
      <xdr:colOff>313346</xdr:colOff>
      <xdr:row>34</xdr:row>
      <xdr:rowOff>33897</xdr:rowOff>
    </xdr:to>
    <xdr:pic>
      <xdr:nvPicPr>
        <xdr:cNvPr id="208" name="Picture 207"/>
        <xdr:cNvPicPr>
          <a:picLocks noChangeAspect="1"/>
        </xdr:cNvPicPr>
      </xdr:nvPicPr>
      <xdr:blipFill>
        <a:blip xmlns:r="http://schemas.openxmlformats.org/officeDocument/2006/relationships" r:embed="rId57"/>
        <a:stretch>
          <a:fillRect/>
        </a:stretch>
      </xdr:blipFill>
      <xdr:spPr>
        <a:xfrm>
          <a:off x="10545233" y="6138333"/>
          <a:ext cx="4069724" cy="795897"/>
        </a:xfrm>
        <a:prstGeom prst="rect">
          <a:avLst/>
        </a:prstGeom>
        <a:ln>
          <a:solidFill>
            <a:srgbClr val="7030A0"/>
          </a:solidFill>
        </a:ln>
      </xdr:spPr>
    </xdr:pic>
    <xdr:clientData/>
  </xdr:twoCellAnchor>
  <xdr:twoCellAnchor editAs="oneCell">
    <xdr:from>
      <xdr:col>6</xdr:col>
      <xdr:colOff>69553</xdr:colOff>
      <xdr:row>37</xdr:row>
      <xdr:rowOff>148741</xdr:rowOff>
    </xdr:from>
    <xdr:to>
      <xdr:col>7</xdr:col>
      <xdr:colOff>1180291</xdr:colOff>
      <xdr:row>40</xdr:row>
      <xdr:rowOff>15039</xdr:rowOff>
    </xdr:to>
    <xdr:pic>
      <xdr:nvPicPr>
        <xdr:cNvPr id="209" name="Picture 208"/>
        <xdr:cNvPicPr>
          <a:picLocks noChangeAspect="1"/>
        </xdr:cNvPicPr>
      </xdr:nvPicPr>
      <xdr:blipFill>
        <a:blip xmlns:r="http://schemas.openxmlformats.org/officeDocument/2006/relationships" r:embed="rId58"/>
        <a:stretch>
          <a:fillRect/>
        </a:stretch>
      </xdr:blipFill>
      <xdr:spPr>
        <a:xfrm>
          <a:off x="10582331" y="7655852"/>
          <a:ext cx="2662960" cy="458965"/>
        </a:xfrm>
        <a:prstGeom prst="rect">
          <a:avLst/>
        </a:prstGeom>
        <a:ln>
          <a:solidFill>
            <a:srgbClr val="7030A0"/>
          </a:solidFill>
        </a:ln>
      </xdr:spPr>
    </xdr:pic>
    <xdr:clientData/>
  </xdr:twoCellAnchor>
  <xdr:twoCellAnchor editAs="oneCell">
    <xdr:from>
      <xdr:col>6</xdr:col>
      <xdr:colOff>98979</xdr:colOff>
      <xdr:row>34</xdr:row>
      <xdr:rowOff>122636</xdr:rowOff>
    </xdr:from>
    <xdr:to>
      <xdr:col>8</xdr:col>
      <xdr:colOff>786380</xdr:colOff>
      <xdr:row>37</xdr:row>
      <xdr:rowOff>72793</xdr:rowOff>
    </xdr:to>
    <xdr:pic>
      <xdr:nvPicPr>
        <xdr:cNvPr id="210" name="Picture 209"/>
        <xdr:cNvPicPr>
          <a:picLocks noChangeAspect="1"/>
        </xdr:cNvPicPr>
      </xdr:nvPicPr>
      <xdr:blipFill>
        <a:blip xmlns:r="http://schemas.openxmlformats.org/officeDocument/2006/relationships" r:embed="rId59"/>
        <a:stretch>
          <a:fillRect/>
        </a:stretch>
      </xdr:blipFill>
      <xdr:spPr>
        <a:xfrm>
          <a:off x="10611757" y="7037080"/>
          <a:ext cx="3636623" cy="542824"/>
        </a:xfrm>
        <a:prstGeom prst="rect">
          <a:avLst/>
        </a:prstGeom>
        <a:ln>
          <a:solidFill>
            <a:srgbClr val="7030A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F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10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11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12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7"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13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14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16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17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18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19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1B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696450" y="262763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23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24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25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26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27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169</xdr:row>
      <xdr:rowOff>0</xdr:rowOff>
    </xdr:from>
    <xdr:ext cx="260584" cy="182229"/>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28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2A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2B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2C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2D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F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013950" y="297084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294</xdr:row>
      <xdr:rowOff>31750</xdr:rowOff>
    </xdr:from>
    <xdr:ext cx="1117600" cy="218989"/>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
        <a:stretch>
          <a:fillRect/>
        </a:stretch>
      </xdr:blipFill>
      <xdr:spPr>
        <a:xfrm>
          <a:off x="3375025" y="55857775"/>
          <a:ext cx="1117600" cy="218989"/>
        </a:xfrm>
        <a:prstGeom prst="rect">
          <a:avLst/>
        </a:prstGeom>
      </xdr:spPr>
    </xdr:pic>
    <xdr:clientData/>
  </xdr:oneCellAnchor>
  <xdr:oneCellAnchor>
    <xdr:from>
      <xdr:col>3</xdr:col>
      <xdr:colOff>631825</xdr:colOff>
      <xdr:row>294</xdr:row>
      <xdr:rowOff>24680</xdr:rowOff>
    </xdr:from>
    <xdr:ext cx="1066800" cy="213360"/>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2"/>
        <a:stretch>
          <a:fillRect/>
        </a:stretch>
      </xdr:blipFill>
      <xdr:spPr>
        <a:xfrm>
          <a:off x="5975350" y="55850705"/>
          <a:ext cx="1066800" cy="213360"/>
        </a:xfrm>
        <a:prstGeom prst="rect">
          <a:avLst/>
        </a:prstGeom>
      </xdr:spPr>
    </xdr:pic>
    <xdr:clientData/>
  </xdr:oneCellAnchor>
  <xdr:oneCellAnchor>
    <xdr:from>
      <xdr:col>5</xdr:col>
      <xdr:colOff>854075</xdr:colOff>
      <xdr:row>294</xdr:row>
      <xdr:rowOff>31665</xdr:rowOff>
    </xdr:from>
    <xdr:ext cx="838200" cy="213504"/>
    <xdr:pic>
      <xdr:nvPicPr>
        <xdr:cNvPr id="40" name="Picture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3"/>
        <a:stretch>
          <a:fillRect/>
        </a:stretch>
      </xdr:blipFill>
      <xdr:spPr>
        <a:xfrm>
          <a:off x="8940800" y="55857690"/>
          <a:ext cx="838200" cy="213504"/>
        </a:xfrm>
        <a:prstGeom prst="rect">
          <a:avLst/>
        </a:prstGeom>
      </xdr:spPr>
    </xdr:pic>
    <xdr:clientData/>
  </xdr:oneCellAnchor>
  <xdr:oneCellAnchor>
    <xdr:from>
      <xdr:col>7</xdr:col>
      <xdr:colOff>666750</xdr:colOff>
      <xdr:row>294</xdr:row>
      <xdr:rowOff>34840</xdr:rowOff>
    </xdr:from>
    <xdr:ext cx="1102632" cy="215900"/>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4"/>
        <a:stretch>
          <a:fillRect/>
        </a:stretch>
      </xdr:blipFill>
      <xdr:spPr>
        <a:xfrm>
          <a:off x="11610975" y="55860865"/>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39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3A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3C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3E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F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40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50" name="TextBox 49">
              <a:extLst>
                <a:ext uri="{FF2B5EF4-FFF2-40B4-BE49-F238E27FC236}">
                  <a16:creationId xmlns:a16="http://schemas.microsoft.com/office/drawing/2014/main" id="{00000000-0008-0000-0100-000041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42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43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100-000044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45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48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46</xdr:row>
      <xdr:rowOff>6062</xdr:rowOff>
    </xdr:from>
    <xdr:ext cx="181716"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4B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4C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4E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4F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50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51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52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53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54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55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56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57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58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59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5A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5B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73" name="TextBox 72">
              <a:extLst>
                <a:ext uri="{FF2B5EF4-FFF2-40B4-BE49-F238E27FC236}">
                  <a16:creationId xmlns:a16="http://schemas.microsoft.com/office/drawing/2014/main" id="{00000000-0008-0000-0100-00005C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5D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100-00005E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5F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60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61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62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63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64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65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66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67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68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107</xdr:row>
      <xdr:rowOff>8659</xdr:rowOff>
    </xdr:from>
    <xdr:ext cx="1262782" cy="167354"/>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69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6A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6B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6C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8660</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6D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090042" cy="16735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6E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6F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70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71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72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73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147704" y="2097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75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7D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7E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7F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328</xdr:row>
      <xdr:rowOff>57150</xdr:rowOff>
    </xdr:from>
    <xdr:to>
      <xdr:col>7</xdr:col>
      <xdr:colOff>1284126</xdr:colOff>
      <xdr:row>346</xdr:row>
      <xdr:rowOff>104320</xdr:rowOff>
    </xdr:to>
    <xdr:pic>
      <xdr:nvPicPr>
        <xdr:cNvPr id="119" name="Picture 118">
          <a:extLst>
            <a:ext uri="{FF2B5EF4-FFF2-40B4-BE49-F238E27FC236}">
              <a16:creationId xmlns:a16="http://schemas.microsoft.com/office/drawing/2014/main" id="{00000000-0008-0000-0100-000077000000}"/>
            </a:ext>
          </a:extLst>
        </xdr:cNvPr>
        <xdr:cNvPicPr>
          <a:picLocks noChangeAspect="1"/>
        </xdr:cNvPicPr>
      </xdr:nvPicPr>
      <xdr:blipFill>
        <a:blip xmlns:r="http://schemas.openxmlformats.org/officeDocument/2006/relationships" r:embed="rId5"/>
        <a:stretch>
          <a:fillRect/>
        </a:stretch>
      </xdr:blipFill>
      <xdr:spPr>
        <a:xfrm>
          <a:off x="6705600" y="62845950"/>
          <a:ext cx="5523810" cy="3647620"/>
        </a:xfrm>
        <a:prstGeom prst="rect">
          <a:avLst/>
        </a:prstGeom>
      </xdr:spPr>
    </xdr:pic>
    <xdr:clientData/>
  </xdr:twoCellAnchor>
  <xdr:twoCellAnchor editAs="oneCell">
    <xdr:from>
      <xdr:col>0</xdr:col>
      <xdr:colOff>9525</xdr:colOff>
      <xdr:row>328</xdr:row>
      <xdr:rowOff>180975</xdr:rowOff>
    </xdr:from>
    <xdr:to>
      <xdr:col>3</xdr:col>
      <xdr:colOff>833166</xdr:colOff>
      <xdr:row>347</xdr:row>
      <xdr:rowOff>75739</xdr:rowOff>
    </xdr:to>
    <xdr:pic>
      <xdr:nvPicPr>
        <xdr:cNvPr id="120" name="Picture 119">
          <a:extLst>
            <a:ext uri="{FF2B5EF4-FFF2-40B4-BE49-F238E27FC236}">
              <a16:creationId xmlns:a16="http://schemas.microsoft.com/office/drawing/2014/main" id="{00000000-0008-0000-0100-000078000000}"/>
            </a:ext>
          </a:extLst>
        </xdr:cNvPr>
        <xdr:cNvPicPr>
          <a:picLocks noChangeAspect="1"/>
        </xdr:cNvPicPr>
      </xdr:nvPicPr>
      <xdr:blipFill>
        <a:blip xmlns:r="http://schemas.openxmlformats.org/officeDocument/2006/relationships" r:embed="rId6"/>
        <a:stretch>
          <a:fillRect/>
        </a:stretch>
      </xdr:blipFill>
      <xdr:spPr>
        <a:xfrm>
          <a:off x="9525" y="62969775"/>
          <a:ext cx="6410583" cy="3695238"/>
        </a:xfrm>
        <a:prstGeom prst="rect">
          <a:avLst/>
        </a:prstGeom>
      </xdr:spPr>
    </xdr:pic>
    <xdr:clientData/>
  </xdr:twoCellAnchor>
  <xdr:twoCellAnchor editAs="oneCell">
    <xdr:from>
      <xdr:col>0</xdr:col>
      <xdr:colOff>84272</xdr:colOff>
      <xdr:row>383</xdr:row>
      <xdr:rowOff>152399</xdr:rowOff>
    </xdr:from>
    <xdr:to>
      <xdr:col>4</xdr:col>
      <xdr:colOff>1218688</xdr:colOff>
      <xdr:row>411</xdr:row>
      <xdr:rowOff>115412</xdr:rowOff>
    </xdr:to>
    <xdr:pic>
      <xdr:nvPicPr>
        <xdr:cNvPr id="121" name="Picture 120" descr="Screen Clipping">
          <a:extLst>
            <a:ext uri="{FF2B5EF4-FFF2-40B4-BE49-F238E27FC236}">
              <a16:creationId xmlns:a16="http://schemas.microsoft.com/office/drawing/2014/main" id="{00000000-0008-0000-0100-00007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272" y="73942574"/>
          <a:ext cx="8014641" cy="5563715"/>
        </a:xfrm>
        <a:prstGeom prst="rect">
          <a:avLst/>
        </a:prstGeom>
      </xdr:spPr>
    </xdr:pic>
    <xdr:clientData/>
  </xdr:twoCellAnchor>
  <xdr:twoCellAnchor editAs="oneCell">
    <xdr:from>
      <xdr:col>5</xdr:col>
      <xdr:colOff>770903</xdr:colOff>
      <xdr:row>382</xdr:row>
      <xdr:rowOff>19050</xdr:rowOff>
    </xdr:from>
    <xdr:to>
      <xdr:col>16</xdr:col>
      <xdr:colOff>619654</xdr:colOff>
      <xdr:row>414</xdr:row>
      <xdr:rowOff>115317</xdr:rowOff>
    </xdr:to>
    <xdr:pic>
      <xdr:nvPicPr>
        <xdr:cNvPr id="122" name="Picture 121" descr="Screen Clipping">
          <a:extLst>
            <a:ext uri="{FF2B5EF4-FFF2-40B4-BE49-F238E27FC236}">
              <a16:creationId xmlns:a16="http://schemas.microsoft.com/office/drawing/2014/main" id="{00000000-0008-0000-0100-00007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857628" y="73609200"/>
          <a:ext cx="10127284" cy="6497068"/>
        </a:xfrm>
        <a:prstGeom prst="rect">
          <a:avLst/>
        </a:prstGeom>
      </xdr:spPr>
    </xdr:pic>
    <xdr:clientData/>
  </xdr:twoCellAnchor>
  <xdr:twoCellAnchor editAs="oneCell">
    <xdr:from>
      <xdr:col>0</xdr:col>
      <xdr:colOff>228600</xdr:colOff>
      <xdr:row>351</xdr:row>
      <xdr:rowOff>126954</xdr:rowOff>
    </xdr:from>
    <xdr:to>
      <xdr:col>5</xdr:col>
      <xdr:colOff>473675</xdr:colOff>
      <xdr:row>378</xdr:row>
      <xdr:rowOff>10549</xdr:rowOff>
    </xdr:to>
    <xdr:pic>
      <xdr:nvPicPr>
        <xdr:cNvPr id="123" name="Picture 122" descr="Screen Clipping">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28600" y="67516329"/>
          <a:ext cx="8575217" cy="5284270"/>
        </a:xfrm>
        <a:prstGeom prst="rect">
          <a:avLst/>
        </a:prstGeom>
      </xdr:spPr>
    </xdr:pic>
    <xdr:clientData/>
  </xdr:twoCellAnchor>
  <xdr:twoCellAnchor editAs="oneCell">
    <xdr:from>
      <xdr:col>6</xdr:col>
      <xdr:colOff>0</xdr:colOff>
      <xdr:row>352</xdr:row>
      <xdr:rowOff>0</xdr:rowOff>
    </xdr:from>
    <xdr:to>
      <xdr:col>18</xdr:col>
      <xdr:colOff>772061</xdr:colOff>
      <xdr:row>372</xdr:row>
      <xdr:rowOff>152979</xdr:rowOff>
    </xdr:to>
    <xdr:pic>
      <xdr:nvPicPr>
        <xdr:cNvPr id="124" name="Picture 123" descr="Screen Clipping">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391650" y="67589400"/>
          <a:ext cx="11422070" cy="4153480"/>
        </a:xfrm>
        <a:prstGeom prst="rect">
          <a:avLst/>
        </a:prstGeom>
      </xdr:spPr>
    </xdr:pic>
    <xdr:clientData/>
  </xdr:twoCellAnchor>
  <xdr:oneCellAnchor>
    <xdr:from>
      <xdr:col>2</xdr:col>
      <xdr:colOff>421349</xdr:colOff>
      <xdr:row>36</xdr:row>
      <xdr:rowOff>4629</xdr:rowOff>
    </xdr:from>
    <xdr:ext cx="418063" cy="195438"/>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𝑐</m:t>
                        </m:r>
                      </m:sub>
                    </m:sSub>
                  </m:oMath>
                </m:oMathPara>
              </a14:m>
              <a:endParaRPr lang="en-GB" sz="1100"/>
            </a:p>
          </xdr:txBody>
        </xdr:sp>
      </mc:Choice>
      <mc:Fallback xmlns="">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𝑝_𝑠,𝑐)</a:t>
              </a:r>
              <a:endParaRPr lang="en-GB" sz="1100"/>
            </a:p>
          </xdr:txBody>
        </xdr:sp>
      </mc:Fallback>
    </mc:AlternateContent>
    <xdr:clientData/>
  </xdr:oneCellAnchor>
  <xdr:oneCellAnchor>
    <xdr:from>
      <xdr:col>2</xdr:col>
      <xdr:colOff>421349</xdr:colOff>
      <xdr:row>35</xdr:row>
      <xdr:rowOff>4629</xdr:rowOff>
    </xdr:from>
    <xdr:ext cx="406971" cy="195438"/>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𝐶</m:t>
                            </m:r>
                          </m:sub>
                        </m:sSub>
                      </m:sub>
                    </m:sSub>
                  </m:oMath>
                </m:oMathPara>
              </a14:m>
              <a:endParaRPr lang="en-GB" sz="1100"/>
            </a:p>
          </xdr:txBody>
        </xdr:sp>
      </mc:Choice>
      <mc:Fallback xmlns="">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𝑝_(𝑠,𝐶)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A8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A9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330347" cy="195438"/>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33</xdr:row>
      <xdr:rowOff>4629</xdr:rowOff>
    </xdr:from>
    <xdr:ext cx="232821" cy="191078"/>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twoCellAnchor editAs="oneCell">
    <xdr:from>
      <xdr:col>7</xdr:col>
      <xdr:colOff>739487</xdr:colOff>
      <xdr:row>81</xdr:row>
      <xdr:rowOff>106507</xdr:rowOff>
    </xdr:from>
    <xdr:to>
      <xdr:col>11</xdr:col>
      <xdr:colOff>126881</xdr:colOff>
      <xdr:row>84</xdr:row>
      <xdr:rowOff>29353</xdr:rowOff>
    </xdr:to>
    <xdr:pic>
      <xdr:nvPicPr>
        <xdr:cNvPr id="133" name="Picture 132">
          <a:extLst>
            <a:ext uri="{FF2B5EF4-FFF2-40B4-BE49-F238E27FC236}">
              <a16:creationId xmlns:a16="http://schemas.microsoft.com/office/drawing/2014/main" id="{00000000-0008-0000-0100-000085000000}"/>
            </a:ext>
          </a:extLst>
        </xdr:cNvPr>
        <xdr:cNvPicPr>
          <a:picLocks noChangeAspect="1"/>
        </xdr:cNvPicPr>
      </xdr:nvPicPr>
      <xdr:blipFill>
        <a:blip xmlns:r="http://schemas.openxmlformats.org/officeDocument/2006/relationships" r:embed="rId11"/>
        <a:stretch>
          <a:fillRect/>
        </a:stretch>
      </xdr:blipFill>
      <xdr:spPr>
        <a:xfrm>
          <a:off x="11683712" y="14479732"/>
          <a:ext cx="3093677" cy="522921"/>
        </a:xfrm>
        <a:prstGeom prst="rect">
          <a:avLst/>
        </a:prstGeom>
        <a:ln>
          <a:solidFill>
            <a:srgbClr val="00B050"/>
          </a:solidFill>
        </a:ln>
      </xdr:spPr>
    </xdr:pic>
    <xdr:clientData/>
  </xdr:twoCellAnchor>
  <xdr:oneCellAnchor>
    <xdr:from>
      <xdr:col>2</xdr:col>
      <xdr:colOff>477404</xdr:colOff>
      <xdr:row>147</xdr:row>
      <xdr:rowOff>6061</xdr:rowOff>
    </xdr:from>
    <xdr:ext cx="170175" cy="181140"/>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C0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164</xdr:row>
      <xdr:rowOff>17967</xdr:rowOff>
    </xdr:from>
    <xdr:ext cx="254237" cy="182229"/>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C5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410308</xdr:colOff>
      <xdr:row>150</xdr:row>
      <xdr:rowOff>92809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2524642" y="27843041"/>
          <a:ext cx="3173290" cy="434242"/>
        </a:xfrm>
        <a:prstGeom prst="rect">
          <a:avLst/>
        </a:prstGeom>
      </xdr:spPr>
    </xdr:pic>
    <xdr:clientData/>
  </xdr:twoCellAnchor>
  <xdr:oneCellAnchor>
    <xdr:from>
      <xdr:col>2</xdr:col>
      <xdr:colOff>71004</xdr:colOff>
      <xdr:row>170</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03133" cy="181140"/>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CB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D6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5</xdr:col>
      <xdr:colOff>1206498</xdr:colOff>
      <xdr:row>257</xdr:row>
      <xdr:rowOff>108810</xdr:rowOff>
    </xdr:from>
    <xdr:to>
      <xdr:col>9</xdr:col>
      <xdr:colOff>515857</xdr:colOff>
      <xdr:row>259</xdr:row>
      <xdr:rowOff>52869</xdr:rowOff>
    </xdr:to>
    <xdr:pic>
      <xdr:nvPicPr>
        <xdr:cNvPr id="170" name="Picture 169">
          <a:extLst>
            <a:ext uri="{FF2B5EF4-FFF2-40B4-BE49-F238E27FC236}">
              <a16:creationId xmlns:a16="http://schemas.microsoft.com/office/drawing/2014/main" id="{00000000-0008-0000-0100-0000AA000000}"/>
            </a:ext>
          </a:extLst>
        </xdr:cNvPr>
        <xdr:cNvPicPr>
          <a:picLocks noChangeAspect="1"/>
        </xdr:cNvPicPr>
      </xdr:nvPicPr>
      <xdr:blipFill>
        <a:blip xmlns:r="http://schemas.openxmlformats.org/officeDocument/2006/relationships" r:embed="rId13"/>
        <a:stretch>
          <a:fillRect/>
        </a:stretch>
      </xdr:blipFill>
      <xdr:spPr>
        <a:xfrm>
          <a:off x="9293223" y="48524385"/>
          <a:ext cx="4434866" cy="344109"/>
        </a:xfrm>
        <a:prstGeom prst="rect">
          <a:avLst/>
        </a:prstGeom>
        <a:ln>
          <a:solidFill>
            <a:schemeClr val="accent1"/>
          </a:solidFill>
        </a:ln>
      </xdr:spPr>
    </xdr:pic>
    <xdr:clientData/>
  </xdr:two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6</xdr:col>
      <xdr:colOff>1524000</xdr:colOff>
      <xdr:row>87</xdr:row>
      <xdr:rowOff>57150</xdr:rowOff>
    </xdr:from>
    <xdr:to>
      <xdr:col>11</xdr:col>
      <xdr:colOff>494600</xdr:colOff>
      <xdr:row>90</xdr:row>
      <xdr:rowOff>123646</xdr:rowOff>
    </xdr:to>
    <xdr:pic>
      <xdr:nvPicPr>
        <xdr:cNvPr id="176" name="Picture 175">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4"/>
        <a:stretch>
          <a:fillRect/>
        </a:stretch>
      </xdr:blipFill>
      <xdr:spPr>
        <a:xfrm>
          <a:off x="10915650" y="15630525"/>
          <a:ext cx="4229458" cy="666571"/>
        </a:xfrm>
        <a:prstGeom prst="rect">
          <a:avLst/>
        </a:prstGeom>
        <a:ln>
          <a:solidFill>
            <a:srgbClr val="7030A0"/>
          </a:solidFill>
        </a:ln>
      </xdr:spPr>
    </xdr:pic>
    <xdr:clientData/>
  </xdr:twoCellAnchor>
  <xdr:twoCellAnchor editAs="oneCell">
    <xdr:from>
      <xdr:col>7</xdr:col>
      <xdr:colOff>23087</xdr:colOff>
      <xdr:row>91</xdr:row>
      <xdr:rowOff>20103</xdr:rowOff>
    </xdr:from>
    <xdr:to>
      <xdr:col>10</xdr:col>
      <xdr:colOff>26593</xdr:colOff>
      <xdr:row>94</xdr:row>
      <xdr:rowOff>10891</xdr:rowOff>
    </xdr:to>
    <xdr:pic>
      <xdr:nvPicPr>
        <xdr:cNvPr id="177" name="Picture 176">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5"/>
        <a:stretch>
          <a:fillRect/>
        </a:stretch>
      </xdr:blipFill>
      <xdr:spPr>
        <a:xfrm>
          <a:off x="10967312" y="16393578"/>
          <a:ext cx="3109714" cy="590863"/>
        </a:xfrm>
        <a:prstGeom prst="rect">
          <a:avLst/>
        </a:prstGeom>
        <a:ln>
          <a:solidFill>
            <a:srgbClr val="7030A0"/>
          </a:solidFill>
        </a:ln>
      </xdr:spPr>
    </xdr:pic>
    <xdr:clientData/>
  </xdr:twoCellAnchor>
  <xdr:twoCellAnchor editAs="oneCell">
    <xdr:from>
      <xdr:col>7</xdr:col>
      <xdr:colOff>252844</xdr:colOff>
      <xdr:row>101</xdr:row>
      <xdr:rowOff>85725</xdr:rowOff>
    </xdr:from>
    <xdr:to>
      <xdr:col>11</xdr:col>
      <xdr:colOff>79368</xdr:colOff>
      <xdr:row>103</xdr:row>
      <xdr:rowOff>162155</xdr:rowOff>
    </xdr:to>
    <xdr:pic>
      <xdr:nvPicPr>
        <xdr:cNvPr id="178" name="Picture 177">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6"/>
        <a:stretch>
          <a:fillRect/>
        </a:stretch>
      </xdr:blipFill>
      <xdr:spPr>
        <a:xfrm>
          <a:off x="11197069" y="18459450"/>
          <a:ext cx="3532807" cy="476479"/>
        </a:xfrm>
        <a:prstGeom prst="rect">
          <a:avLst/>
        </a:prstGeom>
        <a:ln>
          <a:solidFill>
            <a:srgbClr val="7030A0"/>
          </a:solidFill>
        </a:ln>
      </xdr:spPr>
    </xdr:pic>
    <xdr:clientData/>
  </xdr:twoCellAnchor>
  <xdr:twoCellAnchor editAs="oneCell">
    <xdr:from>
      <xdr:col>7</xdr:col>
      <xdr:colOff>289213</xdr:colOff>
      <xdr:row>104</xdr:row>
      <xdr:rowOff>145829</xdr:rowOff>
    </xdr:from>
    <xdr:to>
      <xdr:col>9</xdr:col>
      <xdr:colOff>828613</xdr:colOff>
      <xdr:row>106</xdr:row>
      <xdr:rowOff>22836</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7"/>
        <a:stretch>
          <a:fillRect/>
        </a:stretch>
      </xdr:blipFill>
      <xdr:spPr>
        <a:xfrm>
          <a:off x="11233438" y="19119629"/>
          <a:ext cx="2809524" cy="277056"/>
        </a:xfrm>
        <a:prstGeom prst="rect">
          <a:avLst/>
        </a:prstGeom>
        <a:ln>
          <a:solidFill>
            <a:srgbClr val="7030A0"/>
          </a:solidFill>
        </a:ln>
      </xdr:spPr>
    </xdr:pic>
    <xdr:clientData/>
  </xdr:twoCellAnchor>
  <xdr:twoCellAnchor editAs="oneCell">
    <xdr:from>
      <xdr:col>6</xdr:col>
      <xdr:colOff>1283706</xdr:colOff>
      <xdr:row>107</xdr:row>
      <xdr:rowOff>59239</xdr:rowOff>
    </xdr:from>
    <xdr:to>
      <xdr:col>8</xdr:col>
      <xdr:colOff>548364</xdr:colOff>
      <xdr:row>108</xdr:row>
      <xdr:rowOff>15080</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8"/>
        <a:stretch>
          <a:fillRect/>
        </a:stretch>
      </xdr:blipFill>
      <xdr:spPr>
        <a:xfrm>
          <a:off x="10675356" y="19633114"/>
          <a:ext cx="2247042" cy="155864"/>
        </a:xfrm>
        <a:prstGeom prst="rect">
          <a:avLst/>
        </a:prstGeom>
        <a:ln>
          <a:solidFill>
            <a:srgbClr val="7030A0"/>
          </a:solidFill>
        </a:ln>
      </xdr:spPr>
    </xdr:pic>
    <xdr:clientData/>
  </xdr:twoCellAnchor>
  <xdr:twoCellAnchor editAs="oneCell">
    <xdr:from>
      <xdr:col>9</xdr:col>
      <xdr:colOff>413039</xdr:colOff>
      <xdr:row>105</xdr:row>
      <xdr:rowOff>141499</xdr:rowOff>
    </xdr:from>
    <xdr:to>
      <xdr:col>13</xdr:col>
      <xdr:colOff>755071</xdr:colOff>
      <xdr:row>107</xdr:row>
      <xdr:rowOff>65182</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9"/>
        <a:stretch>
          <a:fillRect/>
        </a:stretch>
      </xdr:blipFill>
      <xdr:spPr>
        <a:xfrm>
          <a:off x="13424189" y="19315324"/>
          <a:ext cx="3218584" cy="323735"/>
        </a:xfrm>
        <a:prstGeom prst="rect">
          <a:avLst/>
        </a:prstGeom>
        <a:ln>
          <a:solidFill>
            <a:srgbClr val="7030A0"/>
          </a:solidFill>
        </a:ln>
      </xdr:spPr>
    </xdr:pic>
    <xdr:clientData/>
  </xdr:twoCellAnchor>
  <xdr:twoCellAnchor editAs="oneCell">
    <xdr:from>
      <xdr:col>6</xdr:col>
      <xdr:colOff>933450</xdr:colOff>
      <xdr:row>114</xdr:row>
      <xdr:rowOff>180466</xdr:rowOff>
    </xdr:from>
    <xdr:to>
      <xdr:col>9</xdr:col>
      <xdr:colOff>333184</xdr:colOff>
      <xdr:row>116</xdr:row>
      <xdr:rowOff>105015</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19"/>
        <a:stretch>
          <a:fillRect/>
        </a:stretch>
      </xdr:blipFill>
      <xdr:spPr>
        <a:xfrm>
          <a:off x="10325100" y="21154516"/>
          <a:ext cx="3220316" cy="324601"/>
        </a:xfrm>
        <a:prstGeom prst="rect">
          <a:avLst/>
        </a:prstGeom>
        <a:ln>
          <a:solidFill>
            <a:srgbClr val="7030A0"/>
          </a:solidFill>
        </a:ln>
      </xdr:spPr>
    </xdr:pic>
    <xdr:clientData/>
  </xdr:twoCellAnchor>
  <xdr:twoCellAnchor editAs="oneCell">
    <xdr:from>
      <xdr:col>6</xdr:col>
      <xdr:colOff>950769</xdr:colOff>
      <xdr:row>113</xdr:row>
      <xdr:rowOff>94588</xdr:rowOff>
    </xdr:from>
    <xdr:to>
      <xdr:col>9</xdr:col>
      <xdr:colOff>512795</xdr:colOff>
      <xdr:row>114</xdr:row>
      <xdr:rowOff>155319</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0"/>
        <a:stretch>
          <a:fillRect/>
        </a:stretch>
      </xdr:blipFill>
      <xdr:spPr>
        <a:xfrm>
          <a:off x="10342419" y="20868613"/>
          <a:ext cx="3382608" cy="260754"/>
        </a:xfrm>
        <a:prstGeom prst="rect">
          <a:avLst/>
        </a:prstGeom>
        <a:ln>
          <a:solidFill>
            <a:srgbClr val="7030A0"/>
          </a:solidFill>
        </a:ln>
      </xdr:spPr>
    </xdr:pic>
    <xdr:clientData/>
  </xdr:twoCellAnchor>
  <xdr:twoCellAnchor editAs="oneCell">
    <xdr:from>
      <xdr:col>7</xdr:col>
      <xdr:colOff>629952</xdr:colOff>
      <xdr:row>112</xdr:row>
      <xdr:rowOff>81504</xdr:rowOff>
    </xdr:from>
    <xdr:to>
      <xdr:col>9</xdr:col>
      <xdr:colOff>541869</xdr:colOff>
      <xdr:row>113</xdr:row>
      <xdr:rowOff>100846</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1"/>
        <a:stretch>
          <a:fillRect/>
        </a:stretch>
      </xdr:blipFill>
      <xdr:spPr>
        <a:xfrm>
          <a:off x="11574177" y="20655504"/>
          <a:ext cx="2179924" cy="219368"/>
        </a:xfrm>
        <a:prstGeom prst="rect">
          <a:avLst/>
        </a:prstGeom>
        <a:ln>
          <a:solidFill>
            <a:srgbClr val="7030A0"/>
          </a:solidFill>
        </a:ln>
      </xdr:spPr>
    </xdr:pic>
    <xdr:clientData/>
  </xdr:twoCellAnchor>
  <xdr:twoCellAnchor editAs="oneCell">
    <xdr:from>
      <xdr:col>9</xdr:col>
      <xdr:colOff>87457</xdr:colOff>
      <xdr:row>109</xdr:row>
      <xdr:rowOff>84970</xdr:rowOff>
    </xdr:from>
    <xdr:to>
      <xdr:col>11</xdr:col>
      <xdr:colOff>531378</xdr:colOff>
      <xdr:row>111</xdr:row>
      <xdr:rowOff>169787</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22"/>
        <a:stretch>
          <a:fillRect/>
        </a:stretch>
      </xdr:blipFill>
      <xdr:spPr>
        <a:xfrm>
          <a:off x="13098607" y="20058895"/>
          <a:ext cx="1882197" cy="484866"/>
        </a:xfrm>
        <a:prstGeom prst="rect">
          <a:avLst/>
        </a:prstGeom>
        <a:ln>
          <a:solidFill>
            <a:srgbClr val="7030A0"/>
          </a:solidFill>
        </a:ln>
      </xdr:spPr>
    </xdr:pic>
    <xdr:clientData/>
  </xdr:twoCellAnchor>
  <xdr:twoCellAnchor editAs="oneCell">
    <xdr:from>
      <xdr:col>2</xdr:col>
      <xdr:colOff>0</xdr:colOff>
      <xdr:row>119</xdr:row>
      <xdr:rowOff>0</xdr:rowOff>
    </xdr:from>
    <xdr:to>
      <xdr:col>8</xdr:col>
      <xdr:colOff>433757</xdr:colOff>
      <xdr:row>139</xdr:row>
      <xdr:rowOff>22997</xdr:rowOff>
    </xdr:to>
    <xdr:pic>
      <xdr:nvPicPr>
        <xdr:cNvPr id="186" name="Picture 185">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23"/>
        <a:stretch>
          <a:fillRect/>
        </a:stretch>
      </xdr:blipFill>
      <xdr:spPr>
        <a:xfrm>
          <a:off x="4076700" y="21974175"/>
          <a:ext cx="8731092" cy="4023496"/>
        </a:xfrm>
        <a:prstGeom prst="rect">
          <a:avLst/>
        </a:prstGeom>
        <a:ln>
          <a:solidFill>
            <a:srgbClr val="7030A0"/>
          </a:solidFill>
        </a:ln>
      </xdr:spPr>
    </xdr:pic>
    <xdr:clientData/>
  </xdr:twoCellAnchor>
  <xdr:twoCellAnchor editAs="oneCell">
    <xdr:from>
      <xdr:col>3</xdr:col>
      <xdr:colOff>1133475</xdr:colOff>
      <xdr:row>143</xdr:row>
      <xdr:rowOff>38100</xdr:rowOff>
    </xdr:from>
    <xdr:to>
      <xdr:col>4</xdr:col>
      <xdr:colOff>201712</xdr:colOff>
      <xdr:row>153</xdr:row>
      <xdr:rowOff>84604</xdr:rowOff>
    </xdr:to>
    <xdr:pic>
      <xdr:nvPicPr>
        <xdr:cNvPr id="187" name="Picture 186">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4"/>
        <a:stretch>
          <a:fillRect/>
        </a:stretch>
      </xdr:blipFill>
      <xdr:spPr>
        <a:xfrm rot="16200000">
          <a:off x="5635441" y="27663959"/>
          <a:ext cx="2046755" cy="363637"/>
        </a:xfrm>
        <a:prstGeom prst="rect">
          <a:avLst/>
        </a:prstGeom>
      </xdr:spPr>
    </xdr:pic>
    <xdr:clientData/>
  </xdr:twoCellAnchor>
  <xdr:twoCellAnchor editAs="oneCell">
    <xdr:from>
      <xdr:col>4</xdr:col>
      <xdr:colOff>1327881</xdr:colOff>
      <xdr:row>143</xdr:row>
      <xdr:rowOff>108662</xdr:rowOff>
    </xdr:from>
    <xdr:to>
      <xdr:col>5</xdr:col>
      <xdr:colOff>281813</xdr:colOff>
      <xdr:row>153</xdr:row>
      <xdr:rowOff>69452</xdr:rowOff>
    </xdr:to>
    <xdr:pic>
      <xdr:nvPicPr>
        <xdr:cNvPr id="188" name="Picture 187">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5"/>
        <a:stretch>
          <a:fillRect/>
        </a:stretch>
      </xdr:blipFill>
      <xdr:spPr>
        <a:xfrm rot="16200000">
          <a:off x="7187151" y="27672617"/>
          <a:ext cx="1961041" cy="401732"/>
        </a:xfrm>
        <a:prstGeom prst="rect">
          <a:avLst/>
        </a:prstGeom>
      </xdr:spPr>
    </xdr:pic>
    <xdr:clientData/>
  </xdr:twoCellAnchor>
  <xdr:twoCellAnchor editAs="oneCell">
    <xdr:from>
      <xdr:col>5</xdr:col>
      <xdr:colOff>1224434</xdr:colOff>
      <xdr:row>144</xdr:row>
      <xdr:rowOff>186132</xdr:rowOff>
    </xdr:from>
    <xdr:to>
      <xdr:col>6</xdr:col>
      <xdr:colOff>297863</xdr:colOff>
      <xdr:row>152</xdr:row>
      <xdr:rowOff>59527</xdr:rowOff>
    </xdr:to>
    <xdr:pic>
      <xdr:nvPicPr>
        <xdr:cNvPr id="189" name="Picture 188">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6"/>
        <a:stretch>
          <a:fillRect/>
        </a:stretch>
      </xdr:blipFill>
      <xdr:spPr>
        <a:xfrm rot="16200000">
          <a:off x="8763539" y="27718077"/>
          <a:ext cx="1473594" cy="378354"/>
        </a:xfrm>
        <a:prstGeom prst="rect">
          <a:avLst/>
        </a:prstGeom>
      </xdr:spPr>
    </xdr:pic>
    <xdr:clientData/>
  </xdr:twoCellAnchor>
  <xdr:twoCellAnchor editAs="oneCell">
    <xdr:from>
      <xdr:col>6</xdr:col>
      <xdr:colOff>1389358</xdr:colOff>
      <xdr:row>143</xdr:row>
      <xdr:rowOff>64503</xdr:rowOff>
    </xdr:from>
    <xdr:to>
      <xdr:col>7</xdr:col>
      <xdr:colOff>248905</xdr:colOff>
      <xdr:row>153</xdr:row>
      <xdr:rowOff>53864</xdr:rowOff>
    </xdr:to>
    <xdr:pic>
      <xdr:nvPicPr>
        <xdr:cNvPr id="190" name="Picture 189">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7"/>
        <a:stretch>
          <a:fillRect/>
        </a:stretch>
      </xdr:blipFill>
      <xdr:spPr>
        <a:xfrm rot="16200000">
          <a:off x="9992263" y="27637548"/>
          <a:ext cx="1989612" cy="412122"/>
        </a:xfrm>
        <a:prstGeom prst="rect">
          <a:avLst/>
        </a:prstGeom>
      </xdr:spPr>
    </xdr:pic>
    <xdr:clientData/>
  </xdr:twoCellAnchor>
  <xdr:twoCellAnchor editAs="oneCell">
    <xdr:from>
      <xdr:col>4</xdr:col>
      <xdr:colOff>161925</xdr:colOff>
      <xdr:row>157</xdr:row>
      <xdr:rowOff>1552</xdr:rowOff>
    </xdr:from>
    <xdr:to>
      <xdr:col>4</xdr:col>
      <xdr:colOff>1302758</xdr:colOff>
      <xdr:row>158</xdr:row>
      <xdr:rowOff>384</xdr:rowOff>
    </xdr:to>
    <xdr:pic>
      <xdr:nvPicPr>
        <xdr:cNvPr id="191" name="Picture 190">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4"/>
        <a:stretch>
          <a:fillRect/>
        </a:stretch>
      </xdr:blipFill>
      <xdr:spPr>
        <a:xfrm>
          <a:off x="6800850" y="29595727"/>
          <a:ext cx="1140833" cy="203444"/>
        </a:xfrm>
        <a:prstGeom prst="rect">
          <a:avLst/>
        </a:prstGeom>
      </xdr:spPr>
    </xdr:pic>
    <xdr:clientData/>
  </xdr:twoCellAnchor>
  <xdr:twoCellAnchor editAs="oneCell">
    <xdr:from>
      <xdr:col>5</xdr:col>
      <xdr:colOff>98212</xdr:colOff>
      <xdr:row>156</xdr:row>
      <xdr:rowOff>175051</xdr:rowOff>
    </xdr:from>
    <xdr:to>
      <xdr:col>5</xdr:col>
      <xdr:colOff>1191067</xdr:colOff>
      <xdr:row>157</xdr:row>
      <xdr:rowOff>199796</xdr:rowOff>
    </xdr:to>
    <xdr:pic>
      <xdr:nvPicPr>
        <xdr:cNvPr id="192" name="Picture 191">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5"/>
        <a:stretch>
          <a:fillRect/>
        </a:stretch>
      </xdr:blipFill>
      <xdr:spPr>
        <a:xfrm>
          <a:off x="8184937" y="29569201"/>
          <a:ext cx="1092855" cy="224768"/>
        </a:xfrm>
        <a:prstGeom prst="rect">
          <a:avLst/>
        </a:prstGeom>
      </xdr:spPr>
    </xdr:pic>
    <xdr:clientData/>
  </xdr:twoCellAnchor>
  <xdr:twoCellAnchor editAs="oneCell">
    <xdr:from>
      <xdr:col>6</xdr:col>
      <xdr:colOff>351968</xdr:colOff>
      <xdr:row>156</xdr:row>
      <xdr:rowOff>175325</xdr:rowOff>
    </xdr:from>
    <xdr:to>
      <xdr:col>6</xdr:col>
      <xdr:colOff>1172943</xdr:colOff>
      <xdr:row>157</xdr:row>
      <xdr:rowOff>189408</xdr:rowOff>
    </xdr:to>
    <xdr:pic>
      <xdr:nvPicPr>
        <xdr:cNvPr id="193" name="Picture 192">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6"/>
        <a:stretch>
          <a:fillRect/>
        </a:stretch>
      </xdr:blipFill>
      <xdr:spPr>
        <a:xfrm>
          <a:off x="9743618" y="29569475"/>
          <a:ext cx="820975" cy="214106"/>
        </a:xfrm>
        <a:prstGeom prst="rect">
          <a:avLst/>
        </a:prstGeom>
      </xdr:spPr>
    </xdr:pic>
    <xdr:clientData/>
  </xdr:twoCellAnchor>
  <xdr:twoCellAnchor editAs="oneCell">
    <xdr:from>
      <xdr:col>7</xdr:col>
      <xdr:colOff>58835</xdr:colOff>
      <xdr:row>156</xdr:row>
      <xdr:rowOff>161925</xdr:rowOff>
    </xdr:from>
    <xdr:to>
      <xdr:col>7</xdr:col>
      <xdr:colOff>1167682</xdr:colOff>
      <xdr:row>157</xdr:row>
      <xdr:rowOff>192001</xdr:rowOff>
    </xdr:to>
    <xdr:pic>
      <xdr:nvPicPr>
        <xdr:cNvPr id="194" name="Picture 193">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7"/>
        <a:stretch>
          <a:fillRect/>
        </a:stretch>
      </xdr:blipFill>
      <xdr:spPr>
        <a:xfrm>
          <a:off x="11003060" y="29556075"/>
          <a:ext cx="1108847" cy="230099"/>
        </a:xfrm>
        <a:prstGeom prst="rect">
          <a:avLst/>
        </a:prstGeom>
      </xdr:spPr>
    </xdr:pic>
    <xdr:clientData/>
  </xdr:twoCellAnchor>
  <xdr:twoCellAnchor editAs="oneCell">
    <xdr:from>
      <xdr:col>0</xdr:col>
      <xdr:colOff>582757</xdr:colOff>
      <xdr:row>175</xdr:row>
      <xdr:rowOff>85725</xdr:rowOff>
    </xdr:from>
    <xdr:to>
      <xdr:col>2</xdr:col>
      <xdr:colOff>96021</xdr:colOff>
      <xdr:row>177</xdr:row>
      <xdr:rowOff>100467</xdr:rowOff>
    </xdr:to>
    <xdr:pic>
      <xdr:nvPicPr>
        <xdr:cNvPr id="195" name="Picture 194">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28"/>
        <a:stretch>
          <a:fillRect/>
        </a:stretch>
      </xdr:blipFill>
      <xdr:spPr>
        <a:xfrm>
          <a:off x="582757" y="33299400"/>
          <a:ext cx="3833380" cy="414791"/>
        </a:xfrm>
        <a:prstGeom prst="rect">
          <a:avLst/>
        </a:prstGeom>
        <a:solidFill>
          <a:srgbClr val="7030A0"/>
        </a:solidFill>
        <a:ln>
          <a:solidFill>
            <a:srgbClr val="7030A0"/>
          </a:solidFill>
        </a:ln>
      </xdr:spPr>
    </xdr:pic>
    <xdr:clientData/>
  </xdr:twoCellAnchor>
  <xdr:twoCellAnchor editAs="oneCell">
    <xdr:from>
      <xdr:col>0</xdr:col>
      <xdr:colOff>523875</xdr:colOff>
      <xdr:row>179</xdr:row>
      <xdr:rowOff>114879</xdr:rowOff>
    </xdr:from>
    <xdr:to>
      <xdr:col>2</xdr:col>
      <xdr:colOff>80434</xdr:colOff>
      <xdr:row>182</xdr:row>
      <xdr:rowOff>123636</xdr:rowOff>
    </xdr:to>
    <xdr:pic>
      <xdr:nvPicPr>
        <xdr:cNvPr id="196" name="Picture 195">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9"/>
        <a:stretch>
          <a:fillRect/>
        </a:stretch>
      </xdr:blipFill>
      <xdr:spPr>
        <a:xfrm>
          <a:off x="523875" y="34128654"/>
          <a:ext cx="3876675" cy="627883"/>
        </a:xfrm>
        <a:prstGeom prst="rect">
          <a:avLst/>
        </a:prstGeom>
        <a:ln>
          <a:solidFill>
            <a:srgbClr val="7030A0"/>
          </a:solidFill>
        </a:ln>
      </xdr:spPr>
    </xdr:pic>
    <xdr:clientData/>
  </xdr:twoCellAnchor>
  <xdr:twoCellAnchor editAs="oneCell">
    <xdr:from>
      <xdr:col>0</xdr:col>
      <xdr:colOff>626053</xdr:colOff>
      <xdr:row>188</xdr:row>
      <xdr:rowOff>78797</xdr:rowOff>
    </xdr:from>
    <xdr:to>
      <xdr:col>2</xdr:col>
      <xdr:colOff>18088</xdr:colOff>
      <xdr:row>191</xdr:row>
      <xdr:rowOff>73318</xdr:rowOff>
    </xdr:to>
    <xdr:pic>
      <xdr:nvPicPr>
        <xdr:cNvPr id="197" name="Picture 196">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0"/>
        <a:stretch>
          <a:fillRect/>
        </a:stretch>
      </xdr:blipFill>
      <xdr:spPr>
        <a:xfrm>
          <a:off x="626053" y="35892797"/>
          <a:ext cx="3712151" cy="594596"/>
        </a:xfrm>
        <a:prstGeom prst="rect">
          <a:avLst/>
        </a:prstGeom>
        <a:ln>
          <a:solidFill>
            <a:srgbClr val="7030A0"/>
          </a:solidFill>
        </a:ln>
      </xdr:spPr>
    </xdr:pic>
    <xdr:clientData/>
  </xdr:twoCellAnchor>
  <xdr:twoCellAnchor editAs="oneCell">
    <xdr:from>
      <xdr:col>0</xdr:col>
      <xdr:colOff>520559</xdr:colOff>
      <xdr:row>194</xdr:row>
      <xdr:rowOff>0</xdr:rowOff>
    </xdr:from>
    <xdr:to>
      <xdr:col>1</xdr:col>
      <xdr:colOff>583461</xdr:colOff>
      <xdr:row>197</xdr:row>
      <xdr:rowOff>1</xdr:rowOff>
    </xdr:to>
    <xdr:pic>
      <xdr:nvPicPr>
        <xdr:cNvPr id="198" name="Picture 197">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31"/>
        <a:stretch>
          <a:fillRect/>
        </a:stretch>
      </xdr:blipFill>
      <xdr:spPr>
        <a:xfrm>
          <a:off x="520559" y="39214425"/>
          <a:ext cx="3325744" cy="619125"/>
        </a:xfrm>
        <a:prstGeom prst="rect">
          <a:avLst/>
        </a:prstGeom>
        <a:ln>
          <a:solidFill>
            <a:srgbClr val="7030A0"/>
          </a:solidFill>
        </a:ln>
      </xdr:spPr>
    </xdr:pic>
    <xdr:clientData/>
  </xdr:twoCellAnchor>
  <xdr:twoCellAnchor editAs="oneCell">
    <xdr:from>
      <xdr:col>0</xdr:col>
      <xdr:colOff>225136</xdr:colOff>
      <xdr:row>204</xdr:row>
      <xdr:rowOff>133350</xdr:rowOff>
    </xdr:from>
    <xdr:to>
      <xdr:col>1</xdr:col>
      <xdr:colOff>632884</xdr:colOff>
      <xdr:row>207</xdr:row>
      <xdr:rowOff>62521</xdr:rowOff>
    </xdr:to>
    <xdr:pic>
      <xdr:nvPicPr>
        <xdr:cNvPr id="200" name="Picture 199">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32"/>
        <a:stretch>
          <a:fillRect/>
        </a:stretch>
      </xdr:blipFill>
      <xdr:spPr>
        <a:xfrm>
          <a:off x="225136" y="41424225"/>
          <a:ext cx="3670590" cy="567347"/>
        </a:xfrm>
        <a:prstGeom prst="rect">
          <a:avLst/>
        </a:prstGeom>
        <a:ln>
          <a:solidFill>
            <a:srgbClr val="7030A0"/>
          </a:solidFill>
        </a:ln>
      </xdr:spPr>
    </xdr:pic>
    <xdr:clientData/>
  </xdr:twoCellAnchor>
  <xdr:twoCellAnchor editAs="oneCell">
    <xdr:from>
      <xdr:col>0</xdr:col>
      <xdr:colOff>95603</xdr:colOff>
      <xdr:row>282</xdr:row>
      <xdr:rowOff>95793</xdr:rowOff>
    </xdr:from>
    <xdr:to>
      <xdr:col>2</xdr:col>
      <xdr:colOff>402948</xdr:colOff>
      <xdr:row>288</xdr:row>
      <xdr:rowOff>95794</xdr:rowOff>
    </xdr:to>
    <xdr:pic>
      <xdr:nvPicPr>
        <xdr:cNvPr id="208" name="Picture 207">
          <a:extLst>
            <a:ext uri="{FF2B5EF4-FFF2-40B4-BE49-F238E27FC236}">
              <a16:creationId xmlns:a16="http://schemas.microsoft.com/office/drawing/2014/main" id="{00000000-0008-0000-0000-0000C6000000}"/>
            </a:ext>
          </a:extLst>
        </xdr:cNvPr>
        <xdr:cNvPicPr>
          <a:picLocks noChangeAspect="1"/>
        </xdr:cNvPicPr>
      </xdr:nvPicPr>
      <xdr:blipFill>
        <a:blip xmlns:r="http://schemas.openxmlformats.org/officeDocument/2006/relationships" r:embed="rId33"/>
        <a:stretch>
          <a:fillRect/>
        </a:stretch>
      </xdr:blipFill>
      <xdr:spPr>
        <a:xfrm>
          <a:off x="95603" y="56314460"/>
          <a:ext cx="4621817" cy="1185334"/>
        </a:xfrm>
        <a:prstGeom prst="rect">
          <a:avLst/>
        </a:prstGeom>
        <a:ln>
          <a:solidFill>
            <a:srgbClr val="7030A0"/>
          </a:solidFill>
        </a:ln>
      </xdr:spPr>
    </xdr:pic>
    <xdr:clientData/>
  </xdr:twoCellAnchor>
  <xdr:twoCellAnchor editAs="oneCell">
    <xdr:from>
      <xdr:col>0</xdr:col>
      <xdr:colOff>184440</xdr:colOff>
      <xdr:row>261</xdr:row>
      <xdr:rowOff>142875</xdr:rowOff>
    </xdr:from>
    <xdr:to>
      <xdr:col>1</xdr:col>
      <xdr:colOff>495204</xdr:colOff>
      <xdr:row>267</xdr:row>
      <xdr:rowOff>1066</xdr:rowOff>
    </xdr:to>
    <xdr:pic>
      <xdr:nvPicPr>
        <xdr:cNvPr id="209" name="Picture 208">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34"/>
        <a:stretch>
          <a:fillRect/>
        </a:stretch>
      </xdr:blipFill>
      <xdr:spPr>
        <a:xfrm>
          <a:off x="184440" y="51558825"/>
          <a:ext cx="3573606" cy="1055871"/>
        </a:xfrm>
        <a:prstGeom prst="rect">
          <a:avLst/>
        </a:prstGeom>
        <a:ln>
          <a:solidFill>
            <a:srgbClr val="7030A0"/>
          </a:solidFill>
        </a:ln>
      </xdr:spPr>
    </xdr:pic>
    <xdr:clientData/>
  </xdr:twoCellAnchor>
  <xdr:twoCellAnchor editAs="oneCell">
    <xdr:from>
      <xdr:col>2</xdr:col>
      <xdr:colOff>1259416</xdr:colOff>
      <xdr:row>3</xdr:row>
      <xdr:rowOff>21167</xdr:rowOff>
    </xdr:from>
    <xdr:to>
      <xdr:col>6</xdr:col>
      <xdr:colOff>813346</xdr:colOff>
      <xdr:row>15</xdr:row>
      <xdr:rowOff>38296</xdr:rowOff>
    </xdr:to>
    <xdr:pic>
      <xdr:nvPicPr>
        <xdr:cNvPr id="199" name="Picture 198"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33999" y="624417"/>
          <a:ext cx="4866765" cy="2430129"/>
        </a:xfrm>
        <a:prstGeom prst="rect">
          <a:avLst/>
        </a:prstGeom>
      </xdr:spPr>
    </xdr:pic>
    <xdr:clientData/>
  </xdr:twoCellAnchor>
  <xdr:twoCellAnchor editAs="oneCell">
    <xdr:from>
      <xdr:col>7</xdr:col>
      <xdr:colOff>42332</xdr:colOff>
      <xdr:row>55</xdr:row>
      <xdr:rowOff>147301</xdr:rowOff>
    </xdr:from>
    <xdr:to>
      <xdr:col>16</xdr:col>
      <xdr:colOff>419099</xdr:colOff>
      <xdr:row>61</xdr:row>
      <xdr:rowOff>194732</xdr:rowOff>
    </xdr:to>
    <xdr:pic>
      <xdr:nvPicPr>
        <xdr:cNvPr id="205" name="Picture 204" descr="Screen Clipping"/>
        <xdr:cNvPicPr>
          <a:picLocks noChangeAspect="1"/>
        </xdr:cNvPicPr>
      </xdr:nvPicPr>
      <xdr:blipFill rotWithShape="1">
        <a:blip xmlns:r="http://schemas.openxmlformats.org/officeDocument/2006/relationships" r:embed="rId36">
          <a:extLst>
            <a:ext uri="{28A0092B-C50C-407E-A947-70E740481C1C}">
              <a14:useLocalDpi xmlns:a14="http://schemas.microsoft.com/office/drawing/2010/main" val="0"/>
            </a:ext>
          </a:extLst>
        </a:blip>
        <a:srcRect b="40798"/>
        <a:stretch/>
      </xdr:blipFill>
      <xdr:spPr>
        <a:xfrm>
          <a:off x="11211982" y="11158201"/>
          <a:ext cx="7787217" cy="1228531"/>
        </a:xfrm>
        <a:prstGeom prst="rect">
          <a:avLst/>
        </a:prstGeom>
      </xdr:spPr>
    </xdr:pic>
    <xdr:clientData/>
  </xdr:twoCellAnchor>
  <xdr:twoCellAnchor editAs="oneCell">
    <xdr:from>
      <xdr:col>7</xdr:col>
      <xdr:colOff>10583</xdr:colOff>
      <xdr:row>65</xdr:row>
      <xdr:rowOff>0</xdr:rowOff>
    </xdr:from>
    <xdr:to>
      <xdr:col>11</xdr:col>
      <xdr:colOff>163038</xdr:colOff>
      <xdr:row>70</xdr:row>
      <xdr:rowOff>142330</xdr:rowOff>
    </xdr:to>
    <xdr:pic>
      <xdr:nvPicPr>
        <xdr:cNvPr id="210" name="Picture 209" descr="Screen Clipping"/>
        <xdr:cNvPicPr>
          <a:picLocks noChangeAspect="1"/>
        </xdr:cNvPicPr>
      </xdr:nvPicPr>
      <xdr:blipFill rotWithShape="1">
        <a:blip xmlns:r="http://schemas.openxmlformats.org/officeDocument/2006/relationships" r:embed="rId37">
          <a:extLst>
            <a:ext uri="{28A0092B-C50C-407E-A947-70E740481C1C}">
              <a14:useLocalDpi xmlns:a14="http://schemas.microsoft.com/office/drawing/2010/main" val="0"/>
            </a:ext>
          </a:extLst>
        </a:blip>
        <a:srcRect t="39686"/>
        <a:stretch/>
      </xdr:blipFill>
      <xdr:spPr>
        <a:xfrm>
          <a:off x="10953750" y="13462000"/>
          <a:ext cx="3856621" cy="1147746"/>
        </a:xfrm>
        <a:prstGeom prst="rect">
          <a:avLst/>
        </a:prstGeom>
      </xdr:spPr>
    </xdr:pic>
    <xdr:clientData/>
  </xdr:twoCellAnchor>
  <xdr:twoCellAnchor editAs="oneCell">
    <xdr:from>
      <xdr:col>0</xdr:col>
      <xdr:colOff>35279</xdr:colOff>
      <xdr:row>212</xdr:row>
      <xdr:rowOff>176389</xdr:rowOff>
    </xdr:from>
    <xdr:to>
      <xdr:col>1</xdr:col>
      <xdr:colOff>800806</xdr:colOff>
      <xdr:row>216</xdr:row>
      <xdr:rowOff>105157</xdr:rowOff>
    </xdr:to>
    <xdr:pic>
      <xdr:nvPicPr>
        <xdr:cNvPr id="15" name="Picture 14"/>
        <xdr:cNvPicPr>
          <a:picLocks noChangeAspect="1"/>
        </xdr:cNvPicPr>
      </xdr:nvPicPr>
      <xdr:blipFill>
        <a:blip xmlns:r="http://schemas.openxmlformats.org/officeDocument/2006/relationships" r:embed="rId38"/>
        <a:stretch>
          <a:fillRect/>
        </a:stretch>
      </xdr:blipFill>
      <xdr:spPr>
        <a:xfrm>
          <a:off x="35279" y="42537945"/>
          <a:ext cx="4028722" cy="718990"/>
        </a:xfrm>
        <a:prstGeom prst="rect">
          <a:avLst/>
        </a:prstGeom>
        <a:ln>
          <a:solidFill>
            <a:srgbClr val="7030A0"/>
          </a:solidFill>
        </a:ln>
      </xdr:spPr>
    </xdr:pic>
    <xdr:clientData/>
  </xdr:twoCellAnchor>
  <xdr:twoCellAnchor editAs="oneCell">
    <xdr:from>
      <xdr:col>0</xdr:col>
      <xdr:colOff>190500</xdr:colOff>
      <xdr:row>226</xdr:row>
      <xdr:rowOff>42332</xdr:rowOff>
    </xdr:from>
    <xdr:to>
      <xdr:col>1</xdr:col>
      <xdr:colOff>823465</xdr:colOff>
      <xdr:row>229</xdr:row>
      <xdr:rowOff>112383</xdr:rowOff>
    </xdr:to>
    <xdr:pic>
      <xdr:nvPicPr>
        <xdr:cNvPr id="211" name="Picture 210"/>
        <xdr:cNvPicPr>
          <a:picLocks noChangeAspect="1"/>
        </xdr:cNvPicPr>
      </xdr:nvPicPr>
      <xdr:blipFill>
        <a:blip xmlns:r="http://schemas.openxmlformats.org/officeDocument/2006/relationships" r:embed="rId39"/>
        <a:stretch>
          <a:fillRect/>
        </a:stretch>
      </xdr:blipFill>
      <xdr:spPr>
        <a:xfrm>
          <a:off x="190500" y="45197888"/>
          <a:ext cx="3894396" cy="662717"/>
        </a:xfrm>
        <a:prstGeom prst="rect">
          <a:avLst/>
        </a:prstGeom>
        <a:ln>
          <a:solidFill>
            <a:srgbClr val="7030A0"/>
          </a:solidFill>
        </a:ln>
      </xdr:spPr>
    </xdr:pic>
    <xdr:clientData/>
  </xdr:twoCellAnchor>
  <xdr:twoCellAnchor editAs="oneCell">
    <xdr:from>
      <xdr:col>0</xdr:col>
      <xdr:colOff>190501</xdr:colOff>
      <xdr:row>237</xdr:row>
      <xdr:rowOff>33193</xdr:rowOff>
    </xdr:from>
    <xdr:to>
      <xdr:col>2</xdr:col>
      <xdr:colOff>128671</xdr:colOff>
      <xdr:row>240</xdr:row>
      <xdr:rowOff>67966</xdr:rowOff>
    </xdr:to>
    <xdr:pic>
      <xdr:nvPicPr>
        <xdr:cNvPr id="16" name="Picture 15"/>
        <xdr:cNvPicPr>
          <a:picLocks noChangeAspect="1"/>
        </xdr:cNvPicPr>
      </xdr:nvPicPr>
      <xdr:blipFill>
        <a:blip xmlns:r="http://schemas.openxmlformats.org/officeDocument/2006/relationships" r:embed="rId40"/>
        <a:stretch>
          <a:fillRect/>
        </a:stretch>
      </xdr:blipFill>
      <xdr:spPr>
        <a:xfrm>
          <a:off x="190501" y="47361860"/>
          <a:ext cx="4252642" cy="627439"/>
        </a:xfrm>
        <a:prstGeom prst="rect">
          <a:avLst/>
        </a:prstGeom>
        <a:ln>
          <a:solidFill>
            <a:srgbClr val="7030A0"/>
          </a:solidFill>
        </a:ln>
      </xdr:spPr>
    </xdr:pic>
    <xdr:clientData/>
  </xdr:twoCellAnchor>
  <xdr:twoCellAnchor editAs="oneCell">
    <xdr:from>
      <xdr:col>0</xdr:col>
      <xdr:colOff>254000</xdr:colOff>
      <xdr:row>244</xdr:row>
      <xdr:rowOff>112888</xdr:rowOff>
    </xdr:from>
    <xdr:to>
      <xdr:col>1</xdr:col>
      <xdr:colOff>519384</xdr:colOff>
      <xdr:row>248</xdr:row>
      <xdr:rowOff>25626</xdr:rowOff>
    </xdr:to>
    <xdr:pic>
      <xdr:nvPicPr>
        <xdr:cNvPr id="212" name="Picture 211"/>
        <xdr:cNvPicPr>
          <a:picLocks noChangeAspect="1"/>
        </xdr:cNvPicPr>
      </xdr:nvPicPr>
      <xdr:blipFill>
        <a:blip xmlns:r="http://schemas.openxmlformats.org/officeDocument/2006/relationships" r:embed="rId41"/>
        <a:stretch>
          <a:fillRect/>
        </a:stretch>
      </xdr:blipFill>
      <xdr:spPr>
        <a:xfrm>
          <a:off x="254000" y="48824444"/>
          <a:ext cx="3528579" cy="702959"/>
        </a:xfrm>
        <a:prstGeom prst="rect">
          <a:avLst/>
        </a:prstGeom>
        <a:ln>
          <a:solidFill>
            <a:srgbClr val="7030A0"/>
          </a:solidFill>
        </a:ln>
      </xdr:spPr>
    </xdr:pic>
    <xdr:clientData/>
  </xdr:twoCellAnchor>
  <xdr:twoCellAnchor editAs="oneCell">
    <xdr:from>
      <xdr:col>0</xdr:col>
      <xdr:colOff>254001</xdr:colOff>
      <xdr:row>252</xdr:row>
      <xdr:rowOff>102698</xdr:rowOff>
    </xdr:from>
    <xdr:to>
      <xdr:col>1</xdr:col>
      <xdr:colOff>521854</xdr:colOff>
      <xdr:row>255</xdr:row>
      <xdr:rowOff>163929</xdr:rowOff>
    </xdr:to>
    <xdr:pic>
      <xdr:nvPicPr>
        <xdr:cNvPr id="17" name="Picture 16"/>
        <xdr:cNvPicPr>
          <a:picLocks noChangeAspect="1"/>
        </xdr:cNvPicPr>
      </xdr:nvPicPr>
      <xdr:blipFill>
        <a:blip xmlns:r="http://schemas.openxmlformats.org/officeDocument/2006/relationships" r:embed="rId42"/>
        <a:stretch>
          <a:fillRect/>
        </a:stretch>
      </xdr:blipFill>
      <xdr:spPr>
        <a:xfrm>
          <a:off x="254001" y="50394698"/>
          <a:ext cx="3531048" cy="653898"/>
        </a:xfrm>
        <a:prstGeom prst="rect">
          <a:avLst/>
        </a:prstGeom>
        <a:ln>
          <a:solidFill>
            <a:srgbClr val="7030A0"/>
          </a:solidFill>
        </a:ln>
      </xdr:spPr>
    </xdr:pic>
    <xdr:clientData/>
  </xdr:twoCellAnchor>
  <xdr:twoCellAnchor editAs="oneCell">
    <xdr:from>
      <xdr:col>0</xdr:col>
      <xdr:colOff>254000</xdr:colOff>
      <xdr:row>272</xdr:row>
      <xdr:rowOff>21167</xdr:rowOff>
    </xdr:from>
    <xdr:to>
      <xdr:col>1</xdr:col>
      <xdr:colOff>906556</xdr:colOff>
      <xdr:row>276</xdr:row>
      <xdr:rowOff>22264</xdr:rowOff>
    </xdr:to>
    <xdr:pic>
      <xdr:nvPicPr>
        <xdr:cNvPr id="201" name="Picture 200"/>
        <xdr:cNvPicPr>
          <a:picLocks noChangeAspect="1"/>
        </xdr:cNvPicPr>
      </xdr:nvPicPr>
      <xdr:blipFill>
        <a:blip xmlns:r="http://schemas.openxmlformats.org/officeDocument/2006/relationships" r:embed="rId43"/>
        <a:stretch>
          <a:fillRect/>
        </a:stretch>
      </xdr:blipFill>
      <xdr:spPr>
        <a:xfrm>
          <a:off x="254000" y="54264278"/>
          <a:ext cx="3913987" cy="791319"/>
        </a:xfrm>
        <a:prstGeom prst="rect">
          <a:avLst/>
        </a:prstGeom>
        <a:ln>
          <a:solidFill>
            <a:srgbClr val="7030A0"/>
          </a:solidFill>
        </a:ln>
      </xdr:spPr>
    </xdr:pic>
    <xdr:clientData/>
  </xdr:twoCellAnchor>
  <xdr:twoCellAnchor editAs="oneCell">
    <xdr:from>
      <xdr:col>0</xdr:col>
      <xdr:colOff>162278</xdr:colOff>
      <xdr:row>288</xdr:row>
      <xdr:rowOff>190501</xdr:rowOff>
    </xdr:from>
    <xdr:to>
      <xdr:col>2</xdr:col>
      <xdr:colOff>179917</xdr:colOff>
      <xdr:row>290</xdr:row>
      <xdr:rowOff>93962</xdr:rowOff>
    </xdr:to>
    <xdr:pic>
      <xdr:nvPicPr>
        <xdr:cNvPr id="202" name="Picture 201"/>
        <xdr:cNvPicPr>
          <a:picLocks noChangeAspect="1"/>
        </xdr:cNvPicPr>
      </xdr:nvPicPr>
      <xdr:blipFill>
        <a:blip xmlns:r="http://schemas.openxmlformats.org/officeDocument/2006/relationships" r:embed="rId44"/>
        <a:stretch>
          <a:fillRect/>
        </a:stretch>
      </xdr:blipFill>
      <xdr:spPr>
        <a:xfrm>
          <a:off x="162278" y="57594501"/>
          <a:ext cx="4332111" cy="298572"/>
        </a:xfrm>
        <a:prstGeom prst="rect">
          <a:avLst/>
        </a:prstGeom>
        <a:ln>
          <a:solidFill>
            <a:srgbClr val="7030A0"/>
          </a:solidFill>
        </a:ln>
      </xdr:spPr>
    </xdr:pic>
    <xdr:clientData/>
  </xdr:twoCellAnchor>
  <xdr:twoCellAnchor editAs="oneCell">
    <xdr:from>
      <xdr:col>6</xdr:col>
      <xdr:colOff>98778</xdr:colOff>
      <xdr:row>32</xdr:row>
      <xdr:rowOff>93616</xdr:rowOff>
    </xdr:from>
    <xdr:to>
      <xdr:col>9</xdr:col>
      <xdr:colOff>352152</xdr:colOff>
      <xdr:row>35</xdr:row>
      <xdr:rowOff>127513</xdr:rowOff>
    </xdr:to>
    <xdr:pic>
      <xdr:nvPicPr>
        <xdr:cNvPr id="18" name="Picture 17"/>
        <xdr:cNvPicPr>
          <a:picLocks noChangeAspect="1"/>
        </xdr:cNvPicPr>
      </xdr:nvPicPr>
      <xdr:blipFill>
        <a:blip xmlns:r="http://schemas.openxmlformats.org/officeDocument/2006/relationships" r:embed="rId45"/>
        <a:stretch>
          <a:fillRect/>
        </a:stretch>
      </xdr:blipFill>
      <xdr:spPr>
        <a:xfrm>
          <a:off x="9482667" y="6429505"/>
          <a:ext cx="4077484" cy="797661"/>
        </a:xfrm>
        <a:prstGeom prst="rect">
          <a:avLst/>
        </a:prstGeom>
        <a:ln>
          <a:solidFill>
            <a:srgbClr val="7030A0"/>
          </a:solidFill>
        </a:ln>
      </xdr:spPr>
    </xdr:pic>
    <xdr:clientData/>
  </xdr:twoCellAnchor>
  <xdr:twoCellAnchor editAs="oneCell">
    <xdr:from>
      <xdr:col>6</xdr:col>
      <xdr:colOff>135876</xdr:colOff>
      <xdr:row>39</xdr:row>
      <xdr:rowOff>61735</xdr:rowOff>
    </xdr:from>
    <xdr:to>
      <xdr:col>7</xdr:col>
      <xdr:colOff>1249436</xdr:colOff>
      <xdr:row>41</xdr:row>
      <xdr:rowOff>127000</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9761418" y="7882818"/>
          <a:ext cx="2664018" cy="456849"/>
        </a:xfrm>
        <a:prstGeom prst="rect">
          <a:avLst/>
        </a:prstGeom>
        <a:ln>
          <a:solidFill>
            <a:srgbClr val="7030A0"/>
          </a:solidFill>
        </a:ln>
      </xdr:spPr>
    </xdr:pic>
    <xdr:clientData/>
  </xdr:twoCellAnchor>
  <xdr:twoCellAnchor editAs="oneCell">
    <xdr:from>
      <xdr:col>6</xdr:col>
      <xdr:colOff>165302</xdr:colOff>
      <xdr:row>36</xdr:row>
      <xdr:rowOff>33513</xdr:rowOff>
    </xdr:from>
    <xdr:to>
      <xdr:col>8</xdr:col>
      <xdr:colOff>823775</xdr:colOff>
      <xdr:row>38</xdr:row>
      <xdr:rowOff>182637</xdr:rowOff>
    </xdr:to>
    <xdr:pic>
      <xdr:nvPicPr>
        <xdr:cNvPr id="34" name="Picture 33"/>
        <xdr:cNvPicPr>
          <a:picLocks noChangeAspect="1"/>
        </xdr:cNvPicPr>
      </xdr:nvPicPr>
      <xdr:blipFill>
        <a:blip xmlns:r="http://schemas.openxmlformats.org/officeDocument/2006/relationships" r:embed="rId47"/>
        <a:stretch>
          <a:fillRect/>
        </a:stretch>
      </xdr:blipFill>
      <xdr:spPr>
        <a:xfrm>
          <a:off x="9790844" y="7267221"/>
          <a:ext cx="3637681" cy="540708"/>
        </a:xfrm>
        <a:prstGeom prst="rect">
          <a:avLst/>
        </a:prstGeom>
        <a:ln>
          <a:solidFill>
            <a:srgbClr val="7030A0"/>
          </a:solidFill>
        </a:ln>
      </xdr:spPr>
    </xdr:pic>
    <xdr:clientData/>
  </xdr:twoCellAnchor>
  <xdr:twoCellAnchor editAs="oneCell">
    <xdr:from>
      <xdr:col>6</xdr:col>
      <xdr:colOff>98778</xdr:colOff>
      <xdr:row>42</xdr:row>
      <xdr:rowOff>19337</xdr:rowOff>
    </xdr:from>
    <xdr:to>
      <xdr:col>9</xdr:col>
      <xdr:colOff>97104</xdr:colOff>
      <xdr:row>43</xdr:row>
      <xdr:rowOff>108229</xdr:rowOff>
    </xdr:to>
    <xdr:pic>
      <xdr:nvPicPr>
        <xdr:cNvPr id="35" name="Picture 34"/>
        <xdr:cNvPicPr>
          <a:picLocks noChangeAspect="1"/>
        </xdr:cNvPicPr>
      </xdr:nvPicPr>
      <xdr:blipFill>
        <a:blip xmlns:r="http://schemas.openxmlformats.org/officeDocument/2006/relationships" r:embed="rId48"/>
        <a:stretch>
          <a:fillRect/>
        </a:stretch>
      </xdr:blipFill>
      <xdr:spPr>
        <a:xfrm>
          <a:off x="9482667" y="8683559"/>
          <a:ext cx="3822436" cy="286448"/>
        </a:xfrm>
        <a:prstGeom prst="rect">
          <a:avLst/>
        </a:prstGeom>
        <a:ln>
          <a:solidFill>
            <a:srgbClr val="7030A0"/>
          </a:solidFill>
        </a:ln>
      </xdr:spPr>
    </xdr:pic>
    <xdr:clientData/>
  </xdr:twoCellAnchor>
  <xdr:twoCellAnchor editAs="oneCell">
    <xdr:from>
      <xdr:col>6</xdr:col>
      <xdr:colOff>91723</xdr:colOff>
      <xdr:row>43</xdr:row>
      <xdr:rowOff>104334</xdr:rowOff>
    </xdr:from>
    <xdr:to>
      <xdr:col>9</xdr:col>
      <xdr:colOff>166709</xdr:colOff>
      <xdr:row>44</xdr:row>
      <xdr:rowOff>84665</xdr:rowOff>
    </xdr:to>
    <xdr:pic>
      <xdr:nvPicPr>
        <xdr:cNvPr id="36" name="Picture 35"/>
        <xdr:cNvPicPr>
          <a:picLocks noChangeAspect="1"/>
        </xdr:cNvPicPr>
      </xdr:nvPicPr>
      <xdr:blipFill>
        <a:blip xmlns:r="http://schemas.openxmlformats.org/officeDocument/2006/relationships" r:embed="rId49"/>
        <a:stretch>
          <a:fillRect/>
        </a:stretch>
      </xdr:blipFill>
      <xdr:spPr>
        <a:xfrm>
          <a:off x="9475612" y="8966112"/>
          <a:ext cx="3899096" cy="177887"/>
        </a:xfrm>
        <a:prstGeom prst="rect">
          <a:avLst/>
        </a:prstGeom>
        <a:ln>
          <a:solidFill>
            <a:srgbClr val="7030A0"/>
          </a:solidFill>
        </a:ln>
      </xdr:spPr>
    </xdr:pic>
    <xdr:clientData/>
  </xdr:twoCellAnchor>
  <xdr:twoCellAnchor editAs="oneCell">
    <xdr:from>
      <xdr:col>6</xdr:col>
      <xdr:colOff>124178</xdr:colOff>
      <xdr:row>32</xdr:row>
      <xdr:rowOff>112666</xdr:rowOff>
    </xdr:from>
    <xdr:to>
      <xdr:col>9</xdr:col>
      <xdr:colOff>377552</xdr:colOff>
      <xdr:row>35</xdr:row>
      <xdr:rowOff>146563</xdr:rowOff>
    </xdr:to>
    <xdr:pic>
      <xdr:nvPicPr>
        <xdr:cNvPr id="203" name="Picture 202"/>
        <xdr:cNvPicPr>
          <a:picLocks noChangeAspect="1"/>
        </xdr:cNvPicPr>
      </xdr:nvPicPr>
      <xdr:blipFill>
        <a:blip xmlns:r="http://schemas.openxmlformats.org/officeDocument/2006/relationships" r:embed="rId45"/>
        <a:stretch>
          <a:fillRect/>
        </a:stretch>
      </xdr:blipFill>
      <xdr:spPr>
        <a:xfrm>
          <a:off x="9744428" y="6424566"/>
          <a:ext cx="4069724" cy="795897"/>
        </a:xfrm>
        <a:prstGeom prst="rect">
          <a:avLst/>
        </a:prstGeom>
        <a:ln>
          <a:solidFill>
            <a:srgbClr val="7030A0"/>
          </a:solidFill>
        </a:ln>
      </xdr:spPr>
    </xdr:pic>
    <xdr:clientData/>
  </xdr:twoCellAnchor>
  <xdr:twoCellAnchor editAs="oneCell">
    <xdr:from>
      <xdr:col>6</xdr:col>
      <xdr:colOff>161276</xdr:colOff>
      <xdr:row>39</xdr:row>
      <xdr:rowOff>80785</xdr:rowOff>
    </xdr:from>
    <xdr:to>
      <xdr:col>7</xdr:col>
      <xdr:colOff>1274836</xdr:colOff>
      <xdr:row>41</xdr:row>
      <xdr:rowOff>146050</xdr:rowOff>
    </xdr:to>
    <xdr:pic>
      <xdr:nvPicPr>
        <xdr:cNvPr id="204" name="Picture 203"/>
        <xdr:cNvPicPr>
          <a:picLocks noChangeAspect="1"/>
        </xdr:cNvPicPr>
      </xdr:nvPicPr>
      <xdr:blipFill>
        <a:blip xmlns:r="http://schemas.openxmlformats.org/officeDocument/2006/relationships" r:embed="rId46"/>
        <a:stretch>
          <a:fillRect/>
        </a:stretch>
      </xdr:blipFill>
      <xdr:spPr>
        <a:xfrm>
          <a:off x="9781526" y="7942085"/>
          <a:ext cx="2662960" cy="458965"/>
        </a:xfrm>
        <a:prstGeom prst="rect">
          <a:avLst/>
        </a:prstGeom>
        <a:ln>
          <a:solidFill>
            <a:srgbClr val="7030A0"/>
          </a:solidFill>
        </a:ln>
      </xdr:spPr>
    </xdr:pic>
    <xdr:clientData/>
  </xdr:twoCellAnchor>
  <xdr:twoCellAnchor editAs="oneCell">
    <xdr:from>
      <xdr:col>6</xdr:col>
      <xdr:colOff>190702</xdr:colOff>
      <xdr:row>36</xdr:row>
      <xdr:rowOff>52563</xdr:rowOff>
    </xdr:from>
    <xdr:to>
      <xdr:col>9</xdr:col>
      <xdr:colOff>10975</xdr:colOff>
      <xdr:row>39</xdr:row>
      <xdr:rowOff>4837</xdr:rowOff>
    </xdr:to>
    <xdr:pic>
      <xdr:nvPicPr>
        <xdr:cNvPr id="206" name="Picture 205"/>
        <xdr:cNvPicPr>
          <a:picLocks noChangeAspect="1"/>
        </xdr:cNvPicPr>
      </xdr:nvPicPr>
      <xdr:blipFill>
        <a:blip xmlns:r="http://schemas.openxmlformats.org/officeDocument/2006/relationships" r:embed="rId47"/>
        <a:stretch>
          <a:fillRect/>
        </a:stretch>
      </xdr:blipFill>
      <xdr:spPr>
        <a:xfrm>
          <a:off x="9810952" y="7323313"/>
          <a:ext cx="3636623" cy="542824"/>
        </a:xfrm>
        <a:prstGeom prst="rect">
          <a:avLst/>
        </a:prstGeom>
        <a:ln>
          <a:solidFill>
            <a:srgbClr val="7030A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33</xdr:row>
      <xdr:rowOff>161925</xdr:rowOff>
    </xdr:from>
    <xdr:to>
      <xdr:col>0</xdr:col>
      <xdr:colOff>4400550</xdr:colOff>
      <xdr:row>51</xdr:row>
      <xdr:rowOff>45178</xdr:rowOff>
    </xdr:to>
    <xdr:pic>
      <xdr:nvPicPr>
        <xdr:cNvPr id="2" name="Picture 2" descr="cid:image002.png@01D67F99.B1802EE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4824" y="9982200"/>
          <a:ext cx="3895726" cy="3483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56</xdr:row>
      <xdr:rowOff>1257300</xdr:rowOff>
    </xdr:from>
    <xdr:to>
      <xdr:col>0</xdr:col>
      <xdr:colOff>5553075</xdr:colOff>
      <xdr:row>56</xdr:row>
      <xdr:rowOff>5972175</xdr:rowOff>
    </xdr:to>
    <xdr:pic>
      <xdr:nvPicPr>
        <xdr:cNvPr id="3" name="Picture 4" descr="cid:image006.png@01D67F92.F33A38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95250" y="14563725"/>
          <a:ext cx="545782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9526</xdr:colOff>
      <xdr:row>56</xdr:row>
      <xdr:rowOff>66675</xdr:rowOff>
    </xdr:from>
    <xdr:to>
      <xdr:col>1</xdr:col>
      <xdr:colOff>2981326</xdr:colOff>
      <xdr:row>56</xdr:row>
      <xdr:rowOff>3571875</xdr:rowOff>
    </xdr:to>
    <xdr:pic>
      <xdr:nvPicPr>
        <xdr:cNvPr id="4" name="Picture 5" descr="cid:image007.png@01D67F93.9A5092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3000376" y="13373100"/>
          <a:ext cx="29718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571499</xdr:colOff>
      <xdr:row>56</xdr:row>
      <xdr:rowOff>209550</xdr:rowOff>
    </xdr:from>
    <xdr:to>
      <xdr:col>2</xdr:col>
      <xdr:colOff>4123276</xdr:colOff>
      <xdr:row>56</xdr:row>
      <xdr:rowOff>2276475</xdr:rowOff>
    </xdr:to>
    <xdr:pic>
      <xdr:nvPicPr>
        <xdr:cNvPr id="5" name="Picture 1" descr="cid:image004.png@01D67F92.5B479920">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6562724" y="13515975"/>
          <a:ext cx="3551777"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533400</xdr:colOff>
      <xdr:row>56</xdr:row>
      <xdr:rowOff>9525</xdr:rowOff>
    </xdr:from>
    <xdr:to>
      <xdr:col>4</xdr:col>
      <xdr:colOff>104775</xdr:colOff>
      <xdr:row>56</xdr:row>
      <xdr:rowOff>4686300</xdr:rowOff>
    </xdr:to>
    <xdr:pic>
      <xdr:nvPicPr>
        <xdr:cNvPr id="6" name="Picture 3" descr="cid:image005.png@01D67F92.A6EBEAC0">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11315700" y="13315950"/>
          <a:ext cx="625792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64</xdr:row>
      <xdr:rowOff>29418</xdr:rowOff>
    </xdr:from>
    <xdr:to>
      <xdr:col>1</xdr:col>
      <xdr:colOff>1389063</xdr:colOff>
      <xdr:row>83</xdr:row>
      <xdr:rowOff>22888</xdr:rowOff>
    </xdr:to>
    <xdr:pic>
      <xdr:nvPicPr>
        <xdr:cNvPr id="7" name="Picture 6" descr="cid:image009.jpg@01D67F99.B1802EE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95250" y="19833481"/>
          <a:ext cx="7008813" cy="3763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fred.stlouisfed.org/series/MEPAINUSA672N" TargetMode="External"/><Relationship Id="rId13" Type="http://schemas.openxmlformats.org/officeDocument/2006/relationships/vmlDrawing" Target="../drawings/vmlDrawing1.vml"/><Relationship Id="rId3" Type="http://schemas.openxmlformats.org/officeDocument/2006/relationships/hyperlink" Target="https://www.fhwa.dot.gov/ohim/onh00/bar8.htm" TargetMode="External"/><Relationship Id="rId7" Type="http://schemas.openxmlformats.org/officeDocument/2006/relationships/hyperlink" Target="https://www.edmunds.com/ford/fusion-hybrid/2020/cost-to-own/" TargetMode="External"/><Relationship Id="rId12" Type="http://schemas.openxmlformats.org/officeDocument/2006/relationships/drawing" Target="../drawings/drawing1.xml"/><Relationship Id="rId2" Type="http://schemas.openxmlformats.org/officeDocument/2006/relationships/hyperlink" Target="https://www.thecarconnection.com/specifications/ford_fusion_2020" TargetMode="External"/><Relationship Id="rId1" Type="http://schemas.openxmlformats.org/officeDocument/2006/relationships/hyperlink" Target="https://www.carinsurance.com/Articles/average-miles-driven-per-year-by-state.aspx" TargetMode="External"/><Relationship Id="rId6" Type="http://schemas.openxmlformats.org/officeDocument/2006/relationships/hyperlink" Target="https://www.thecarconnection.com/specifications/ford_fusion_2020" TargetMode="External"/><Relationship Id="rId11" Type="http://schemas.openxmlformats.org/officeDocument/2006/relationships/printerSettings" Target="../printerSettings/printerSettings1.bin"/><Relationship Id="rId5" Type="http://schemas.openxmlformats.org/officeDocument/2006/relationships/hyperlink" Target="https://www.edmunds.com/ford/fusion/2020/cost-to-own/" TargetMode="External"/><Relationship Id="rId10" Type="http://schemas.openxmlformats.org/officeDocument/2006/relationships/hyperlink" Target="https://www.carinsurance.com/Articles/average-miles-driven-per-year-by-state.aspx" TargetMode="External"/><Relationship Id="rId4" Type="http://schemas.openxmlformats.org/officeDocument/2006/relationships/hyperlink" Target="https://berla.co/average-us-vehicle-lifespan/" TargetMode="External"/><Relationship Id="rId9" Type="http://schemas.openxmlformats.org/officeDocument/2006/relationships/hyperlink" Target="https://www.carinsurance.com/Articles/average-miles-driven-per-year-by-state.aspx" TargetMode="Externa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eia.gov/electricity/data/state/avgprice_annual.xlsx" TargetMode="External"/><Relationship Id="rId7" Type="http://schemas.openxmlformats.org/officeDocument/2006/relationships/vmlDrawing" Target="../drawings/vmlDrawing2.vml"/><Relationship Id="rId2" Type="http://schemas.openxmlformats.org/officeDocument/2006/relationships/hyperlink" Target="https://www.homedepot.com/p/EcoSmart-40-Watt-Equivalent-A19-Non-Dimmable-LED-Light-Bulb-Soft-White-8-Pack-1001015802/303714669?modalType=drawer" TargetMode="External"/><Relationship Id="rId1" Type="http://schemas.openxmlformats.org/officeDocument/2006/relationships/hyperlink" Target="https://www.homedepot.com/p/Sylvania-60-Watt-Double-Life-A15-Incandescent-Light-Bulb-2-Pack-11969/303762187?modalType=drawer"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fred.stlouisfed.org/series/MEPAINUSA672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80" zoomScaleNormal="80" workbookViewId="0">
      <selection activeCell="B11" sqref="B11"/>
    </sheetView>
  </sheetViews>
  <sheetFormatPr defaultRowHeight="15.5"/>
  <cols>
    <col min="1" max="1" width="10.58203125" customWidth="1"/>
    <col min="2" max="2" width="54.5" customWidth="1"/>
    <col min="4" max="4" width="78.83203125" customWidth="1"/>
  </cols>
  <sheetData>
    <row r="1" spans="1:4">
      <c r="A1" s="175" t="s">
        <v>454</v>
      </c>
      <c r="B1" s="176"/>
      <c r="C1" s="172"/>
      <c r="D1" s="172"/>
    </row>
    <row r="2" spans="1:4">
      <c r="A2" s="4"/>
      <c r="B2" s="172"/>
      <c r="C2" s="172"/>
      <c r="D2" s="172"/>
    </row>
    <row r="3" spans="1:4">
      <c r="A3" s="4"/>
      <c r="B3" s="172"/>
      <c r="C3" s="172"/>
      <c r="D3" s="172"/>
    </row>
    <row r="4" spans="1:4">
      <c r="A4" s="177" t="s">
        <v>487</v>
      </c>
      <c r="B4" s="177"/>
      <c r="C4" s="177"/>
      <c r="D4" s="177"/>
    </row>
    <row r="5" spans="1:4">
      <c r="A5" s="177"/>
      <c r="B5" s="177"/>
      <c r="C5" s="177"/>
      <c r="D5" s="177"/>
    </row>
    <row r="6" spans="1:4">
      <c r="A6" s="4"/>
      <c r="B6" s="172"/>
      <c r="C6" s="172"/>
      <c r="D6" s="172"/>
    </row>
    <row r="7" spans="1:4">
      <c r="A7" s="173">
        <v>1</v>
      </c>
      <c r="B7" s="174" t="s">
        <v>456</v>
      </c>
      <c r="C7" s="177" t="s">
        <v>459</v>
      </c>
      <c r="D7" s="177"/>
    </row>
    <row r="8" spans="1:4" ht="15.5" customHeight="1">
      <c r="A8" s="173">
        <v>2</v>
      </c>
      <c r="B8" s="174" t="s">
        <v>457</v>
      </c>
      <c r="C8" s="177" t="s">
        <v>460</v>
      </c>
      <c r="D8" s="177"/>
    </row>
    <row r="9" spans="1:4">
      <c r="A9" s="173">
        <v>3</v>
      </c>
      <c r="B9" s="174" t="s">
        <v>458</v>
      </c>
      <c r="C9" s="177" t="s">
        <v>485</v>
      </c>
      <c r="D9" s="177"/>
    </row>
    <row r="10" spans="1:4">
      <c r="A10" s="4"/>
      <c r="B10" s="172"/>
      <c r="C10" s="172"/>
      <c r="D10" s="172"/>
    </row>
    <row r="11" spans="1:4">
      <c r="A11" s="4"/>
      <c r="B11" s="172"/>
      <c r="C11" s="172"/>
      <c r="D11" s="172"/>
    </row>
    <row r="12" spans="1:4">
      <c r="A12" s="175" t="s">
        <v>455</v>
      </c>
      <c r="B12" s="176"/>
      <c r="C12" s="172"/>
      <c r="D12" s="172"/>
    </row>
    <row r="13" spans="1:4">
      <c r="A13" s="4" t="s">
        <v>461</v>
      </c>
      <c r="B13" s="172"/>
      <c r="C13" s="172"/>
      <c r="D13" s="172"/>
    </row>
    <row r="14" spans="1:4">
      <c r="A14" s="4"/>
      <c r="B14" s="172"/>
      <c r="C14" s="172"/>
      <c r="D14" s="172"/>
    </row>
    <row r="15" spans="1:4">
      <c r="A15" s="4"/>
      <c r="B15" s="4"/>
      <c r="C15" s="4"/>
      <c r="D15" s="4"/>
    </row>
    <row r="16" spans="1:4">
      <c r="A16" s="4"/>
      <c r="B16" s="4"/>
      <c r="C16" s="4"/>
      <c r="D16" s="4"/>
    </row>
  </sheetData>
  <mergeCells count="6">
    <mergeCell ref="A12:B12"/>
    <mergeCell ref="A1:B1"/>
    <mergeCell ref="A4:D5"/>
    <mergeCell ref="C7:D7"/>
    <mergeCell ref="C8:D8"/>
    <mergeCell ref="C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4"/>
  <sheetViews>
    <sheetView zoomScale="80" zoomScaleNormal="80" workbookViewId="0">
      <selection activeCell="B4" sqref="B4"/>
    </sheetView>
  </sheetViews>
  <sheetFormatPr defaultColWidth="11" defaultRowHeight="15.5"/>
  <cols>
    <col min="1" max="1" width="52.5" style="4" customWidth="1"/>
    <col min="2" max="2" width="13.83203125" style="4" customWidth="1"/>
    <col min="3" max="3" width="16.58203125" style="4" customWidth="1"/>
    <col min="4" max="5" width="19" style="4" customWidth="1"/>
    <col min="6" max="6" width="17.08203125" style="5" customWidth="1"/>
    <col min="7" max="7" width="20.33203125" style="4" customWidth="1"/>
    <col min="8" max="8" width="18.33203125" style="4" customWidth="1"/>
    <col min="9" max="10" width="11" style="4" customWidth="1"/>
    <col min="11" max="11" width="7.83203125" style="4" customWidth="1"/>
    <col min="12" max="12" width="11" style="4" customWidth="1"/>
    <col min="13" max="13" width="7.83203125" style="4" customWidth="1"/>
    <col min="14" max="14" width="11" style="4" customWidth="1"/>
    <col min="15" max="15" width="7.83203125" style="4" customWidth="1"/>
    <col min="16" max="16" width="11" style="4" customWidth="1"/>
  </cols>
  <sheetData>
    <row r="1" spans="1:16">
      <c r="A1" s="9" t="s">
        <v>462</v>
      </c>
      <c r="D1" s="4" t="s">
        <v>128</v>
      </c>
      <c r="F1" s="4"/>
    </row>
    <row r="2" spans="1:16">
      <c r="A2" s="9"/>
      <c r="D2" s="6"/>
      <c r="E2" s="4" t="s">
        <v>129</v>
      </c>
    </row>
    <row r="3" spans="1:16">
      <c r="A3" s="26" t="s">
        <v>486</v>
      </c>
      <c r="B3" s="53">
        <v>3</v>
      </c>
      <c r="D3" s="41"/>
      <c r="E3" s="26" t="s">
        <v>191</v>
      </c>
    </row>
    <row r="4" spans="1:16">
      <c r="A4" s="4" t="s">
        <v>168</v>
      </c>
      <c r="B4" s="14">
        <f>E54</f>
        <v>2.63</v>
      </c>
      <c r="C4" s="4" t="s">
        <v>30</v>
      </c>
      <c r="F4" s="4"/>
    </row>
    <row r="5" spans="1:16">
      <c r="A5" s="10" t="s">
        <v>415</v>
      </c>
      <c r="B5" s="23">
        <f>B382</f>
        <v>35460</v>
      </c>
      <c r="C5" s="4" t="s">
        <v>167</v>
      </c>
      <c r="F5" s="4"/>
    </row>
    <row r="6" spans="1:16">
      <c r="A6" s="10" t="str">
        <f t="shared" ref="A6:B8" si="0">A302</f>
        <v>Fusion Titanium 2.0L gasoline car  - lifetime</v>
      </c>
      <c r="B6" s="18">
        <v>14</v>
      </c>
      <c r="C6" s="4" t="s">
        <v>70</v>
      </c>
      <c r="F6" s="26"/>
    </row>
    <row r="7" spans="1:16">
      <c r="A7" s="10" t="str">
        <f t="shared" si="0"/>
        <v>Fusion Titanium 2.0L gasoline car  - mpg</v>
      </c>
      <c r="B7" s="75">
        <f t="shared" si="0"/>
        <v>25</v>
      </c>
      <c r="C7" s="4" t="s">
        <v>22</v>
      </c>
      <c r="P7" s="67"/>
    </row>
    <row r="8" spans="1:16">
      <c r="A8" s="10" t="str">
        <f t="shared" si="0"/>
        <v>Fusion Titanium 2.0L gasoline car  - embodied energy</v>
      </c>
      <c r="B8" s="23">
        <f t="shared" si="0"/>
        <v>34000</v>
      </c>
      <c r="C8" s="4" t="s">
        <v>67</v>
      </c>
    </row>
    <row r="9" spans="1:16">
      <c r="A9" s="10" t="s">
        <v>424</v>
      </c>
      <c r="B9" s="113">
        <f>B464</f>
        <v>2730.8485424875657</v>
      </c>
      <c r="C9" s="64" t="s">
        <v>46</v>
      </c>
    </row>
    <row r="10" spans="1:16">
      <c r="A10" s="10" t="s">
        <v>425</v>
      </c>
      <c r="B10" s="23">
        <f>C382</f>
        <v>35255</v>
      </c>
      <c r="C10" s="4" t="s">
        <v>167</v>
      </c>
    </row>
    <row r="11" spans="1:16">
      <c r="A11" s="10" t="str">
        <f>A306</f>
        <v>Fusion Titanium 2.0L Hybrid car - lifetime</v>
      </c>
      <c r="B11" s="18">
        <v>14</v>
      </c>
      <c r="C11" s="4" t="s">
        <v>70</v>
      </c>
    </row>
    <row r="12" spans="1:16">
      <c r="A12" s="10" t="str">
        <f>A307</f>
        <v>Fusion Titanium 2.0L Hybrid car - mpg</v>
      </c>
      <c r="B12" s="75">
        <f>B307</f>
        <v>42</v>
      </c>
      <c r="C12" s="4" t="s">
        <v>22</v>
      </c>
    </row>
    <row r="13" spans="1:16">
      <c r="A13" s="10" t="str">
        <f>A308</f>
        <v>Fusion Titanium 2.0L Hybrid car - embodied energy</v>
      </c>
      <c r="B13" s="23">
        <f>B308</f>
        <v>40000</v>
      </c>
      <c r="C13" s="4" t="s">
        <v>67</v>
      </c>
    </row>
    <row r="14" spans="1:16">
      <c r="A14" s="10" t="s">
        <v>426</v>
      </c>
      <c r="B14" s="113">
        <f>B471</f>
        <v>2709.6940254231035</v>
      </c>
      <c r="C14" s="64" t="s">
        <v>46</v>
      </c>
    </row>
    <row r="15" spans="1:16">
      <c r="A15" s="4" t="s">
        <v>195</v>
      </c>
      <c r="B15" s="23">
        <f>B309</f>
        <v>12415.684880286784</v>
      </c>
      <c r="C15" s="4" t="s">
        <v>196</v>
      </c>
    </row>
    <row r="16" spans="1:16">
      <c r="A16" s="4" t="s">
        <v>135</v>
      </c>
      <c r="B16" s="18">
        <v>34317</v>
      </c>
      <c r="C16" s="4" t="s">
        <v>61</v>
      </c>
      <c r="D16" s="160" t="s">
        <v>48</v>
      </c>
    </row>
    <row r="17" spans="1:16">
      <c r="A17" s="4" t="s">
        <v>136</v>
      </c>
      <c r="B17" s="153">
        <v>0.88319000000000003</v>
      </c>
      <c r="C17" s="20" t="s">
        <v>18</v>
      </c>
      <c r="D17" s="4" t="s">
        <v>50</v>
      </c>
      <c r="E17" s="4" t="s">
        <v>443</v>
      </c>
    </row>
    <row r="18" spans="1:16" ht="16" thickBot="1">
      <c r="A18" s="4" t="s">
        <v>137</v>
      </c>
      <c r="B18" s="6">
        <v>7.8479999999999994E-2</v>
      </c>
      <c r="C18" s="20" t="s">
        <v>18</v>
      </c>
      <c r="D18" s="4" t="s">
        <v>50</v>
      </c>
      <c r="E18" s="4" t="s">
        <v>443</v>
      </c>
    </row>
    <row r="19" spans="1:16">
      <c r="A19" s="4" t="s">
        <v>453</v>
      </c>
      <c r="B19" s="159">
        <f>D152/(D152+D153)</f>
        <v>6.3960406659259908E-2</v>
      </c>
      <c r="D19" s="161" t="s">
        <v>433</v>
      </c>
      <c r="E19" s="162"/>
      <c r="F19" s="163"/>
    </row>
    <row r="20" spans="1:16">
      <c r="A20" s="25" t="s">
        <v>166</v>
      </c>
      <c r="D20" s="164" t="s">
        <v>434</v>
      </c>
      <c r="E20" s="165" t="s">
        <v>435</v>
      </c>
      <c r="F20" s="166">
        <v>2018</v>
      </c>
    </row>
    <row r="21" spans="1:16">
      <c r="A21" s="43" t="s">
        <v>174</v>
      </c>
      <c r="B21" s="139">
        <f>E268</f>
        <v>0.47833922363561865</v>
      </c>
      <c r="D21" s="164">
        <v>1</v>
      </c>
      <c r="E21" s="165" t="s">
        <v>436</v>
      </c>
      <c r="F21" s="154">
        <v>17851.8</v>
      </c>
    </row>
    <row r="22" spans="1:16">
      <c r="A22" s="43" t="s">
        <v>175</v>
      </c>
      <c r="B22" s="139">
        <f>E290</f>
        <v>0.47833922363561909</v>
      </c>
      <c r="D22" s="164">
        <v>27</v>
      </c>
      <c r="E22" s="165" t="s">
        <v>437</v>
      </c>
      <c r="F22" s="154">
        <v>15766.5</v>
      </c>
    </row>
    <row r="23" spans="1:16">
      <c r="A23" s="43" t="s">
        <v>181</v>
      </c>
      <c r="B23" s="151">
        <f>B21-B22</f>
        <v>-4.4408920985006262E-16</v>
      </c>
      <c r="D23" s="164">
        <v>34</v>
      </c>
      <c r="E23" s="165" t="s">
        <v>438</v>
      </c>
      <c r="F23" s="154">
        <v>1237.3</v>
      </c>
    </row>
    <row r="24" spans="1:16">
      <c r="A24" s="43" t="s">
        <v>197</v>
      </c>
      <c r="B24" s="34">
        <f>B21*E91</f>
        <v>12175.146561202017</v>
      </c>
      <c r="C24" s="4" t="s">
        <v>11</v>
      </c>
      <c r="D24" s="167" t="s">
        <v>439</v>
      </c>
      <c r="E24" s="165" t="s">
        <v>440</v>
      </c>
      <c r="F24" s="168">
        <f>F22/F21</f>
        <v>0.88318824992437739</v>
      </c>
    </row>
    <row r="25" spans="1:16" ht="16" thickBot="1">
      <c r="D25" s="169" t="s">
        <v>441</v>
      </c>
      <c r="E25" s="170" t="s">
        <v>442</v>
      </c>
      <c r="F25" s="171">
        <f>F23/F22</f>
        <v>7.8476516665081028E-2</v>
      </c>
    </row>
    <row r="26" spans="1:16">
      <c r="A26"/>
      <c r="E26" s="107"/>
      <c r="F26" s="13"/>
      <c r="H26" s="51"/>
    </row>
    <row r="27" spans="1:16">
      <c r="A27" s="15"/>
      <c r="C27" s="117"/>
      <c r="D27" s="116"/>
      <c r="E27" s="107"/>
      <c r="F27" s="13"/>
    </row>
    <row r="28" spans="1:16">
      <c r="A28" s="107"/>
      <c r="C28" s="107"/>
      <c r="D28" s="116"/>
      <c r="E28" s="107"/>
      <c r="F28" s="13"/>
    </row>
    <row r="29" spans="1:16">
      <c r="A29" s="107"/>
      <c r="C29" s="117"/>
      <c r="D29" s="116"/>
      <c r="E29" s="107"/>
      <c r="F29" s="13"/>
    </row>
    <row r="30" spans="1:16">
      <c r="A30" s="10"/>
      <c r="B30" s="10"/>
      <c r="C30" s="10"/>
      <c r="D30" s="13"/>
      <c r="E30" s="10"/>
      <c r="F30" s="4"/>
      <c r="H30" s="51"/>
    </row>
    <row r="31" spans="1:16">
      <c r="A31"/>
      <c r="B31"/>
      <c r="C31"/>
      <c r="D31"/>
      <c r="E31"/>
      <c r="F31"/>
      <c r="G31"/>
      <c r="H31"/>
      <c r="I31"/>
      <c r="J31"/>
      <c r="K31"/>
      <c r="L31"/>
      <c r="M31"/>
      <c r="N31"/>
      <c r="O31"/>
      <c r="P31"/>
    </row>
    <row r="32" spans="1:16">
      <c r="A32"/>
      <c r="B32"/>
      <c r="C32"/>
      <c r="D32"/>
      <c r="E32"/>
      <c r="F32"/>
      <c r="G32"/>
      <c r="H32"/>
      <c r="I32"/>
      <c r="J32"/>
      <c r="K32"/>
      <c r="L32"/>
      <c r="M32"/>
      <c r="N32"/>
      <c r="O32"/>
      <c r="P32"/>
    </row>
    <row r="33" spans="1:16" ht="29">
      <c r="A33" s="9" t="s">
        <v>33</v>
      </c>
      <c r="B33" s="93" t="s">
        <v>479</v>
      </c>
      <c r="C33" s="8" t="s">
        <v>14</v>
      </c>
      <c r="D33" s="8" t="s">
        <v>14</v>
      </c>
      <c r="E33" s="2" t="s">
        <v>16</v>
      </c>
      <c r="F33" s="2" t="s">
        <v>303</v>
      </c>
      <c r="G33"/>
      <c r="H33"/>
      <c r="I33"/>
      <c r="J33"/>
      <c r="K33"/>
      <c r="L33"/>
      <c r="M33"/>
      <c r="N33"/>
      <c r="O33"/>
      <c r="P33"/>
    </row>
    <row r="34" spans="1:16">
      <c r="A34" s="4" t="s">
        <v>304</v>
      </c>
      <c r="D34" s="4" t="s">
        <v>483</v>
      </c>
      <c r="E34" s="114">
        <f>B19</f>
        <v>6.3960406659259908E-2</v>
      </c>
      <c r="F34"/>
      <c r="G34"/>
      <c r="H34"/>
      <c r="I34"/>
      <c r="J34"/>
      <c r="K34"/>
      <c r="L34"/>
      <c r="M34"/>
      <c r="N34"/>
      <c r="O34"/>
      <c r="P34"/>
    </row>
    <row r="35" spans="1:16">
      <c r="A35" s="4" t="s">
        <v>305</v>
      </c>
      <c r="D35" s="4" t="s">
        <v>476</v>
      </c>
      <c r="E35" s="89">
        <v>-0.2</v>
      </c>
      <c r="F35"/>
      <c r="G35"/>
      <c r="H35"/>
      <c r="I35"/>
      <c r="J35"/>
      <c r="K35"/>
      <c r="L35"/>
      <c r="M35"/>
      <c r="N35"/>
      <c r="O35"/>
      <c r="P35"/>
    </row>
    <row r="36" spans="1:16">
      <c r="A36" s="4" t="s">
        <v>477</v>
      </c>
      <c r="B36" s="4" t="s">
        <v>482</v>
      </c>
      <c r="D36" s="4" t="s">
        <v>475</v>
      </c>
      <c r="E36" s="90">
        <f>E35+E34*E38</f>
        <v>-0.13603959334074012</v>
      </c>
      <c r="F36" t="s">
        <v>57</v>
      </c>
      <c r="G36"/>
      <c r="H36"/>
      <c r="I36"/>
      <c r="J36"/>
      <c r="K36"/>
      <c r="L36"/>
      <c r="M36"/>
      <c r="N36"/>
      <c r="O36"/>
      <c r="P36"/>
    </row>
    <row r="37" spans="1:16">
      <c r="A37" s="4" t="s">
        <v>478</v>
      </c>
      <c r="B37" s="4" t="s">
        <v>480</v>
      </c>
      <c r="D37" s="4" t="s">
        <v>474</v>
      </c>
      <c r="E37" s="90">
        <f>E34*(E34+E35)/(E34-1)</f>
        <v>9.2957047690467361E-3</v>
      </c>
      <c r="F37" t="s">
        <v>58</v>
      </c>
      <c r="G37"/>
      <c r="H37"/>
      <c r="I37"/>
      <c r="J37"/>
      <c r="K37"/>
      <c r="L37"/>
      <c r="M37"/>
      <c r="N37"/>
      <c r="O37"/>
      <c r="P37"/>
    </row>
    <row r="38" spans="1:16">
      <c r="A38" s="4" t="s">
        <v>306</v>
      </c>
      <c r="D38" s="4" t="s">
        <v>307</v>
      </c>
      <c r="E38" s="89">
        <v>1</v>
      </c>
      <c r="F38" t="s">
        <v>60</v>
      </c>
      <c r="G38"/>
      <c r="H38"/>
      <c r="I38"/>
      <c r="J38"/>
      <c r="K38"/>
      <c r="L38"/>
      <c r="M38"/>
      <c r="N38"/>
      <c r="O38"/>
      <c r="P38"/>
    </row>
    <row r="39" spans="1:16">
      <c r="A39" s="4" t="s">
        <v>308</v>
      </c>
      <c r="D39" s="4" t="s">
        <v>309</v>
      </c>
      <c r="E39" s="89">
        <v>1</v>
      </c>
      <c r="F39" t="s">
        <v>62</v>
      </c>
      <c r="G39"/>
      <c r="H39"/>
      <c r="I39"/>
      <c r="J39"/>
      <c r="K39"/>
      <c r="L39"/>
      <c r="M39"/>
      <c r="N39"/>
      <c r="O39"/>
      <c r="P39"/>
    </row>
    <row r="40" spans="1:16">
      <c r="A40" s="4" t="s">
        <v>397</v>
      </c>
      <c r="B40" s="4" t="s">
        <v>481</v>
      </c>
      <c r="C40" s="146" t="s">
        <v>399</v>
      </c>
      <c r="D40" s="4" t="s">
        <v>400</v>
      </c>
      <c r="E40" s="12">
        <f>(E34+E35)/(E34-1)</f>
        <v>0.14533529810978685</v>
      </c>
      <c r="F40" s="4"/>
      <c r="G40"/>
      <c r="H40"/>
      <c r="I40"/>
      <c r="J40"/>
      <c r="K40"/>
      <c r="L40"/>
      <c r="M40"/>
      <c r="N40"/>
      <c r="O40"/>
      <c r="P40"/>
    </row>
    <row r="41" spans="1:16">
      <c r="C41" s="146" t="s">
        <v>398</v>
      </c>
      <c r="D41" s="4" t="s">
        <v>402</v>
      </c>
      <c r="E41" s="12">
        <f>(E40-1)/E40</f>
        <v>-5.8806409248536173</v>
      </c>
      <c r="F41" s="4"/>
      <c r="G41"/>
      <c r="H41"/>
      <c r="I41"/>
      <c r="J41"/>
      <c r="K41"/>
      <c r="L41"/>
      <c r="M41"/>
      <c r="N41"/>
      <c r="O41"/>
      <c r="P41"/>
    </row>
    <row r="42" spans="1:16">
      <c r="B42" s="15"/>
      <c r="C42" s="10"/>
      <c r="D42" s="10"/>
      <c r="E42" s="10"/>
      <c r="F42" s="10"/>
    </row>
    <row r="43" spans="1:16">
      <c r="A43" s="10"/>
      <c r="B43" s="10"/>
      <c r="C43" s="115"/>
      <c r="D43" s="13"/>
      <c r="E43" s="13"/>
      <c r="F43" s="64"/>
    </row>
    <row r="44" spans="1:16">
      <c r="A44" s="10"/>
      <c r="B44" s="10"/>
      <c r="C44" s="10"/>
      <c r="D44" s="13"/>
      <c r="E44" s="13"/>
      <c r="F44" s="64"/>
    </row>
    <row r="45" spans="1:16">
      <c r="A45" s="10"/>
      <c r="B45" s="10"/>
      <c r="C45" s="10"/>
      <c r="D45" s="13"/>
      <c r="E45" s="13"/>
      <c r="F45" s="64"/>
    </row>
    <row r="46" spans="1:16">
      <c r="A46" s="43"/>
      <c r="B46" s="59"/>
    </row>
    <row r="47" spans="1:16">
      <c r="A47" s="43"/>
      <c r="B47" s="59"/>
      <c r="P47" s="66"/>
    </row>
    <row r="48" spans="1:16" s="3" customFormat="1">
      <c r="A48" s="7" t="s">
        <v>130</v>
      </c>
      <c r="B48" s="7"/>
      <c r="C48" s="8" t="s">
        <v>14</v>
      </c>
      <c r="D48" s="8" t="s">
        <v>14</v>
      </c>
      <c r="E48" s="8" t="s">
        <v>16</v>
      </c>
      <c r="F48" s="7" t="s">
        <v>13</v>
      </c>
      <c r="G48" s="7" t="s">
        <v>153</v>
      </c>
      <c r="H48" s="7" t="s">
        <v>0</v>
      </c>
      <c r="I48" s="7"/>
      <c r="J48" s="7"/>
      <c r="K48" s="7"/>
      <c r="L48" s="7"/>
      <c r="M48" s="7"/>
      <c r="N48" s="7"/>
      <c r="O48" s="7"/>
      <c r="P48" s="4"/>
    </row>
    <row r="49" spans="1:16">
      <c r="D49" s="5"/>
      <c r="F49" s="4"/>
    </row>
    <row r="50" spans="1:16">
      <c r="A50" s="9" t="s">
        <v>23</v>
      </c>
      <c r="B50" s="9"/>
      <c r="D50" s="5"/>
      <c r="F50" s="4"/>
    </row>
    <row r="51" spans="1:16">
      <c r="A51" s="4" t="s">
        <v>131</v>
      </c>
      <c r="D51" s="5"/>
      <c r="E51" s="6">
        <v>44.6</v>
      </c>
      <c r="F51" s="4" t="s">
        <v>2</v>
      </c>
      <c r="H51" s="4" t="s">
        <v>1</v>
      </c>
    </row>
    <row r="52" spans="1:16">
      <c r="A52" s="4" t="s">
        <v>132</v>
      </c>
      <c r="C52" s="10"/>
      <c r="D52" s="5"/>
      <c r="E52" s="10">
        <f>E51*0.75</f>
        <v>33.450000000000003</v>
      </c>
      <c r="F52" s="4" t="s">
        <v>3</v>
      </c>
      <c r="H52" s="4" t="s">
        <v>4</v>
      </c>
    </row>
    <row r="53" spans="1:16">
      <c r="A53" s="4" t="s">
        <v>133</v>
      </c>
      <c r="C53" s="10"/>
      <c r="D53" s="5"/>
      <c r="E53" s="11">
        <f>E52*E59</f>
        <v>126.62163000000001</v>
      </c>
      <c r="F53" s="4" t="s">
        <v>29</v>
      </c>
      <c r="H53" s="4" t="s">
        <v>134</v>
      </c>
    </row>
    <row r="54" spans="1:16">
      <c r="A54" s="4" t="s">
        <v>450</v>
      </c>
      <c r="C54" s="10"/>
      <c r="D54" s="5"/>
      <c r="E54" s="21">
        <v>2.63</v>
      </c>
      <c r="F54" s="4" t="s">
        <v>30</v>
      </c>
      <c r="H54" s="4" t="s">
        <v>428</v>
      </c>
    </row>
    <row r="55" spans="1:16">
      <c r="A55" s="10" t="s">
        <v>31</v>
      </c>
      <c r="B55" s="10"/>
      <c r="C55" s="5"/>
      <c r="D55" s="5" t="s">
        <v>15</v>
      </c>
      <c r="E55" s="12">
        <f>E54/E53</f>
        <v>2.0770542915929922E-2</v>
      </c>
      <c r="F55" s="4" t="s">
        <v>5</v>
      </c>
    </row>
    <row r="56" spans="1:16">
      <c r="A56" s="70"/>
      <c r="B56" s="70"/>
      <c r="C56" s="10"/>
      <c r="D56" s="13"/>
      <c r="E56" s="14"/>
      <c r="F56" s="10"/>
      <c r="G56" s="10"/>
      <c r="H56" s="10"/>
      <c r="I56" s="10"/>
      <c r="J56" s="10"/>
      <c r="K56" s="10"/>
      <c r="L56" s="10"/>
      <c r="M56" s="10"/>
      <c r="N56" s="10"/>
      <c r="O56" s="10"/>
    </row>
    <row r="57" spans="1:16">
      <c r="A57" s="10"/>
      <c r="B57" s="10"/>
      <c r="C57" s="10"/>
      <c r="D57" s="13"/>
      <c r="E57" s="14"/>
      <c r="F57" s="10"/>
      <c r="G57" s="10"/>
      <c r="H57" s="10"/>
      <c r="I57" s="10"/>
      <c r="J57" s="10"/>
      <c r="K57" s="10"/>
      <c r="L57" s="13"/>
      <c r="M57" s="10"/>
      <c r="N57" s="10"/>
      <c r="O57" s="10"/>
    </row>
    <row r="58" spans="1:16">
      <c r="A58" s="9" t="s">
        <v>24</v>
      </c>
      <c r="B58" s="9"/>
      <c r="F58" s="4"/>
    </row>
    <row r="59" spans="1:16">
      <c r="A59" s="4" t="s">
        <v>25</v>
      </c>
      <c r="E59" s="6">
        <v>3.7854000000000001</v>
      </c>
      <c r="F59" s="4" t="s">
        <v>28</v>
      </c>
    </row>
    <row r="60" spans="1:16">
      <c r="A60" s="4" t="s">
        <v>26</v>
      </c>
      <c r="E60" s="6">
        <v>1.6093440000000001</v>
      </c>
      <c r="F60" s="4" t="s">
        <v>27</v>
      </c>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v>1594129.6070000001</v>
      </c>
      <c r="F63" s="4" t="s">
        <v>6</v>
      </c>
      <c r="H63" s="4" t="s">
        <v>444</v>
      </c>
    </row>
    <row r="64" spans="1:16">
      <c r="A64" s="4" t="s">
        <v>432</v>
      </c>
      <c r="C64" s="4" t="s">
        <v>19</v>
      </c>
      <c r="D64" s="5"/>
      <c r="E64" s="17">
        <f>E63*41.868*1000000</f>
        <v>66743018385876.008</v>
      </c>
      <c r="F64" s="4" t="s">
        <v>11</v>
      </c>
      <c r="H64" s="4" t="s">
        <v>20</v>
      </c>
    </row>
    <row r="65" spans="1:9">
      <c r="A65" s="4" t="s">
        <v>7</v>
      </c>
      <c r="C65" s="4" t="s">
        <v>451</v>
      </c>
      <c r="D65" s="5"/>
      <c r="E65" s="18">
        <v>20612</v>
      </c>
      <c r="F65" s="4" t="s">
        <v>12</v>
      </c>
      <c r="H65" s="4" t="s">
        <v>8</v>
      </c>
      <c r="I65" s="4" t="s">
        <v>443</v>
      </c>
    </row>
    <row r="66" spans="1:9">
      <c r="A66" s="10" t="s">
        <v>9</v>
      </c>
      <c r="B66" s="10"/>
      <c r="C66" s="5"/>
      <c r="D66" s="5" t="s">
        <v>55</v>
      </c>
      <c r="E66" s="19">
        <f>E64/E65/1000000000</f>
        <v>3.2380660967337476</v>
      </c>
      <c r="F66" s="4" t="s">
        <v>10</v>
      </c>
    </row>
    <row r="67" spans="1:9">
      <c r="A67" s="10" t="s">
        <v>17</v>
      </c>
      <c r="B67" s="10"/>
      <c r="C67" s="10"/>
      <c r="D67" s="13" t="s">
        <v>193</v>
      </c>
      <c r="E67" s="68">
        <f>E55*E66</f>
        <v>6.7256390826825996E-2</v>
      </c>
      <c r="F67" s="64" t="s">
        <v>18</v>
      </c>
    </row>
    <row r="68" spans="1:9">
      <c r="D68" s="5"/>
      <c r="F68" s="20"/>
    </row>
    <row r="69" spans="1:9">
      <c r="A69" s="9" t="s">
        <v>186</v>
      </c>
      <c r="B69" s="9"/>
      <c r="D69" s="5"/>
      <c r="F69" s="4"/>
    </row>
    <row r="70" spans="1:9">
      <c r="A70" s="4" t="s">
        <v>125</v>
      </c>
      <c r="C70" s="5"/>
      <c r="D70" s="5" t="s">
        <v>42</v>
      </c>
      <c r="E70" s="23">
        <f>B5</f>
        <v>35460</v>
      </c>
      <c r="F70" s="4" t="s">
        <v>34</v>
      </c>
    </row>
    <row r="71" spans="1:9">
      <c r="A71" s="4" t="s">
        <v>21</v>
      </c>
      <c r="C71" s="5"/>
      <c r="D71" s="5" t="s">
        <v>77</v>
      </c>
      <c r="E71" s="10">
        <f>B7</f>
        <v>25</v>
      </c>
      <c r="F71" s="4" t="s">
        <v>22</v>
      </c>
    </row>
    <row r="72" spans="1:9">
      <c r="A72" s="4" t="s">
        <v>127</v>
      </c>
      <c r="C72" s="5"/>
      <c r="D72" s="5" t="s">
        <v>36</v>
      </c>
      <c r="E72" s="12">
        <f>E$54/E71</f>
        <v>0.1052</v>
      </c>
      <c r="F72" s="4" t="s">
        <v>126</v>
      </c>
    </row>
    <row r="73" spans="1:9">
      <c r="A73" s="4" t="s">
        <v>194</v>
      </c>
      <c r="C73" s="5"/>
      <c r="D73" s="5" t="s">
        <v>147</v>
      </c>
      <c r="E73" s="23">
        <f>B15</f>
        <v>12415.684880286784</v>
      </c>
      <c r="F73" s="4" t="s">
        <v>41</v>
      </c>
      <c r="H73" s="4" t="s">
        <v>39</v>
      </c>
    </row>
    <row r="74" spans="1:9">
      <c r="A74" s="4" t="s">
        <v>148</v>
      </c>
      <c r="C74" s="5"/>
      <c r="D74" s="5" t="s">
        <v>146</v>
      </c>
      <c r="E74" s="22">
        <f>E73/E71*E53</f>
        <v>62883.770284330705</v>
      </c>
      <c r="F74" s="4" t="s">
        <v>11</v>
      </c>
      <c r="H74" s="4" t="s">
        <v>38</v>
      </c>
    </row>
    <row r="75" spans="1:9">
      <c r="A75" s="4" t="s">
        <v>68</v>
      </c>
      <c r="C75" s="5"/>
      <c r="D75" s="5" t="s">
        <v>44</v>
      </c>
      <c r="E75" s="23">
        <f>B8</f>
        <v>34000</v>
      </c>
      <c r="F75" s="4" t="s">
        <v>67</v>
      </c>
      <c r="H75" s="4" t="s">
        <v>45</v>
      </c>
    </row>
    <row r="76" spans="1:9">
      <c r="A76" s="4" t="s">
        <v>69</v>
      </c>
      <c r="D76" s="5" t="s">
        <v>71</v>
      </c>
      <c r="E76" s="10">
        <f>B6</f>
        <v>14</v>
      </c>
      <c r="F76" s="4" t="s">
        <v>70</v>
      </c>
    </row>
    <row r="77" spans="1:9">
      <c r="A77" s="4" t="s">
        <v>171</v>
      </c>
      <c r="D77" s="5" t="s">
        <v>172</v>
      </c>
      <c r="E77" s="18">
        <f>B450/7</f>
        <v>4778.0616660602782</v>
      </c>
      <c r="F77" s="4" t="s">
        <v>46</v>
      </c>
    </row>
    <row r="78" spans="1:9">
      <c r="A78" s="4" t="s">
        <v>43</v>
      </c>
      <c r="C78" s="5"/>
      <c r="D78" s="5" t="s">
        <v>72</v>
      </c>
      <c r="E78" s="22">
        <f>E75/E76</f>
        <v>2428.5714285714284</v>
      </c>
      <c r="F78" s="4" t="s">
        <v>11</v>
      </c>
    </row>
    <row r="79" spans="1:9">
      <c r="A79" s="4" t="s">
        <v>295</v>
      </c>
      <c r="D79" s="5" t="s">
        <v>296</v>
      </c>
      <c r="E79" s="23">
        <f>B9</f>
        <v>2730.8485424875657</v>
      </c>
      <c r="F79" s="4" t="s">
        <v>46</v>
      </c>
      <c r="H79" s="84"/>
    </row>
    <row r="80" spans="1:9">
      <c r="D80" s="5"/>
      <c r="E80" s="22"/>
      <c r="F80" s="4"/>
    </row>
    <row r="81" spans="1:11">
      <c r="A81" s="9" t="s">
        <v>187</v>
      </c>
      <c r="B81" s="9"/>
      <c r="D81" s="25"/>
      <c r="F81" s="4"/>
    </row>
    <row r="82" spans="1:11">
      <c r="A82" s="4" t="s">
        <v>125</v>
      </c>
      <c r="C82" s="5"/>
      <c r="D82" s="5" t="s">
        <v>149</v>
      </c>
      <c r="E82" s="23">
        <f>B10</f>
        <v>35255</v>
      </c>
      <c r="F82" s="4" t="s">
        <v>34</v>
      </c>
      <c r="G82" s="5"/>
    </row>
    <row r="83" spans="1:11">
      <c r="A83" s="4" t="s">
        <v>35</v>
      </c>
      <c r="C83" s="5"/>
      <c r="D83" s="5" t="s">
        <v>115</v>
      </c>
      <c r="E83" s="91">
        <f>B12</f>
        <v>42</v>
      </c>
      <c r="F83" s="4" t="s">
        <v>22</v>
      </c>
      <c r="G83" s="5"/>
    </row>
    <row r="84" spans="1:11">
      <c r="A84" s="4" t="s">
        <v>37</v>
      </c>
      <c r="C84" s="5"/>
      <c r="D84" s="5" t="s">
        <v>152</v>
      </c>
      <c r="E84" s="12">
        <f>E$54/E83</f>
        <v>6.2619047619047616E-2</v>
      </c>
      <c r="F84" s="4" t="s">
        <v>126</v>
      </c>
      <c r="G84" s="5"/>
    </row>
    <row r="85" spans="1:11">
      <c r="A85" s="4" t="s">
        <v>180</v>
      </c>
      <c r="D85" s="5" t="s">
        <v>94</v>
      </c>
      <c r="E85" s="23">
        <f>E73</f>
        <v>12415.684880286784</v>
      </c>
      <c r="F85" s="4" t="s">
        <v>41</v>
      </c>
      <c r="J85" s="5" t="s">
        <v>403</v>
      </c>
      <c r="K85" s="5" t="s">
        <v>404</v>
      </c>
    </row>
    <row r="86" spans="1:11">
      <c r="A86" s="4" t="s">
        <v>95</v>
      </c>
      <c r="D86" s="5" t="s">
        <v>78</v>
      </c>
      <c r="E86" s="99">
        <f>((E34+(1-E34)*(((1-E34)/(E34))*(E84*E85/D153))^(E41/(1-E41)))^(-1/E41))*E85</f>
        <v>13335.357557196614</v>
      </c>
      <c r="F86" s="4" t="s">
        <v>41</v>
      </c>
      <c r="J86" s="22">
        <f>E86</f>
        <v>13335.357557196614</v>
      </c>
      <c r="K86" s="23">
        <v>15494.194659011706</v>
      </c>
    </row>
    <row r="87" spans="1:11">
      <c r="A87" s="4" t="s">
        <v>123</v>
      </c>
      <c r="D87" s="5" t="s">
        <v>120</v>
      </c>
      <c r="E87" s="23">
        <f>((E105+E116)/(E105))^E38 * E86</f>
        <v>13755.233717490712</v>
      </c>
      <c r="F87" s="4" t="s">
        <v>41</v>
      </c>
      <c r="J87" s="22">
        <f>E87</f>
        <v>13755.233717490712</v>
      </c>
      <c r="K87" s="23">
        <v>16065.774647357228</v>
      </c>
    </row>
    <row r="88" spans="1:11">
      <c r="A88" s="4" t="s">
        <v>97</v>
      </c>
      <c r="D88" s="5" t="s">
        <v>116</v>
      </c>
      <c r="E88" s="23">
        <f>E85/E$83*E$53</f>
        <v>37430.815645434945</v>
      </c>
      <c r="F88" s="4" t="s">
        <v>11</v>
      </c>
      <c r="G88" s="26"/>
    </row>
    <row r="89" spans="1:11">
      <c r="A89" s="4" t="s">
        <v>96</v>
      </c>
      <c r="D89" s="5" t="s">
        <v>117</v>
      </c>
      <c r="E89" s="23">
        <f>E86/E$83*E$53</f>
        <v>40203.445488691752</v>
      </c>
      <c r="F89" s="4" t="s">
        <v>11</v>
      </c>
    </row>
    <row r="90" spans="1:11">
      <c r="A90" s="4" t="s">
        <v>122</v>
      </c>
      <c r="D90" s="5" t="s">
        <v>121</v>
      </c>
      <c r="E90" s="23">
        <f>E87/E$83*E$53</f>
        <v>41469.288436657946</v>
      </c>
      <c r="F90" s="4" t="s">
        <v>11</v>
      </c>
    </row>
    <row r="91" spans="1:11">
      <c r="A91" s="4" t="s">
        <v>150</v>
      </c>
      <c r="D91" s="5" t="s">
        <v>53</v>
      </c>
      <c r="E91" s="23">
        <f>E74-E88</f>
        <v>25452.954638895761</v>
      </c>
      <c r="F91" s="4" t="s">
        <v>11</v>
      </c>
    </row>
    <row r="92" spans="1:11">
      <c r="A92" s="4" t="s">
        <v>68</v>
      </c>
      <c r="C92" s="5"/>
      <c r="D92" s="5" t="s">
        <v>52</v>
      </c>
      <c r="E92" s="23">
        <f>B13</f>
        <v>40000</v>
      </c>
      <c r="F92" s="4" t="s">
        <v>67</v>
      </c>
    </row>
    <row r="93" spans="1:11">
      <c r="A93" s="4" t="s">
        <v>69</v>
      </c>
      <c r="D93" s="5" t="s">
        <v>73</v>
      </c>
      <c r="E93" s="23">
        <f>B11</f>
        <v>14</v>
      </c>
      <c r="F93" s="4" t="s">
        <v>70</v>
      </c>
    </row>
    <row r="94" spans="1:11">
      <c r="A94" s="4" t="s">
        <v>171</v>
      </c>
      <c r="C94" s="5"/>
      <c r="D94" s="5" t="s">
        <v>173</v>
      </c>
      <c r="E94" s="18">
        <f>B457/7</f>
        <v>4719.703482412976</v>
      </c>
      <c r="F94" s="4" t="s">
        <v>46</v>
      </c>
    </row>
    <row r="95" spans="1:11">
      <c r="A95" s="4" t="s">
        <v>43</v>
      </c>
      <c r="C95" s="5"/>
      <c r="D95" s="5" t="s">
        <v>118</v>
      </c>
      <c r="E95" s="22">
        <f>E92/E93</f>
        <v>2857.1428571428573</v>
      </c>
      <c r="F95" s="4" t="s">
        <v>11</v>
      </c>
      <c r="G95" s="5"/>
    </row>
    <row r="96" spans="1:11">
      <c r="A96" s="4" t="s">
        <v>295</v>
      </c>
      <c r="C96" s="5"/>
      <c r="D96" s="5" t="s">
        <v>294</v>
      </c>
      <c r="E96" s="22">
        <f>B14</f>
        <v>2709.6940254231035</v>
      </c>
      <c r="F96" s="4" t="s">
        <v>46</v>
      </c>
    </row>
    <row r="97" spans="1:11">
      <c r="C97" s="5"/>
      <c r="D97" s="5"/>
      <c r="E97" s="22"/>
      <c r="F97" s="4"/>
    </row>
    <row r="98" spans="1:11">
      <c r="A98" s="4" t="s">
        <v>176</v>
      </c>
      <c r="C98" s="5"/>
      <c r="D98" s="13" t="s">
        <v>177</v>
      </c>
      <c r="E98" s="57">
        <f>E83/E71</f>
        <v>1.68</v>
      </c>
      <c r="F98" s="58" t="s">
        <v>18</v>
      </c>
    </row>
    <row r="99" spans="1:11">
      <c r="D99" s="5"/>
      <c r="E99" s="22"/>
      <c r="F99" s="4"/>
    </row>
    <row r="100" spans="1:11">
      <c r="A100" s="9" t="s">
        <v>154</v>
      </c>
      <c r="B100" s="9"/>
      <c r="D100" s="5"/>
      <c r="F100" s="20"/>
    </row>
    <row r="101" spans="1:11">
      <c r="A101" s="4" t="s">
        <v>135</v>
      </c>
      <c r="D101" s="5"/>
      <c r="E101" s="23">
        <f>B16</f>
        <v>34317</v>
      </c>
      <c r="F101" s="58" t="s">
        <v>46</v>
      </c>
    </row>
    <row r="102" spans="1:11">
      <c r="A102" s="4" t="s">
        <v>136</v>
      </c>
      <c r="D102" s="5"/>
      <c r="E102" s="63">
        <f>B17</f>
        <v>0.88319000000000003</v>
      </c>
      <c r="F102" s="58" t="s">
        <v>18</v>
      </c>
    </row>
    <row r="103" spans="1:11">
      <c r="A103" s="4" t="s">
        <v>137</v>
      </c>
      <c r="D103" s="5"/>
      <c r="E103" s="10">
        <f>B18</f>
        <v>7.8479999999999994E-2</v>
      </c>
      <c r="F103" s="58" t="s">
        <v>18</v>
      </c>
    </row>
    <row r="104" spans="1:11">
      <c r="A104" s="4" t="s">
        <v>49</v>
      </c>
      <c r="C104" s="5"/>
      <c r="D104" s="5" t="s">
        <v>59</v>
      </c>
      <c r="E104" s="157">
        <f>E101*E102*(1-E103)</f>
        <v>27929.825547069602</v>
      </c>
      <c r="F104" s="58" t="s">
        <v>46</v>
      </c>
    </row>
    <row r="105" spans="1:11">
      <c r="D105" s="13" t="s">
        <v>370</v>
      </c>
      <c r="E105" s="22">
        <f>E104-D150-D151-E106+F143*F165+F170</f>
        <v>19874.655974121051</v>
      </c>
      <c r="F105" s="58" t="s">
        <v>46</v>
      </c>
    </row>
    <row r="106" spans="1:11">
      <c r="A106" s="26" t="s">
        <v>151</v>
      </c>
      <c r="D106" s="5" t="s">
        <v>76</v>
      </c>
      <c r="E106" s="23">
        <f>E55*E91</f>
        <v>528.67168666440193</v>
      </c>
      <c r="F106" s="26" t="s">
        <v>46</v>
      </c>
    </row>
    <row r="107" spans="1:11">
      <c r="A107" s="4" t="s">
        <v>178</v>
      </c>
      <c r="D107" s="5" t="s">
        <v>179</v>
      </c>
      <c r="E107" s="23">
        <f>E167</f>
        <v>-58.358183647302212</v>
      </c>
      <c r="F107" s="26" t="s">
        <v>46</v>
      </c>
    </row>
    <row r="108" spans="1:11">
      <c r="A108" s="4" t="s">
        <v>292</v>
      </c>
      <c r="D108" s="5" t="s">
        <v>293</v>
      </c>
      <c r="E108" s="23">
        <f>E168</f>
        <v>-21.154517064462198</v>
      </c>
      <c r="F108" s="26" t="s">
        <v>46</v>
      </c>
    </row>
    <row r="109" spans="1:11">
      <c r="A109" s="4" t="s">
        <v>159</v>
      </c>
      <c r="D109" s="5" t="s">
        <v>311</v>
      </c>
      <c r="E109" s="23">
        <f>E104 - E55*E74 - E77 - E79</f>
        <v>19114.785289115589</v>
      </c>
      <c r="F109" s="26" t="s">
        <v>46</v>
      </c>
    </row>
    <row r="110" spans="1:11">
      <c r="A110" s="4" t="s">
        <v>98</v>
      </c>
      <c r="D110" s="5" t="s">
        <v>310</v>
      </c>
      <c r="E110" s="23">
        <f>E109</f>
        <v>19114.785289115589</v>
      </c>
      <c r="F110" s="26" t="s">
        <v>46</v>
      </c>
      <c r="J110" s="5" t="s">
        <v>403</v>
      </c>
      <c r="K110" s="5" t="s">
        <v>404</v>
      </c>
    </row>
    <row r="111" spans="1:11">
      <c r="A111" s="4" t="s">
        <v>99</v>
      </c>
      <c r="D111" s="5" t="s">
        <v>79</v>
      </c>
      <c r="E111" s="99">
        <f>E109*(1/(1+E34*(((((1-E34)/(E34))*(H146*D147/D153))^(1-E40))-1)))^(1/E41)</f>
        <v>19039.608584229933</v>
      </c>
      <c r="F111" s="26" t="s">
        <v>46</v>
      </c>
      <c r="J111" s="22">
        <f>E111</f>
        <v>19039.608584229933</v>
      </c>
      <c r="K111" s="23">
        <v>19143.140292324195</v>
      </c>
    </row>
    <row r="112" spans="1:11">
      <c r="A112" s="4" t="s">
        <v>124</v>
      </c>
      <c r="D112" s="5" t="s">
        <v>81</v>
      </c>
      <c r="E112" s="23">
        <f>E116 - E55*G165 + E111</f>
        <v>19639.088404066842</v>
      </c>
      <c r="F112" s="26" t="s">
        <v>46</v>
      </c>
      <c r="J112" s="22">
        <f>E112</f>
        <v>19639.088404066842</v>
      </c>
      <c r="K112" s="23" t="e">
        <f>#REF!</f>
        <v>#REF!</v>
      </c>
    </row>
    <row r="113" spans="1:6">
      <c r="A113" s="4" t="s">
        <v>158</v>
      </c>
      <c r="D113" s="5" t="s">
        <v>334</v>
      </c>
      <c r="E113" s="23">
        <f>E112</f>
        <v>19639.088404066842</v>
      </c>
      <c r="F113" s="26" t="s">
        <v>46</v>
      </c>
    </row>
    <row r="114" spans="1:6">
      <c r="A114" s="4" t="s">
        <v>160</v>
      </c>
      <c r="C114" s="5"/>
      <c r="D114" s="13" t="s">
        <v>161</v>
      </c>
      <c r="E114" s="23">
        <v>0</v>
      </c>
      <c r="F114" s="26" t="s">
        <v>46</v>
      </c>
    </row>
    <row r="115" spans="1:6">
      <c r="A115" s="4" t="s">
        <v>155</v>
      </c>
      <c r="D115" s="13" t="s">
        <v>162</v>
      </c>
      <c r="E115" s="23">
        <f>E106-E107-E108</f>
        <v>608.18438737616634</v>
      </c>
      <c r="F115" s="26" t="s">
        <v>46</v>
      </c>
    </row>
    <row r="116" spans="1:6">
      <c r="A116" s="4" t="s">
        <v>156</v>
      </c>
      <c r="D116" s="13" t="s">
        <v>75</v>
      </c>
      <c r="E116" s="99">
        <f>E106-E107-E108-E55*F165 - F170</f>
        <v>625.77206511246914</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40" spans="1:11">
      <c r="K140" s="27"/>
    </row>
    <row r="141" spans="1:11" ht="16" thickBot="1"/>
    <row r="142" spans="1:11" ht="16.5">
      <c r="A142" s="28"/>
      <c r="B142" s="29" t="s">
        <v>91</v>
      </c>
      <c r="C142" s="29" t="s">
        <v>92</v>
      </c>
      <c r="D142" s="29" t="s">
        <v>389</v>
      </c>
      <c r="E142" s="29" t="s">
        <v>101</v>
      </c>
      <c r="F142" s="29" t="s">
        <v>102</v>
      </c>
      <c r="G142" s="29" t="s">
        <v>104</v>
      </c>
      <c r="H142" s="29" t="s">
        <v>103</v>
      </c>
    </row>
    <row r="143" spans="1:11">
      <c r="A143" s="94" t="s">
        <v>83</v>
      </c>
      <c r="B143" s="5" t="s">
        <v>5</v>
      </c>
      <c r="C143" s="5"/>
      <c r="D143" s="31">
        <f>$E55</f>
        <v>2.0770542915929922E-2</v>
      </c>
      <c r="E143" s="31">
        <f>$E55</f>
        <v>2.0770542915929922E-2</v>
      </c>
      <c r="F143" s="31">
        <f>$E55</f>
        <v>2.0770542915929922E-2</v>
      </c>
      <c r="G143" s="31">
        <f>$E55</f>
        <v>2.0770542915929922E-2</v>
      </c>
      <c r="H143" s="31">
        <f>$E55</f>
        <v>2.0770542915929922E-2</v>
      </c>
    </row>
    <row r="144" spans="1:11">
      <c r="A144" s="94" t="s">
        <v>9</v>
      </c>
      <c r="B144" s="5" t="s">
        <v>10</v>
      </c>
      <c r="C144" s="5"/>
      <c r="D144" s="31">
        <f>$E66</f>
        <v>3.2380660967337476</v>
      </c>
      <c r="E144" s="31">
        <f>$E66</f>
        <v>3.2380660967337476</v>
      </c>
      <c r="F144" s="31">
        <f>$E66</f>
        <v>3.2380660967337476</v>
      </c>
      <c r="G144" s="31">
        <f>$E66</f>
        <v>3.2380660967337476</v>
      </c>
      <c r="H144" s="31">
        <f>$E66</f>
        <v>3.2380660967337476</v>
      </c>
    </row>
    <row r="145" spans="1:13">
      <c r="A145" s="94" t="s">
        <v>84</v>
      </c>
      <c r="B145" s="5" t="s">
        <v>22</v>
      </c>
      <c r="C145" s="5"/>
      <c r="D145" s="32">
        <f>E71</f>
        <v>25</v>
      </c>
      <c r="E145" s="32">
        <f t="shared" ref="E145:H146" si="1">$E83</f>
        <v>42</v>
      </c>
      <c r="F145" s="32">
        <f t="shared" si="1"/>
        <v>42</v>
      </c>
      <c r="G145" s="32">
        <f t="shared" si="1"/>
        <v>42</v>
      </c>
      <c r="H145" s="32">
        <f t="shared" si="1"/>
        <v>42</v>
      </c>
    </row>
    <row r="146" spans="1:13">
      <c r="A146" s="94" t="s">
        <v>85</v>
      </c>
      <c r="B146" s="5" t="s">
        <v>126</v>
      </c>
      <c r="C146" s="5"/>
      <c r="D146" s="31">
        <f>E72</f>
        <v>0.1052</v>
      </c>
      <c r="E146" s="31">
        <f t="shared" si="1"/>
        <v>6.2619047619047616E-2</v>
      </c>
      <c r="F146" s="31">
        <f t="shared" si="1"/>
        <v>6.2619047619047616E-2</v>
      </c>
      <c r="G146" s="31">
        <f t="shared" si="1"/>
        <v>6.2619047619047616E-2</v>
      </c>
      <c r="H146" s="31">
        <f t="shared" si="1"/>
        <v>6.2619047619047616E-2</v>
      </c>
    </row>
    <row r="147" spans="1:13">
      <c r="A147" s="94" t="s">
        <v>86</v>
      </c>
      <c r="B147" s="5" t="s">
        <v>41</v>
      </c>
      <c r="C147" s="5"/>
      <c r="D147" s="33">
        <f>$E73</f>
        <v>12415.684880286784</v>
      </c>
      <c r="E147" s="33">
        <f>E85</f>
        <v>12415.684880286784</v>
      </c>
      <c r="F147" s="144">
        <f>E86</f>
        <v>13335.357557196614</v>
      </c>
      <c r="G147" s="33">
        <f>E87</f>
        <v>13755.233717490712</v>
      </c>
      <c r="H147" s="33">
        <f>E87</f>
        <v>13755.233717490712</v>
      </c>
    </row>
    <row r="148" spans="1:13">
      <c r="A148" s="30" t="s">
        <v>40</v>
      </c>
      <c r="B148" s="5" t="s">
        <v>11</v>
      </c>
      <c r="C148" s="5"/>
      <c r="D148" s="33">
        <f>E74</f>
        <v>62883.770284330705</v>
      </c>
      <c r="E148" s="33">
        <f>E88</f>
        <v>37430.815645434945</v>
      </c>
      <c r="F148" s="33">
        <f>E89</f>
        <v>40203.445488691752</v>
      </c>
      <c r="G148" s="33">
        <f>E90</f>
        <v>41469.288436657946</v>
      </c>
      <c r="H148" s="33">
        <f>G148</f>
        <v>41469.288436657946</v>
      </c>
      <c r="I148" s="4" t="s">
        <v>335</v>
      </c>
    </row>
    <row r="149" spans="1:13">
      <c r="A149" s="30" t="s">
        <v>43</v>
      </c>
      <c r="B149" s="5" t="s">
        <v>11</v>
      </c>
      <c r="C149" s="5"/>
      <c r="D149" s="33">
        <f>E75/E76</f>
        <v>2428.5714285714284</v>
      </c>
      <c r="E149" s="33">
        <f>$E92/$E93</f>
        <v>2857.1428571428573</v>
      </c>
      <c r="F149" s="33">
        <f>$E92/$E93</f>
        <v>2857.1428571428573</v>
      </c>
      <c r="G149" s="33">
        <f>$E92/$E93</f>
        <v>2857.1428571428573</v>
      </c>
      <c r="H149" s="33">
        <f>$E92/$E93</f>
        <v>2857.1428571428573</v>
      </c>
    </row>
    <row r="150" spans="1:13">
      <c r="A150" s="30" t="s">
        <v>87</v>
      </c>
      <c r="B150" s="5" t="s">
        <v>46</v>
      </c>
      <c r="C150" s="5"/>
      <c r="D150" s="34">
        <f>E77</f>
        <v>4778.0616660602782</v>
      </c>
      <c r="E150" s="34">
        <f>E94</f>
        <v>4719.703482412976</v>
      </c>
      <c r="F150" s="34">
        <f>E150</f>
        <v>4719.703482412976</v>
      </c>
      <c r="G150" s="34">
        <f>F150</f>
        <v>4719.703482412976</v>
      </c>
      <c r="H150" s="34">
        <f>G150</f>
        <v>4719.703482412976</v>
      </c>
    </row>
    <row r="151" spans="1:13">
      <c r="A151" s="30" t="s">
        <v>366</v>
      </c>
      <c r="B151" s="5" t="s">
        <v>46</v>
      </c>
      <c r="C151" s="24"/>
      <c r="D151" s="33">
        <f>E79</f>
        <v>2730.8485424875657</v>
      </c>
      <c r="E151" s="33">
        <f>$E96</f>
        <v>2709.6940254231035</v>
      </c>
      <c r="F151" s="33">
        <f>$E96</f>
        <v>2709.6940254231035</v>
      </c>
      <c r="G151" s="33">
        <f>$E96</f>
        <v>2709.6940254231035</v>
      </c>
      <c r="H151" s="33">
        <f>$E96</f>
        <v>2709.6940254231035</v>
      </c>
    </row>
    <row r="152" spans="1:13">
      <c r="A152" s="30" t="s">
        <v>312</v>
      </c>
      <c r="B152" s="5" t="s">
        <v>46</v>
      </c>
      <c r="C152" s="5"/>
      <c r="D152" s="33">
        <f>D146*D147</f>
        <v>1306.1300494061697</v>
      </c>
      <c r="E152" s="33">
        <f>E146*E147</f>
        <v>777.4583627417677</v>
      </c>
      <c r="F152" s="33">
        <f>F146*F147</f>
        <v>835.04738989112127</v>
      </c>
      <c r="G152" s="33">
        <f>G146*G147</f>
        <v>861.33963516668018</v>
      </c>
      <c r="H152" s="33">
        <f>H146*H147</f>
        <v>861.33963516668018</v>
      </c>
    </row>
    <row r="153" spans="1:13">
      <c r="A153" s="30" t="s">
        <v>89</v>
      </c>
      <c r="B153" s="5" t="s">
        <v>46</v>
      </c>
      <c r="C153" s="24"/>
      <c r="D153" s="34">
        <f>E109</f>
        <v>19114.785289115589</v>
      </c>
      <c r="E153" s="34">
        <f>E110</f>
        <v>19114.785289115589</v>
      </c>
      <c r="F153" s="144">
        <f>E111</f>
        <v>19039.608584229933</v>
      </c>
      <c r="G153" s="34">
        <f>E112</f>
        <v>19639.088404066842</v>
      </c>
      <c r="H153" s="34">
        <f>E113</f>
        <v>19639.088404066842</v>
      </c>
      <c r="I153" s="4" t="s">
        <v>336</v>
      </c>
      <c r="J153" s="73">
        <f>F155</f>
        <v>625.77206511246914</v>
      </c>
      <c r="K153" s="4" t="s">
        <v>337</v>
      </c>
    </row>
    <row r="154" spans="1:13">
      <c r="A154" s="30" t="s">
        <v>367</v>
      </c>
      <c r="B154" s="5" t="s">
        <v>46</v>
      </c>
      <c r="C154" s="5"/>
      <c r="D154" s="33">
        <f>E104</f>
        <v>27929.825547069602</v>
      </c>
      <c r="E154" s="33">
        <f>E104</f>
        <v>27929.825547069602</v>
      </c>
      <c r="F154" s="33">
        <f>E104</f>
        <v>27929.825547069602</v>
      </c>
      <c r="G154" s="33">
        <f>E104</f>
        <v>27929.825547069602</v>
      </c>
      <c r="H154" s="33">
        <f>E104</f>
        <v>27929.825547069602</v>
      </c>
      <c r="J154" s="118">
        <f>D143*G165 + G170</f>
        <v>625.77206511246891</v>
      </c>
      <c r="K154" s="118" t="s">
        <v>338</v>
      </c>
      <c r="L154" s="118"/>
      <c r="M154" s="118"/>
    </row>
    <row r="155" spans="1:13">
      <c r="A155" s="30" t="s">
        <v>368</v>
      </c>
      <c r="B155" s="5" t="s">
        <v>46</v>
      </c>
      <c r="C155" s="5"/>
      <c r="D155" s="34">
        <f>E114</f>
        <v>0</v>
      </c>
      <c r="E155" s="34">
        <f>E115</f>
        <v>608.18438737616634</v>
      </c>
      <c r="F155" s="34">
        <f>E116</f>
        <v>625.77206511246914</v>
      </c>
      <c r="G155" s="34">
        <f>E117</f>
        <v>0</v>
      </c>
      <c r="H155" s="34">
        <f>E118</f>
        <v>0</v>
      </c>
      <c r="J155" s="22">
        <f>J153-J154</f>
        <v>0</v>
      </c>
      <c r="K155" s="4" t="s">
        <v>339</v>
      </c>
    </row>
    <row r="156" spans="1:13" ht="16" thickBot="1">
      <c r="A156" s="35" t="s">
        <v>105</v>
      </c>
      <c r="B156" s="36" t="s">
        <v>46</v>
      </c>
      <c r="C156" s="36"/>
      <c r="D156" s="36">
        <v>0</v>
      </c>
      <c r="E156" s="37">
        <f>$E106</f>
        <v>528.67168666440193</v>
      </c>
      <c r="F156" s="37">
        <f>$E106</f>
        <v>528.67168666440193</v>
      </c>
      <c r="G156" s="37">
        <f>$E106</f>
        <v>528.67168666440193</v>
      </c>
      <c r="H156" s="37">
        <f>$E106</f>
        <v>528.67168666440193</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3" si="2">E143-D143</f>
        <v>0</v>
      </c>
      <c r="F160" s="34">
        <f t="shared" si="2"/>
        <v>0</v>
      </c>
      <c r="G160" s="34">
        <f t="shared" si="2"/>
        <v>0</v>
      </c>
      <c r="H160" s="34">
        <f t="shared" si="2"/>
        <v>0</v>
      </c>
    </row>
    <row r="161" spans="1:8">
      <c r="A161" s="30" t="s">
        <v>9</v>
      </c>
      <c r="B161" s="5" t="s">
        <v>10</v>
      </c>
      <c r="C161" s="5"/>
      <c r="D161" s="31"/>
      <c r="E161" s="34">
        <f t="shared" si="2"/>
        <v>0</v>
      </c>
      <c r="F161" s="34">
        <f t="shared" si="2"/>
        <v>0</v>
      </c>
      <c r="G161" s="34">
        <f t="shared" si="2"/>
        <v>0</v>
      </c>
      <c r="H161" s="34">
        <f t="shared" si="2"/>
        <v>0</v>
      </c>
    </row>
    <row r="162" spans="1:8">
      <c r="A162" s="30" t="s">
        <v>84</v>
      </c>
      <c r="B162" s="5" t="s">
        <v>22</v>
      </c>
      <c r="C162" s="5"/>
      <c r="D162" s="39"/>
      <c r="E162" s="34">
        <f t="shared" si="2"/>
        <v>17</v>
      </c>
      <c r="F162" s="34">
        <f t="shared" si="2"/>
        <v>0</v>
      </c>
      <c r="G162" s="34">
        <f t="shared" si="2"/>
        <v>0</v>
      </c>
      <c r="H162" s="34">
        <f t="shared" si="2"/>
        <v>0</v>
      </c>
    </row>
    <row r="163" spans="1:8">
      <c r="A163" s="30" t="s">
        <v>85</v>
      </c>
      <c r="B163" s="5" t="s">
        <v>126</v>
      </c>
      <c r="C163" s="5"/>
      <c r="D163" s="38"/>
      <c r="E163" s="122">
        <f t="shared" si="2"/>
        <v>-4.2580952380952386E-2</v>
      </c>
      <c r="F163" s="122">
        <f t="shared" si="2"/>
        <v>0</v>
      </c>
      <c r="G163" s="122">
        <f t="shared" si="2"/>
        <v>0</v>
      </c>
      <c r="H163" s="122">
        <f t="shared" si="2"/>
        <v>0</v>
      </c>
    </row>
    <row r="164" spans="1:8">
      <c r="A164" s="30" t="s">
        <v>86</v>
      </c>
      <c r="B164" s="5" t="s">
        <v>41</v>
      </c>
      <c r="C164" s="5"/>
      <c r="D164" s="34"/>
      <c r="E164" s="34">
        <f t="shared" si="2"/>
        <v>0</v>
      </c>
      <c r="F164" s="34">
        <f t="shared" si="2"/>
        <v>919.67267690982953</v>
      </c>
      <c r="G164" s="34">
        <f t="shared" si="2"/>
        <v>419.87616029409764</v>
      </c>
      <c r="H164" s="34">
        <f t="shared" si="2"/>
        <v>0</v>
      </c>
    </row>
    <row r="165" spans="1:8">
      <c r="A165" s="30" t="s">
        <v>40</v>
      </c>
      <c r="B165" s="5" t="s">
        <v>11</v>
      </c>
      <c r="C165" s="5"/>
      <c r="D165" s="34"/>
      <c r="E165" s="34">
        <f t="shared" si="2"/>
        <v>-25452.954638895761</v>
      </c>
      <c r="F165" s="34">
        <f t="shared" si="2"/>
        <v>2772.6298432568074</v>
      </c>
      <c r="G165" s="34">
        <f t="shared" si="2"/>
        <v>1265.8429479661936</v>
      </c>
      <c r="H165" s="34">
        <f t="shared" si="2"/>
        <v>0</v>
      </c>
    </row>
    <row r="166" spans="1:8">
      <c r="A166" s="30" t="s">
        <v>43</v>
      </c>
      <c r="B166" s="5" t="s">
        <v>11</v>
      </c>
      <c r="C166" s="5"/>
      <c r="D166" s="34"/>
      <c r="E166" s="34">
        <f t="shared" si="2"/>
        <v>428.5714285714289</v>
      </c>
      <c r="F166" s="34">
        <f t="shared" si="2"/>
        <v>0</v>
      </c>
      <c r="G166" s="34">
        <f t="shared" si="2"/>
        <v>0</v>
      </c>
      <c r="H166" s="34">
        <f t="shared" si="2"/>
        <v>0</v>
      </c>
    </row>
    <row r="167" spans="1:8">
      <c r="A167" s="30" t="s">
        <v>87</v>
      </c>
      <c r="B167" s="5" t="s">
        <v>46</v>
      </c>
      <c r="C167" s="5"/>
      <c r="D167" s="34"/>
      <c r="E167" s="34">
        <f t="shared" si="2"/>
        <v>-58.358183647302212</v>
      </c>
      <c r="F167" s="34">
        <f t="shared" si="2"/>
        <v>0</v>
      </c>
      <c r="G167" s="34">
        <f t="shared" si="2"/>
        <v>0</v>
      </c>
      <c r="H167" s="34">
        <f t="shared" si="2"/>
        <v>0</v>
      </c>
    </row>
    <row r="168" spans="1:8">
      <c r="A168" s="30" t="s">
        <v>88</v>
      </c>
      <c r="B168" s="5" t="s">
        <v>46</v>
      </c>
      <c r="C168" s="24"/>
      <c r="D168" s="34"/>
      <c r="E168" s="34">
        <f t="shared" si="2"/>
        <v>-21.154517064462198</v>
      </c>
      <c r="F168" s="34">
        <f t="shared" si="2"/>
        <v>0</v>
      </c>
      <c r="G168" s="34">
        <f t="shared" si="2"/>
        <v>0</v>
      </c>
      <c r="H168" s="34">
        <f t="shared" si="2"/>
        <v>0</v>
      </c>
    </row>
    <row r="169" spans="1:8">
      <c r="A169" s="30" t="s">
        <v>312</v>
      </c>
      <c r="B169" s="5" t="s">
        <v>46</v>
      </c>
      <c r="C169" s="5"/>
      <c r="D169" s="33"/>
      <c r="E169" s="33">
        <f t="shared" si="2"/>
        <v>-528.67168666440205</v>
      </c>
      <c r="F169" s="33">
        <f t="shared" si="2"/>
        <v>57.589027149353569</v>
      </c>
      <c r="G169" s="33">
        <f t="shared" si="2"/>
        <v>26.292245275558912</v>
      </c>
      <c r="H169" s="33">
        <f t="shared" si="2"/>
        <v>0</v>
      </c>
    </row>
    <row r="170" spans="1:8">
      <c r="A170" s="30" t="s">
        <v>89</v>
      </c>
      <c r="B170" s="5" t="s">
        <v>46</v>
      </c>
      <c r="C170" s="24"/>
      <c r="D170" s="34"/>
      <c r="E170" s="34">
        <f t="shared" si="2"/>
        <v>0</v>
      </c>
      <c r="F170" s="34">
        <f t="shared" si="2"/>
        <v>-75.176704885656363</v>
      </c>
      <c r="G170" s="34">
        <f t="shared" si="2"/>
        <v>599.47981983690988</v>
      </c>
      <c r="H170" s="34">
        <f t="shared" si="2"/>
        <v>0</v>
      </c>
    </row>
    <row r="171" spans="1:8">
      <c r="A171" s="30" t="s">
        <v>367</v>
      </c>
      <c r="B171" s="5" t="s">
        <v>46</v>
      </c>
      <c r="C171" s="5"/>
      <c r="D171" s="34"/>
      <c r="E171" s="34">
        <f t="shared" si="2"/>
        <v>0</v>
      </c>
      <c r="F171" s="34">
        <f t="shared" si="2"/>
        <v>0</v>
      </c>
      <c r="G171" s="34">
        <f t="shared" si="2"/>
        <v>0</v>
      </c>
      <c r="H171" s="34">
        <f t="shared" si="2"/>
        <v>0</v>
      </c>
    </row>
    <row r="172" spans="1:8">
      <c r="A172" s="30" t="s">
        <v>368</v>
      </c>
      <c r="B172" s="5" t="s">
        <v>46</v>
      </c>
      <c r="C172" s="5"/>
      <c r="D172" s="34"/>
      <c r="E172" s="34">
        <f t="shared" si="2"/>
        <v>608.18438737616634</v>
      </c>
      <c r="F172" s="34">
        <f t="shared" si="2"/>
        <v>17.587677736302794</v>
      </c>
      <c r="G172" s="34">
        <f t="shared" si="2"/>
        <v>-625.77206511246914</v>
      </c>
      <c r="H172" s="34">
        <f t="shared" si="2"/>
        <v>0</v>
      </c>
    </row>
    <row r="173" spans="1:8" ht="16" thickBot="1">
      <c r="A173" s="35" t="s">
        <v>105</v>
      </c>
      <c r="B173" s="36" t="s">
        <v>46</v>
      </c>
      <c r="C173" s="36"/>
      <c r="D173" s="40"/>
      <c r="E173" s="37">
        <f t="shared" si="2"/>
        <v>528.67168666440193</v>
      </c>
      <c r="F173" s="37">
        <f t="shared" si="2"/>
        <v>0</v>
      </c>
      <c r="G173" s="37">
        <f t="shared" si="2"/>
        <v>0</v>
      </c>
      <c r="H173" s="37">
        <f t="shared" si="2"/>
        <v>0</v>
      </c>
    </row>
    <row r="176" spans="1:8">
      <c r="D176" s="41" t="s">
        <v>66</v>
      </c>
      <c r="E176" s="42">
        <v>0</v>
      </c>
    </row>
    <row r="179" spans="4:7">
      <c r="D179" s="9" t="s">
        <v>51</v>
      </c>
      <c r="E179" s="43" t="s">
        <v>100</v>
      </c>
      <c r="F179" s="44" t="s">
        <v>13</v>
      </c>
    </row>
    <row r="180" spans="4:7" ht="16.5">
      <c r="D180" s="4" t="s">
        <v>388</v>
      </c>
      <c r="E180" s="23">
        <f>D149</f>
        <v>2428.5714285714284</v>
      </c>
      <c r="F180" s="5" t="s">
        <v>11</v>
      </c>
    </row>
    <row r="181" spans="4:7">
      <c r="D181" s="4" t="s">
        <v>74</v>
      </c>
      <c r="E181" s="23">
        <f>E149</f>
        <v>2857.1428571428573</v>
      </c>
      <c r="F181" s="5" t="s">
        <v>11</v>
      </c>
    </row>
    <row r="182" spans="4:7">
      <c r="D182" s="4" t="s">
        <v>53</v>
      </c>
      <c r="E182" s="22">
        <f>E$91</f>
        <v>25452.954638895761</v>
      </c>
      <c r="F182" s="5" t="s">
        <v>11</v>
      </c>
      <c r="G182" s="22"/>
    </row>
    <row r="183" spans="4:7">
      <c r="D183" s="41" t="s">
        <v>54</v>
      </c>
      <c r="E183" s="42">
        <f>((E181/E180)-1)*E180/E182</f>
        <v>1.6837786993754749E-2</v>
      </c>
    </row>
    <row r="185" spans="4:7">
      <c r="D185" s="10"/>
      <c r="E185" s="10"/>
    </row>
    <row r="186" spans="4:7">
      <c r="D186" s="10"/>
      <c r="E186" s="10"/>
    </row>
    <row r="187" spans="4:7">
      <c r="D187" s="9" t="s">
        <v>51</v>
      </c>
      <c r="E187" s="43" t="s">
        <v>100</v>
      </c>
      <c r="F187" s="44" t="s">
        <v>13</v>
      </c>
    </row>
    <row r="188" spans="4:7" ht="16.5">
      <c r="D188" s="4" t="s">
        <v>390</v>
      </c>
      <c r="E188" s="22">
        <f>D151</f>
        <v>2730.8485424875657</v>
      </c>
      <c r="F188" s="5" t="s">
        <v>46</v>
      </c>
    </row>
    <row r="189" spans="4:7">
      <c r="D189" s="4" t="s">
        <v>297</v>
      </c>
      <c r="E189" s="22">
        <f>E151</f>
        <v>2709.6940254231035</v>
      </c>
      <c r="F189" s="5" t="s">
        <v>46</v>
      </c>
    </row>
    <row r="190" spans="4:7">
      <c r="D190" s="4" t="s">
        <v>55</v>
      </c>
      <c r="E190" s="19">
        <f>D$144</f>
        <v>3.2380660967337476</v>
      </c>
      <c r="F190" s="5" t="s">
        <v>10</v>
      </c>
    </row>
    <row r="191" spans="4:7">
      <c r="D191" s="4" t="s">
        <v>53</v>
      </c>
      <c r="E191" s="22">
        <f>E$91</f>
        <v>25452.954638895761</v>
      </c>
      <c r="F191" s="5" t="s">
        <v>11</v>
      </c>
    </row>
    <row r="192" spans="4:7">
      <c r="D192" s="41" t="s">
        <v>298</v>
      </c>
      <c r="E192" s="42">
        <f>((E189/E188)-1)*E188*E190/E191</f>
        <v>-2.6912287972467256E-3</v>
      </c>
    </row>
    <row r="193" spans="4:6">
      <c r="D193" s="10"/>
      <c r="E193" s="45"/>
    </row>
    <row r="194" spans="4:6">
      <c r="D194" s="9" t="s">
        <v>51</v>
      </c>
      <c r="E194" s="43" t="s">
        <v>100</v>
      </c>
      <c r="F194" s="44" t="s">
        <v>13</v>
      </c>
    </row>
    <row r="195" spans="4:6">
      <c r="D195" s="4" t="s">
        <v>111</v>
      </c>
      <c r="E195" s="11">
        <f>H145</f>
        <v>42</v>
      </c>
      <c r="F195" s="5" t="s">
        <v>22</v>
      </c>
    </row>
    <row r="196" spans="4:6" ht="16.5">
      <c r="D196" s="4" t="s">
        <v>391</v>
      </c>
      <c r="E196" s="11">
        <f>D145</f>
        <v>25</v>
      </c>
      <c r="F196" s="5" t="s">
        <v>22</v>
      </c>
    </row>
    <row r="197" spans="4:6" ht="16.5">
      <c r="D197" s="4" t="s">
        <v>395</v>
      </c>
      <c r="E197" s="23">
        <f>D147</f>
        <v>12415.684880286784</v>
      </c>
      <c r="F197" s="5" t="s">
        <v>41</v>
      </c>
    </row>
    <row r="198" spans="4:6">
      <c r="D198" s="4" t="s">
        <v>396</v>
      </c>
      <c r="E198" s="23">
        <f>F147</f>
        <v>13335.357557196614</v>
      </c>
      <c r="F198" s="5" t="s">
        <v>41</v>
      </c>
    </row>
    <row r="199" spans="4:6">
      <c r="D199" s="41" t="s">
        <v>57</v>
      </c>
      <c r="E199" s="42">
        <f>((E198/E197)-1) / ((E195/E196)-1)</f>
        <v>0.10893155166433352</v>
      </c>
    </row>
    <row r="202" spans="4:6">
      <c r="D202" s="9" t="s">
        <v>51</v>
      </c>
      <c r="E202" s="43" t="s">
        <v>100</v>
      </c>
      <c r="F202" s="44" t="s">
        <v>13</v>
      </c>
    </row>
    <row r="203" spans="4:6">
      <c r="D203" s="4" t="s">
        <v>111</v>
      </c>
      <c r="E203" s="11">
        <f>H145</f>
        <v>42</v>
      </c>
      <c r="F203" s="5" t="s">
        <v>22</v>
      </c>
    </row>
    <row r="204" spans="4:6" ht="16.5">
      <c r="D204" s="4" t="s">
        <v>391</v>
      </c>
      <c r="E204" s="11">
        <f>D145</f>
        <v>25</v>
      </c>
      <c r="F204" s="5" t="s">
        <v>22</v>
      </c>
    </row>
    <row r="205" spans="4:6" ht="16.5">
      <c r="D205" s="4" t="s">
        <v>392</v>
      </c>
      <c r="E205" s="22">
        <f>D153</f>
        <v>19114.785289115589</v>
      </c>
      <c r="F205" s="5" t="s">
        <v>46</v>
      </c>
    </row>
    <row r="206" spans="4:6" ht="16.5">
      <c r="D206" s="4" t="s">
        <v>394</v>
      </c>
      <c r="E206" s="22">
        <f>F153</f>
        <v>19039.608584229933</v>
      </c>
      <c r="F206" s="5" t="s">
        <v>46</v>
      </c>
    </row>
    <row r="207" spans="4:6">
      <c r="D207" s="4" t="s">
        <v>55</v>
      </c>
      <c r="E207" s="19">
        <f>D$144</f>
        <v>3.2380660967337476</v>
      </c>
      <c r="F207" s="5" t="s">
        <v>10</v>
      </c>
    </row>
    <row r="208" spans="4:6" ht="16.5">
      <c r="D208" s="4" t="s">
        <v>393</v>
      </c>
      <c r="E208" s="22">
        <f>D148</f>
        <v>62883.770284330705</v>
      </c>
      <c r="F208" s="5" t="s">
        <v>11</v>
      </c>
    </row>
    <row r="209" spans="4:6">
      <c r="D209" s="41" t="s">
        <v>58</v>
      </c>
      <c r="E209" s="42">
        <f>(((E206/E205)-1)/((E203/E204)-1))*(E203/E204)*(E205*E207/E208)</f>
        <v>-9.5638067488798603E-3</v>
      </c>
    </row>
    <row r="213" spans="4:6">
      <c r="D213" s="9" t="s">
        <v>51</v>
      </c>
      <c r="E213" s="43" t="s">
        <v>100</v>
      </c>
      <c r="F213" s="44" t="s">
        <v>13</v>
      </c>
    </row>
    <row r="214" spans="4:6">
      <c r="D214" s="4" t="s">
        <v>75</v>
      </c>
      <c r="E214" s="23">
        <f>F155</f>
        <v>625.77206511246914</v>
      </c>
      <c r="F214" s="5" t="s">
        <v>46</v>
      </c>
    </row>
    <row r="215" spans="4:6">
      <c r="D215" s="71" t="s">
        <v>370</v>
      </c>
      <c r="E215" s="23">
        <f>E105</f>
        <v>19874.655974121051</v>
      </c>
      <c r="F215" s="13" t="s">
        <v>46</v>
      </c>
    </row>
    <row r="216" spans="4:6">
      <c r="D216" s="4" t="str">
        <f>D38</f>
        <v>epsilon_{q_s,M}</v>
      </c>
      <c r="E216" s="10">
        <f>E38</f>
        <v>1</v>
      </c>
      <c r="F216" s="71"/>
    </row>
    <row r="217" spans="4:6" ht="16.5">
      <c r="D217" s="4" t="s">
        <v>395</v>
      </c>
      <c r="E217" s="23">
        <f>D147</f>
        <v>12415.684880286784</v>
      </c>
      <c r="F217" s="5" t="s">
        <v>41</v>
      </c>
    </row>
    <row r="218" spans="4:6">
      <c r="D218" s="4" t="s">
        <v>396</v>
      </c>
      <c r="E218" s="23">
        <f>F147</f>
        <v>13335.357557196614</v>
      </c>
      <c r="F218" s="5" t="s">
        <v>41</v>
      </c>
    </row>
    <row r="219" spans="4:6">
      <c r="D219" s="4" t="s">
        <v>111</v>
      </c>
      <c r="E219" s="11">
        <f>H145</f>
        <v>42</v>
      </c>
      <c r="F219" s="5" t="s">
        <v>22</v>
      </c>
    </row>
    <row r="220" spans="4:6" ht="16.5">
      <c r="D220" s="4" t="s">
        <v>391</v>
      </c>
      <c r="E220" s="11">
        <f>D145</f>
        <v>25</v>
      </c>
      <c r="F220" s="5" t="s">
        <v>22</v>
      </c>
    </row>
    <row r="221" spans="4:6">
      <c r="D221" s="41" t="s">
        <v>60</v>
      </c>
      <c r="E221" s="42">
        <f>(((1+E214/E215)^E216)-1)*(E218/E217)/(E219/E220-1)</f>
        <v>4.9732652492603044E-2</v>
      </c>
    </row>
    <row r="226" spans="4:6">
      <c r="D226" s="9" t="s">
        <v>51</v>
      </c>
      <c r="E226" s="43" t="s">
        <v>100</v>
      </c>
      <c r="F226" s="44" t="s">
        <v>13</v>
      </c>
    </row>
    <row r="227" spans="4:6">
      <c r="D227" s="4" t="s">
        <v>82</v>
      </c>
      <c r="E227" s="22">
        <f>G170</f>
        <v>599.47981983690988</v>
      </c>
      <c r="F227" s="5" t="s">
        <v>61</v>
      </c>
    </row>
    <row r="228" spans="4:6">
      <c r="D228" s="4" t="s">
        <v>55</v>
      </c>
      <c r="E228" s="19">
        <f>D$144</f>
        <v>3.2380660967337476</v>
      </c>
      <c r="F228" s="5" t="s">
        <v>10</v>
      </c>
    </row>
    <row r="229" spans="4:6">
      <c r="D229" s="4" t="s">
        <v>53</v>
      </c>
      <c r="E229" s="22">
        <f>E$91</f>
        <v>25452.954638895761</v>
      </c>
      <c r="F229" s="33" t="str">
        <f>F191</f>
        <v>MJ/yr</v>
      </c>
    </row>
    <row r="230" spans="4:6">
      <c r="D230" s="41" t="s">
        <v>62</v>
      </c>
      <c r="E230" s="138">
        <f>E227*E228/E229</f>
        <v>7.6264437973090543E-2</v>
      </c>
    </row>
    <row r="232" spans="4:6">
      <c r="D232" s="9" t="s">
        <v>51</v>
      </c>
      <c r="E232" s="43" t="s">
        <v>100</v>
      </c>
      <c r="F232" s="44" t="s">
        <v>13</v>
      </c>
    </row>
    <row r="233" spans="4:6">
      <c r="D233" s="4" t="str">
        <f>D214</f>
        <v>Ndot_hat</v>
      </c>
      <c r="E233" s="23">
        <f>E214</f>
        <v>625.77206511246914</v>
      </c>
      <c r="F233" s="5" t="s">
        <v>46</v>
      </c>
    </row>
    <row r="234" spans="4:6">
      <c r="D234" s="4" t="str">
        <f>D215</f>
        <v>Mdot_prime_hat</v>
      </c>
      <c r="E234" s="23">
        <f>E215</f>
        <v>19874.655974121051</v>
      </c>
      <c r="F234" s="13" t="s">
        <v>46</v>
      </c>
    </row>
    <row r="235" spans="4:6">
      <c r="D235" s="4" t="s">
        <v>309</v>
      </c>
      <c r="E235" s="23">
        <f>E39</f>
        <v>1</v>
      </c>
      <c r="F235" s="71"/>
    </row>
    <row r="236" spans="4:6">
      <c r="D236" s="4" t="str">
        <f>D219</f>
        <v>eta_tilde</v>
      </c>
      <c r="E236" s="23">
        <f>E219</f>
        <v>42</v>
      </c>
      <c r="F236" s="5" t="s">
        <v>22</v>
      </c>
    </row>
    <row r="237" spans="4:6" ht="16.5">
      <c r="D237" s="4" t="s">
        <v>391</v>
      </c>
      <c r="E237" s="23">
        <f>E220</f>
        <v>25</v>
      </c>
      <c r="F237" s="5" t="s">
        <v>22</v>
      </c>
    </row>
    <row r="238" spans="4:6">
      <c r="D238" s="4" t="s">
        <v>313</v>
      </c>
      <c r="E238" s="23">
        <f>E109</f>
        <v>19114.785289115589</v>
      </c>
      <c r="F238" s="5" t="s">
        <v>61</v>
      </c>
    </row>
    <row r="239" spans="4:6">
      <c r="D239" s="4" t="s">
        <v>401</v>
      </c>
      <c r="E239" s="23">
        <f>F153</f>
        <v>19039.608584229933</v>
      </c>
      <c r="F239" s="5" t="s">
        <v>61</v>
      </c>
    </row>
    <row r="240" spans="4:6">
      <c r="D240" s="4" t="str">
        <f>D228</f>
        <v>I_E</v>
      </c>
      <c r="E240" s="72">
        <f>E228</f>
        <v>3.2380660967337476</v>
      </c>
      <c r="F240" s="5" t="s">
        <v>10</v>
      </c>
    </row>
    <row r="241" spans="4:8">
      <c r="D241" s="4" t="s">
        <v>371</v>
      </c>
      <c r="E241" s="23">
        <f>D148</f>
        <v>62883.770284330705</v>
      </c>
      <c r="F241" s="33" t="s">
        <v>11</v>
      </c>
    </row>
    <row r="242" spans="4:8">
      <c r="D242" s="41" t="s">
        <v>62</v>
      </c>
      <c r="E242" s="138">
        <f>((1 + E233/E234)^E235 - 1) / (E236/E237 - 1) * E236/E237 * E239/E238 * E238 * E240 / E241</f>
        <v>7.6264437973090751E-2</v>
      </c>
    </row>
    <row r="245" spans="4:8">
      <c r="D245" s="9" t="s">
        <v>51</v>
      </c>
      <c r="E245" s="43" t="s">
        <v>100</v>
      </c>
      <c r="F245" s="44" t="s">
        <v>13</v>
      </c>
    </row>
    <row r="246" spans="4:8">
      <c r="D246" s="4" t="s">
        <v>114</v>
      </c>
      <c r="E246" s="22">
        <f>E167</f>
        <v>-58.358183647302212</v>
      </c>
      <c r="F246" s="5" t="s">
        <v>46</v>
      </c>
    </row>
    <row r="247" spans="4:8">
      <c r="D247" s="4" t="s">
        <v>55</v>
      </c>
      <c r="E247" s="19">
        <f>D$144</f>
        <v>3.2380660967337476</v>
      </c>
      <c r="F247" s="5" t="str">
        <f>F228</f>
        <v>MJ/$</v>
      </c>
    </row>
    <row r="248" spans="4:8">
      <c r="D248" s="4" t="s">
        <v>53</v>
      </c>
      <c r="E248" s="22">
        <f>E$91</f>
        <v>25452.954638895761</v>
      </c>
      <c r="F248" s="33" t="str">
        <f>F229</f>
        <v>MJ/yr</v>
      </c>
    </row>
    <row r="249" spans="4:8">
      <c r="D249" s="41" t="s">
        <v>65</v>
      </c>
      <c r="E249" s="42">
        <f>E246*E247/E248</f>
        <v>-7.4241933251443203E-3</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B3</f>
        <v>3</v>
      </c>
      <c r="G253" s="10" t="s">
        <v>183</v>
      </c>
      <c r="H253" s="62">
        <f>-E253*E249</f>
        <v>2.2272579975432961E-2</v>
      </c>
    </row>
    <row r="254" spans="4:8">
      <c r="D254" s="4" t="s">
        <v>75</v>
      </c>
      <c r="E254" s="23">
        <f>F155</f>
        <v>625.77206511246914</v>
      </c>
      <c r="F254" s="5" t="s">
        <v>61</v>
      </c>
      <c r="G254" s="10" t="s">
        <v>299</v>
      </c>
      <c r="H254" s="62">
        <f>-E253*E192</f>
        <v>8.0736863917401768E-3</v>
      </c>
    </row>
    <row r="255" spans="4:8">
      <c r="D255" s="4" t="s">
        <v>55</v>
      </c>
      <c r="E255" s="19">
        <f>D$144</f>
        <v>3.2380660967337476</v>
      </c>
      <c r="F255" s="61" t="str">
        <f>F228</f>
        <v>MJ/$</v>
      </c>
      <c r="G255" s="10" t="s">
        <v>185</v>
      </c>
      <c r="H255" s="62">
        <f>-H252*E199</f>
        <v>0</v>
      </c>
    </row>
    <row r="256" spans="4:8">
      <c r="D256" s="4" t="s">
        <v>53</v>
      </c>
      <c r="E256" s="22">
        <f>E$91</f>
        <v>25452.954638895761</v>
      </c>
      <c r="F256" s="61" t="str">
        <f>F229</f>
        <v>MJ/yr</v>
      </c>
      <c r="G256" s="10" t="s">
        <v>80</v>
      </c>
      <c r="H256" s="62">
        <f>-E253*E209</f>
        <v>2.8691420246639579E-2</v>
      </c>
    </row>
    <row r="257" spans="1:8">
      <c r="D257" s="41" t="s">
        <v>464</v>
      </c>
      <c r="E257" s="42">
        <f>E253*E254*E255/E256</f>
        <v>0.2388278300579634</v>
      </c>
      <c r="G257" s="41" t="s">
        <v>464</v>
      </c>
      <c r="H257" s="42">
        <f>SUM(H252:H256)</f>
        <v>5.9037686613812715E-2</v>
      </c>
    </row>
    <row r="259" spans="1:8">
      <c r="F259" s="46"/>
    </row>
    <row r="260" spans="1:8">
      <c r="A260" s="9" t="s">
        <v>189</v>
      </c>
      <c r="D260" s="9" t="s">
        <v>51</v>
      </c>
      <c r="E260" s="43" t="s">
        <v>100</v>
      </c>
    </row>
    <row r="261" spans="1:8">
      <c r="A261" s="178" t="s">
        <v>465</v>
      </c>
      <c r="B261" s="178"/>
      <c r="C261" s="178"/>
      <c r="D261" s="4" t="s">
        <v>54</v>
      </c>
      <c r="E261" s="45">
        <f>E$183</f>
        <v>1.6837786993754749E-2</v>
      </c>
    </row>
    <row r="262" spans="1:8">
      <c r="D262" s="4" t="s">
        <v>298</v>
      </c>
      <c r="E262" s="45">
        <f>E$192</f>
        <v>-2.6912287972467256E-3</v>
      </c>
    </row>
    <row r="263" spans="1:8">
      <c r="D263" s="4" t="s">
        <v>57</v>
      </c>
      <c r="E263" s="45">
        <f>E$199</f>
        <v>0.10893155166433352</v>
      </c>
    </row>
    <row r="264" spans="1:8">
      <c r="D264" s="4" t="s">
        <v>58</v>
      </c>
      <c r="E264" s="45">
        <f>E$209</f>
        <v>-9.5638067488798603E-3</v>
      </c>
    </row>
    <row r="265" spans="1:8">
      <c r="D265" s="4" t="s">
        <v>60</v>
      </c>
      <c r="E265" s="45">
        <f>E$221</f>
        <v>4.9732652492603044E-2</v>
      </c>
    </row>
    <row r="266" spans="1:8">
      <c r="D266" s="4" t="s">
        <v>62</v>
      </c>
      <c r="E266" s="45">
        <f>E230</f>
        <v>7.6264437973090543E-2</v>
      </c>
    </row>
    <row r="267" spans="1:8">
      <c r="D267" s="4" t="s">
        <v>464</v>
      </c>
      <c r="E267" s="45">
        <f>E257</f>
        <v>0.2388278300579634</v>
      </c>
    </row>
    <row r="268" spans="1:8">
      <c r="D268" s="41" t="s">
        <v>174</v>
      </c>
      <c r="E268" s="42">
        <f>SUM(E261:E267)</f>
        <v>0.47833922363561865</v>
      </c>
      <c r="F268" s="26"/>
    </row>
    <row r="269" spans="1:8">
      <c r="B269" s="9"/>
    </row>
    <row r="270" spans="1:8">
      <c r="A270" s="9" t="s">
        <v>190</v>
      </c>
      <c r="D270" s="9" t="s">
        <v>51</v>
      </c>
      <c r="E270" s="43" t="s">
        <v>100</v>
      </c>
      <c r="F270" s="44"/>
    </row>
    <row r="271" spans="1:8">
      <c r="D271" s="4" t="s">
        <v>63</v>
      </c>
      <c r="E271" s="19">
        <f>B3</f>
        <v>3</v>
      </c>
    </row>
    <row r="272" spans="1:8">
      <c r="D272" s="4" t="s">
        <v>54</v>
      </c>
      <c r="E272" s="49">
        <f>E183</f>
        <v>1.6837786993754749E-2</v>
      </c>
    </row>
    <row r="273" spans="1:8">
      <c r="D273" s="4" t="s">
        <v>467</v>
      </c>
      <c r="E273" s="50">
        <f>-E271*E249</f>
        <v>2.2272579975432961E-2</v>
      </c>
    </row>
    <row r="274" spans="1:8">
      <c r="D274" s="4" t="s">
        <v>466</v>
      </c>
      <c r="E274" s="50">
        <f>(1-E271)*E192</f>
        <v>5.3824575944934512E-3</v>
      </c>
    </row>
    <row r="275" spans="1:8">
      <c r="D275" s="4" t="s">
        <v>468</v>
      </c>
      <c r="E275" s="50">
        <f>(1-E271*E67)*E199</f>
        <v>8.6952522628006512E-2</v>
      </c>
    </row>
    <row r="276" spans="1:8">
      <c r="D276" s="4" t="s">
        <v>469</v>
      </c>
      <c r="E276" s="50">
        <f>(1-E271)*E209</f>
        <v>1.9127613497759721E-2</v>
      </c>
    </row>
    <row r="277" spans="1:8">
      <c r="D277" s="4" t="s">
        <v>470</v>
      </c>
      <c r="E277" s="49">
        <f>E221</f>
        <v>4.9732652492603044E-2</v>
      </c>
    </row>
    <row r="278" spans="1:8">
      <c r="D278" s="4" t="s">
        <v>471</v>
      </c>
      <c r="E278" s="49">
        <f>E242</f>
        <v>7.6264437973090751E-2</v>
      </c>
    </row>
    <row r="279" spans="1:8">
      <c r="C279" s="49"/>
      <c r="D279" s="4" t="s">
        <v>472</v>
      </c>
      <c r="E279" s="50">
        <f>E271*E67</f>
        <v>0.20176917248047799</v>
      </c>
    </row>
    <row r="280" spans="1:8">
      <c r="A280" s="9" t="s">
        <v>473</v>
      </c>
      <c r="D280" s="41" t="s">
        <v>175</v>
      </c>
      <c r="E280" s="42">
        <f>SUM(E272:E279)</f>
        <v>0.47833922363561915</v>
      </c>
    </row>
    <row r="281" spans="1:8">
      <c r="D281" s="9" t="s">
        <v>51</v>
      </c>
      <c r="E281" s="43" t="s">
        <v>100</v>
      </c>
    </row>
    <row r="282" spans="1:8">
      <c r="D282" s="4" t="s">
        <v>63</v>
      </c>
      <c r="E282" s="19">
        <f>E271</f>
        <v>3</v>
      </c>
    </row>
    <row r="283" spans="1:8">
      <c r="D283" s="4" t="s">
        <v>54</v>
      </c>
      <c r="E283" s="60">
        <f>E$183</f>
        <v>1.6837786993754749E-2</v>
      </c>
    </row>
    <row r="284" spans="1:8">
      <c r="D284" s="4" t="s">
        <v>183</v>
      </c>
      <c r="E284" s="60">
        <f>-E282*E249</f>
        <v>2.2272579975432961E-2</v>
      </c>
    </row>
    <row r="285" spans="1:8">
      <c r="D285" s="4" t="s">
        <v>372</v>
      </c>
      <c r="E285" s="60">
        <f>(1-E282)*E$192</f>
        <v>5.3824575944934512E-3</v>
      </c>
      <c r="H285" s="26"/>
    </row>
    <row r="286" spans="1:8">
      <c r="D286" s="4" t="s">
        <v>373</v>
      </c>
      <c r="E286" s="60">
        <f>(1-E282*E66*E55)*E199</f>
        <v>8.6952522628006512E-2</v>
      </c>
    </row>
    <row r="287" spans="1:8">
      <c r="D287" s="4" t="s">
        <v>374</v>
      </c>
      <c r="E287" s="45">
        <f>(1-E282)*E$209</f>
        <v>1.9127613497759721E-2</v>
      </c>
    </row>
    <row r="288" spans="1:8">
      <c r="D288" s="4" t="s">
        <v>376</v>
      </c>
      <c r="E288" s="60">
        <f>E221+E242</f>
        <v>0.1259970904656938</v>
      </c>
    </row>
    <row r="289" spans="1:16">
      <c r="D289" s="4" t="s">
        <v>375</v>
      </c>
      <c r="E289" s="49">
        <f>E282*E66*E55</f>
        <v>0.20176917248047796</v>
      </c>
    </row>
    <row r="290" spans="1:16">
      <c r="D290" s="41" t="s">
        <v>377</v>
      </c>
      <c r="E290" s="42">
        <f>SUM(E283:E289)</f>
        <v>0.47833922363561909</v>
      </c>
    </row>
    <row r="291" spans="1:16" ht="16" thickBot="1"/>
    <row r="292" spans="1:16" ht="16">
      <c r="A292" s="47"/>
      <c r="B292" s="47"/>
      <c r="C292" s="47"/>
      <c r="D292" s="47"/>
      <c r="E292" s="47"/>
      <c r="F292" s="47"/>
      <c r="G292" s="47"/>
      <c r="H292" s="47"/>
      <c r="I292" s="47"/>
      <c r="J292" s="30" t="s">
        <v>138</v>
      </c>
    </row>
    <row r="293" spans="1:16" ht="16">
      <c r="A293" s="30" t="s">
        <v>112</v>
      </c>
      <c r="B293" s="30" t="s">
        <v>139</v>
      </c>
      <c r="C293" s="48">
        <f>E176</f>
        <v>0</v>
      </c>
      <c r="D293" s="30" t="s">
        <v>140</v>
      </c>
      <c r="E293" s="48">
        <f>E199</f>
        <v>0.10893155166433352</v>
      </c>
      <c r="F293" s="30" t="s">
        <v>141</v>
      </c>
      <c r="G293" s="48">
        <f>E221</f>
        <v>4.9732652492603044E-2</v>
      </c>
      <c r="I293" s="49"/>
      <c r="J293" s="49">
        <f>SUM(C293:I293)</f>
        <v>0.15866420415693655</v>
      </c>
    </row>
    <row r="294" spans="1:16">
      <c r="A294" s="30"/>
      <c r="B294" s="30"/>
      <c r="C294" s="48"/>
      <c r="D294" s="30"/>
      <c r="E294" s="48"/>
      <c r="F294" s="4"/>
      <c r="G294" s="48"/>
      <c r="I294" s="49"/>
      <c r="J294" s="49"/>
    </row>
    <row r="295" spans="1:16" ht="16">
      <c r="A295" s="30" t="s">
        <v>113</v>
      </c>
      <c r="B295" s="30" t="s">
        <v>142</v>
      </c>
      <c r="C295" s="48">
        <f>E183</f>
        <v>1.6837786993754749E-2</v>
      </c>
      <c r="D295" s="30" t="s">
        <v>143</v>
      </c>
      <c r="E295" s="48">
        <f>E209</f>
        <v>-9.5638067488798603E-3</v>
      </c>
      <c r="F295" s="30" t="s">
        <v>144</v>
      </c>
      <c r="G295" s="48">
        <f>E230</f>
        <v>7.6264437973090543E-2</v>
      </c>
      <c r="H295" s="30" t="s">
        <v>145</v>
      </c>
      <c r="I295" s="48">
        <f>E257</f>
        <v>0.2388278300579634</v>
      </c>
      <c r="J295" s="65">
        <f>SUM(C295:I296)</f>
        <v>0.31967501947868215</v>
      </c>
    </row>
    <row r="296" spans="1:16" ht="16.5" thickBot="1">
      <c r="A296" s="35"/>
      <c r="B296" s="35" t="s">
        <v>300</v>
      </c>
      <c r="C296" s="56">
        <f>E192</f>
        <v>-2.6912287972467256E-3</v>
      </c>
      <c r="D296" s="35"/>
      <c r="E296" s="56"/>
      <c r="F296" s="35"/>
      <c r="G296" s="56"/>
      <c r="H296" s="35"/>
      <c r="I296" s="56"/>
      <c r="K296" s="49">
        <f>SUM(J293:J296)</f>
        <v>0.4783392236356187</v>
      </c>
    </row>
    <row r="297" spans="1:16">
      <c r="A297" s="30" t="s">
        <v>119</v>
      </c>
      <c r="C297" s="48">
        <f>SUM(C293:C296)</f>
        <v>1.4146558196508023E-2</v>
      </c>
      <c r="D297" s="5"/>
      <c r="E297" s="48">
        <f>SUM(E293:E296)</f>
        <v>9.9367744915453665E-2</v>
      </c>
      <c r="G297" s="48">
        <f>SUM(G293:G296)</f>
        <v>0.12599709046569357</v>
      </c>
      <c r="H297" s="5"/>
      <c r="I297" s="48">
        <f>SUM(I295:I296)</f>
        <v>0.2388278300579634</v>
      </c>
      <c r="J297" s="50">
        <f>SUM(C297:I297)</f>
        <v>0.47833922363561865</v>
      </c>
    </row>
    <row r="300" spans="1:16" s="2" customFormat="1">
      <c r="A300" s="9" t="s">
        <v>244</v>
      </c>
      <c r="B300" s="9"/>
      <c r="C300" s="9"/>
      <c r="D300" s="9"/>
      <c r="E300" s="9"/>
      <c r="F300" s="44"/>
      <c r="G300" s="9"/>
      <c r="H300" s="9"/>
      <c r="I300" s="9"/>
      <c r="J300" s="9"/>
      <c r="K300" s="9"/>
      <c r="L300" s="9"/>
      <c r="M300" s="9"/>
      <c r="N300" s="9"/>
      <c r="O300" s="9"/>
      <c r="P300" s="9"/>
    </row>
    <row r="301" spans="1:16">
      <c r="A301" s="4" t="s">
        <v>416</v>
      </c>
      <c r="B301" s="82">
        <f>B382</f>
        <v>35460</v>
      </c>
      <c r="C301" s="4" t="s">
        <v>167</v>
      </c>
      <c r="G301" s="5"/>
    </row>
    <row r="302" spans="1:16">
      <c r="A302" s="4" t="s">
        <v>417</v>
      </c>
      <c r="B302" s="83">
        <v>14</v>
      </c>
      <c r="C302" s="4" t="s">
        <v>70</v>
      </c>
      <c r="G302" s="5"/>
    </row>
    <row r="303" spans="1:16">
      <c r="A303" s="4" t="s">
        <v>418</v>
      </c>
      <c r="B303" s="83">
        <f>A332</f>
        <v>25</v>
      </c>
      <c r="C303" s="4" t="s">
        <v>22</v>
      </c>
      <c r="G303" s="5" t="s">
        <v>427</v>
      </c>
    </row>
    <row r="304" spans="1:16">
      <c r="A304" s="4" t="s">
        <v>419</v>
      </c>
      <c r="B304" s="82">
        <v>34000</v>
      </c>
      <c r="C304" s="4" t="s">
        <v>67</v>
      </c>
      <c r="G304" s="5"/>
    </row>
    <row r="305" spans="1:10">
      <c r="A305" s="4" t="s">
        <v>420</v>
      </c>
      <c r="B305" s="82">
        <f>C382</f>
        <v>35255</v>
      </c>
      <c r="C305" s="4" t="s">
        <v>167</v>
      </c>
      <c r="G305" s="5"/>
    </row>
    <row r="306" spans="1:10">
      <c r="A306" s="26" t="s">
        <v>421</v>
      </c>
      <c r="B306" s="83">
        <v>14</v>
      </c>
      <c r="C306" s="4" t="s">
        <v>70</v>
      </c>
      <c r="E306" s="26"/>
      <c r="G306" s="5"/>
    </row>
    <row r="307" spans="1:10">
      <c r="A307" s="26" t="s">
        <v>422</v>
      </c>
      <c r="B307" s="83">
        <f>E332</f>
        <v>42</v>
      </c>
      <c r="C307" s="4" t="s">
        <v>22</v>
      </c>
      <c r="E307" s="26"/>
      <c r="G307" s="5"/>
    </row>
    <row r="308" spans="1:10">
      <c r="A308" s="4" t="s">
        <v>423</v>
      </c>
      <c r="B308" s="82">
        <v>40000</v>
      </c>
      <c r="C308" s="4" t="s">
        <v>67</v>
      </c>
      <c r="D308" s="4" t="s">
        <v>341</v>
      </c>
      <c r="G308" s="5"/>
    </row>
    <row r="309" spans="1:10">
      <c r="A309" s="4" t="s">
        <v>169</v>
      </c>
      <c r="B309" s="82">
        <f>B322</f>
        <v>12415.684880286784</v>
      </c>
      <c r="C309" s="4" t="s">
        <v>170</v>
      </c>
      <c r="D309" s="4" t="s">
        <v>405</v>
      </c>
      <c r="G309" s="5"/>
    </row>
    <row r="310" spans="1:10">
      <c r="B310" s="22"/>
      <c r="D310" s="84" t="s">
        <v>39</v>
      </c>
    </row>
    <row r="313" spans="1:10">
      <c r="A313" s="9" t="s">
        <v>239</v>
      </c>
    </row>
    <row r="314" spans="1:10">
      <c r="A314" s="4" t="s">
        <v>234</v>
      </c>
      <c r="B314" s="4" t="s">
        <v>235</v>
      </c>
    </row>
    <row r="315" spans="1:10">
      <c r="B315" s="4" t="s">
        <v>243</v>
      </c>
    </row>
    <row r="317" spans="1:10">
      <c r="A317" s="9" t="s">
        <v>236</v>
      </c>
    </row>
    <row r="318" spans="1:10">
      <c r="B318" s="4" t="s">
        <v>222</v>
      </c>
      <c r="C318" s="4" t="s">
        <v>223</v>
      </c>
      <c r="D318" s="84" t="s">
        <v>221</v>
      </c>
    </row>
    <row r="319" spans="1:10">
      <c r="B319" s="4" t="s">
        <v>224</v>
      </c>
      <c r="C319" s="4" t="s">
        <v>225</v>
      </c>
      <c r="D319" s="4" t="s">
        <v>220</v>
      </c>
      <c r="J319" s="84" t="s">
        <v>39</v>
      </c>
    </row>
    <row r="320" spans="1:10">
      <c r="A320" s="9" t="s">
        <v>237</v>
      </c>
      <c r="H320" s="4" t="s">
        <v>446</v>
      </c>
      <c r="I320" s="22">
        <v>190625023</v>
      </c>
    </row>
    <row r="321" spans="1:9">
      <c r="B321" s="22">
        <v>13476</v>
      </c>
      <c r="C321" s="4" t="s">
        <v>227</v>
      </c>
      <c r="D321" s="84" t="s">
        <v>226</v>
      </c>
      <c r="H321" s="4" t="s">
        <v>447</v>
      </c>
      <c r="I321" s="22">
        <v>221475173</v>
      </c>
    </row>
    <row r="322" spans="1:9">
      <c r="B322" s="22">
        <f>I323</f>
        <v>12415.684880286784</v>
      </c>
      <c r="C322" s="4" t="s">
        <v>346</v>
      </c>
      <c r="D322" s="84" t="s">
        <v>39</v>
      </c>
      <c r="H322" s="4" t="s">
        <v>448</v>
      </c>
      <c r="I322" s="22">
        <v>14425</v>
      </c>
    </row>
    <row r="323" spans="1:9">
      <c r="H323" s="4" t="s">
        <v>449</v>
      </c>
      <c r="I323" s="156">
        <f>I322*I320/I321</f>
        <v>12415.684880286784</v>
      </c>
    </row>
    <row r="324" spans="1:9">
      <c r="A324" s="9" t="s">
        <v>238</v>
      </c>
    </row>
    <row r="325" spans="1:9">
      <c r="A325" s="4" t="s">
        <v>242</v>
      </c>
      <c r="D325" s="4" t="s">
        <v>242</v>
      </c>
    </row>
    <row r="326" spans="1:9">
      <c r="A326" s="84" t="s">
        <v>412</v>
      </c>
      <c r="D326" s="84" t="s">
        <v>412</v>
      </c>
    </row>
    <row r="328" spans="1:9">
      <c r="A328" s="9" t="s">
        <v>411</v>
      </c>
      <c r="D328" s="9" t="s">
        <v>413</v>
      </c>
    </row>
    <row r="329" spans="1:9">
      <c r="A329" s="4" t="s">
        <v>342</v>
      </c>
      <c r="E329" s="4" t="s">
        <v>342</v>
      </c>
      <c r="F329" s="4"/>
    </row>
    <row r="330" spans="1:9">
      <c r="A330" s="120" t="s">
        <v>340</v>
      </c>
      <c r="B330" s="10" t="s">
        <v>233</v>
      </c>
      <c r="C330" s="10"/>
      <c r="D330" s="10"/>
      <c r="E330" s="120" t="s">
        <v>340</v>
      </c>
      <c r="F330" s="4" t="s">
        <v>233</v>
      </c>
    </row>
    <row r="331" spans="1:9">
      <c r="A331" s="4" t="s">
        <v>343</v>
      </c>
      <c r="B331" s="4" t="s">
        <v>228</v>
      </c>
      <c r="E331" s="4" t="s">
        <v>231</v>
      </c>
      <c r="F331" s="4" t="s">
        <v>228</v>
      </c>
    </row>
    <row r="332" spans="1:9">
      <c r="A332" s="4">
        <v>25</v>
      </c>
      <c r="B332" s="4" t="s">
        <v>229</v>
      </c>
      <c r="E332" s="4">
        <v>42</v>
      </c>
      <c r="F332" s="4" t="s">
        <v>229</v>
      </c>
    </row>
    <row r="333" spans="1:9">
      <c r="A333" s="4" t="s">
        <v>344</v>
      </c>
      <c r="B333" s="4" t="s">
        <v>230</v>
      </c>
      <c r="E333" s="4" t="s">
        <v>232</v>
      </c>
      <c r="F333" s="4" t="s">
        <v>230</v>
      </c>
    </row>
    <row r="377" spans="1:8">
      <c r="A377" s="4" t="s">
        <v>47</v>
      </c>
      <c r="E377" s="4" t="s">
        <v>47</v>
      </c>
    </row>
    <row r="378" spans="1:8">
      <c r="A378" s="84" t="s">
        <v>452</v>
      </c>
      <c r="D378" s="84" t="s">
        <v>410</v>
      </c>
      <c r="H378" s="84"/>
    </row>
    <row r="379" spans="1:8">
      <c r="A379" s="84"/>
      <c r="B379" s="4">
        <v>2020</v>
      </c>
      <c r="C379" s="4">
        <v>2020</v>
      </c>
      <c r="E379" s="147"/>
      <c r="F379" s="147"/>
    </row>
    <row r="380" spans="1:8">
      <c r="A380" s="9" t="s">
        <v>323</v>
      </c>
      <c r="B380" s="4" t="s">
        <v>345</v>
      </c>
      <c r="C380" s="4" t="s">
        <v>409</v>
      </c>
      <c r="E380" s="147"/>
      <c r="F380" s="147"/>
    </row>
    <row r="381" spans="1:8">
      <c r="A381" s="4" t="s">
        <v>320</v>
      </c>
      <c r="B381" s="119">
        <v>35460</v>
      </c>
      <c r="C381" s="119">
        <v>35255</v>
      </c>
      <c r="D381" s="119"/>
      <c r="E381" s="148"/>
      <c r="F381" s="148"/>
    </row>
    <row r="382" spans="1:8">
      <c r="A382" s="9" t="s">
        <v>322</v>
      </c>
      <c r="B382" s="101">
        <f>B381</f>
        <v>35460</v>
      </c>
      <c r="C382" s="101">
        <f>C381</f>
        <v>35255</v>
      </c>
      <c r="D382" s="101"/>
      <c r="E382" s="149"/>
      <c r="F382" s="149"/>
    </row>
    <row r="383" spans="1:8">
      <c r="B383" s="100"/>
      <c r="C383" s="100"/>
      <c r="D383" s="100"/>
      <c r="E383" s="150"/>
      <c r="F383" s="150"/>
    </row>
    <row r="384" spans="1:8">
      <c r="A384" s="9" t="s">
        <v>324</v>
      </c>
      <c r="B384" s="100"/>
      <c r="C384" s="100"/>
      <c r="D384" s="100"/>
      <c r="E384" s="150"/>
      <c r="F384" s="150"/>
    </row>
    <row r="385" spans="1:6">
      <c r="A385" s="4" t="s">
        <v>315</v>
      </c>
      <c r="B385" s="100">
        <v>4789</v>
      </c>
      <c r="C385" s="100">
        <v>4949</v>
      </c>
      <c r="D385" s="100"/>
      <c r="E385" s="150"/>
      <c r="F385" s="150"/>
    </row>
    <row r="386" spans="1:6">
      <c r="A386" s="4" t="s">
        <v>316</v>
      </c>
      <c r="B386" s="100">
        <v>3381</v>
      </c>
      <c r="C386" s="100">
        <v>3433</v>
      </c>
      <c r="D386" s="100"/>
      <c r="E386" s="150"/>
      <c r="F386" s="150"/>
    </row>
    <row r="387" spans="1:6">
      <c r="A387" s="4" t="s">
        <v>317</v>
      </c>
      <c r="B387" s="100">
        <v>778</v>
      </c>
      <c r="C387" s="100">
        <v>693</v>
      </c>
      <c r="D387" s="100"/>
      <c r="E387" s="150"/>
      <c r="F387" s="150"/>
    </row>
    <row r="388" spans="1:6">
      <c r="A388" s="4" t="s">
        <v>318</v>
      </c>
      <c r="B388" s="100">
        <v>2055</v>
      </c>
      <c r="C388" s="100">
        <v>2144</v>
      </c>
      <c r="D388" s="100"/>
      <c r="E388" s="150"/>
      <c r="F388" s="150"/>
    </row>
    <row r="389" spans="1:6">
      <c r="A389" s="4" t="s">
        <v>321</v>
      </c>
      <c r="B389" s="100">
        <v>0</v>
      </c>
      <c r="C389" s="100">
        <v>0</v>
      </c>
      <c r="D389" s="100"/>
      <c r="E389" s="150"/>
      <c r="F389" s="150"/>
    </row>
    <row r="390" spans="1:6">
      <c r="A390" s="4" t="s">
        <v>319</v>
      </c>
      <c r="B390" s="100">
        <f>SUM(B385:B389)</f>
        <v>11003</v>
      </c>
      <c r="C390" s="100">
        <f>SUM(C385:C389)</f>
        <v>11219</v>
      </c>
      <c r="D390" s="100"/>
      <c r="E390" s="150"/>
      <c r="F390" s="150"/>
    </row>
    <row r="391" spans="1:6">
      <c r="A391" s="4" t="s">
        <v>314</v>
      </c>
      <c r="B391" s="101">
        <f>B390/5</f>
        <v>2200.6</v>
      </c>
      <c r="C391" s="101">
        <f>C390/5</f>
        <v>2243.8000000000002</v>
      </c>
      <c r="D391" s="101"/>
      <c r="E391" s="149"/>
      <c r="F391" s="149"/>
    </row>
    <row r="435" spans="1:9">
      <c r="C435" s="4">
        <f>31381+5705-(31381-18973)</f>
        <v>24678</v>
      </c>
    </row>
    <row r="437" spans="1:9">
      <c r="C437" s="4">
        <f>5705/31381</f>
        <v>0.18179790318982825</v>
      </c>
    </row>
    <row r="438" spans="1:9">
      <c r="C438" s="50"/>
      <c r="G438" s="4">
        <f>34444+6262-(34444-21573)</f>
        <v>27835</v>
      </c>
    </row>
    <row r="439" spans="1:9">
      <c r="C439" s="50"/>
      <c r="G439" s="4">
        <f>6262/34444</f>
        <v>0.18180234583672047</v>
      </c>
    </row>
    <row r="440" spans="1:9">
      <c r="C440" s="50"/>
    </row>
    <row r="441" spans="1:9">
      <c r="C441" s="50"/>
    </row>
    <row r="445" spans="1:9">
      <c r="A445" s="4" t="s">
        <v>380</v>
      </c>
    </row>
    <row r="446" spans="1:9">
      <c r="A446" s="43" t="s">
        <v>357</v>
      </c>
      <c r="B446" s="43" t="s">
        <v>386</v>
      </c>
      <c r="C446" s="43" t="s">
        <v>348</v>
      </c>
      <c r="D446" s="43" t="s">
        <v>349</v>
      </c>
      <c r="E446" s="43" t="s">
        <v>350</v>
      </c>
      <c r="F446" s="43" t="s">
        <v>351</v>
      </c>
      <c r="G446" s="43" t="s">
        <v>352</v>
      </c>
      <c r="H446" s="43" t="s">
        <v>378</v>
      </c>
      <c r="I446" s="43" t="s">
        <v>379</v>
      </c>
    </row>
    <row r="447" spans="1:9">
      <c r="A447" s="4" t="s">
        <v>384</v>
      </c>
      <c r="B447" s="141">
        <f>C447</f>
        <v>35460</v>
      </c>
      <c r="C447" s="141">
        <f>B382</f>
        <v>35460</v>
      </c>
    </row>
    <row r="448" spans="1:9">
      <c r="A448" s="4" t="s">
        <v>381</v>
      </c>
      <c r="B448" s="141">
        <f>SUM(C448:G448)</f>
        <v>6446</v>
      </c>
      <c r="C448" s="141">
        <v>2205</v>
      </c>
      <c r="D448" s="141">
        <v>1782</v>
      </c>
      <c r="E448" s="141">
        <v>1324</v>
      </c>
      <c r="F448" s="142">
        <v>833</v>
      </c>
      <c r="G448" s="141">
        <v>302</v>
      </c>
      <c r="H448" s="141">
        <v>0</v>
      </c>
      <c r="I448" s="141">
        <v>0</v>
      </c>
    </row>
    <row r="449" spans="1:16">
      <c r="A449" s="4" t="s">
        <v>382</v>
      </c>
      <c r="B449" s="141">
        <f>SUM(C449:I449)</f>
        <v>27000.431662421954</v>
      </c>
      <c r="C449" s="141">
        <v>15494</v>
      </c>
      <c r="D449" s="141">
        <v>1902</v>
      </c>
      <c r="E449" s="141">
        <v>1801</v>
      </c>
      <c r="F449" s="142">
        <v>2113</v>
      </c>
      <c r="G449" s="141">
        <v>2001</v>
      </c>
      <c r="H449" s="141">
        <f>G449*G450</f>
        <v>1894.9365830572647</v>
      </c>
      <c r="I449" s="141">
        <f>H449*H450</f>
        <v>1794.4950793646885</v>
      </c>
    </row>
    <row r="450" spans="1:16">
      <c r="A450" s="4" t="s">
        <v>383</v>
      </c>
      <c r="B450" s="143">
        <f>B449 + B448</f>
        <v>33446.43166242195</v>
      </c>
      <c r="C450" s="143">
        <f>B450/7</f>
        <v>4778.0616660602782</v>
      </c>
      <c r="D450" s="143"/>
      <c r="E450" s="145">
        <f>E449/D449</f>
        <v>0.94689800210304942</v>
      </c>
      <c r="F450" s="143"/>
      <c r="G450" s="145">
        <f>G449/F449</f>
        <v>0.94699479413156651</v>
      </c>
      <c r="H450" s="145">
        <f>H449/G449</f>
        <v>0.94699479413156651</v>
      </c>
    </row>
    <row r="452" spans="1:16">
      <c r="A452" s="43" t="s">
        <v>414</v>
      </c>
      <c r="B452" s="43" t="s">
        <v>386</v>
      </c>
      <c r="C452" s="43" t="s">
        <v>348</v>
      </c>
      <c r="D452" s="43" t="s">
        <v>349</v>
      </c>
      <c r="E452" s="43" t="s">
        <v>350</v>
      </c>
      <c r="F452" s="43" t="s">
        <v>351</v>
      </c>
      <c r="G452" s="43" t="s">
        <v>352</v>
      </c>
      <c r="H452" s="43" t="s">
        <v>378</v>
      </c>
      <c r="I452" s="43" t="s">
        <v>379</v>
      </c>
    </row>
    <row r="453" spans="1:16">
      <c r="A453" s="4" t="s">
        <v>384</v>
      </c>
      <c r="B453" s="141">
        <f>C382</f>
        <v>35255</v>
      </c>
      <c r="C453" s="141">
        <f>B453</f>
        <v>35255</v>
      </c>
    </row>
    <row r="454" spans="1:16">
      <c r="A454" s="4" t="s">
        <v>385</v>
      </c>
      <c r="B454" s="141">
        <v>0</v>
      </c>
      <c r="C454" s="141"/>
    </row>
    <row r="455" spans="1:16">
      <c r="A455" s="4" t="s">
        <v>381</v>
      </c>
      <c r="B455" s="141">
        <f>SUM(C455:I455)</f>
        <v>6409</v>
      </c>
      <c r="C455" s="141">
        <v>2192</v>
      </c>
      <c r="D455" s="141">
        <v>1772</v>
      </c>
      <c r="E455" s="141">
        <v>1317</v>
      </c>
      <c r="F455" s="142">
        <v>827</v>
      </c>
      <c r="G455" s="141">
        <v>301</v>
      </c>
      <c r="H455" s="141">
        <v>0</v>
      </c>
      <c r="I455" s="141">
        <v>0</v>
      </c>
    </row>
    <row r="456" spans="1:16">
      <c r="A456" s="4" t="s">
        <v>382</v>
      </c>
      <c r="B456" s="141">
        <f>SUM(C456:I456)</f>
        <v>26628.924376890835</v>
      </c>
      <c r="C456" s="141">
        <v>14741</v>
      </c>
      <c r="D456" s="141">
        <v>1966</v>
      </c>
      <c r="E456" s="141">
        <v>1860</v>
      </c>
      <c r="F456" s="142">
        <v>2182</v>
      </c>
      <c r="G456" s="141">
        <v>2067</v>
      </c>
      <c r="H456" s="141">
        <f>G456*G457</f>
        <v>1958.0609532538956</v>
      </c>
      <c r="I456" s="141">
        <f>H456*H457</f>
        <v>1854.8634236369396</v>
      </c>
    </row>
    <row r="457" spans="1:16">
      <c r="A457" s="4" t="s">
        <v>383</v>
      </c>
      <c r="B457" s="143">
        <f>-B454+B456 + B455</f>
        <v>33037.924376890835</v>
      </c>
      <c r="C457" s="143">
        <f>B457/7</f>
        <v>4719.703482412976</v>
      </c>
      <c r="D457" s="143"/>
      <c r="E457" s="145">
        <f>E456/D456</f>
        <v>0.94608341810783314</v>
      </c>
      <c r="F457" s="143"/>
      <c r="G457" s="145">
        <f>G456/F456</f>
        <v>0.94729605866177824</v>
      </c>
      <c r="H457" s="145">
        <f>H456/G456</f>
        <v>0.94729605866177824</v>
      </c>
    </row>
    <row r="459" spans="1:16" s="2" customFormat="1">
      <c r="A459" s="43" t="s">
        <v>357</v>
      </c>
      <c r="B459" s="43" t="s">
        <v>387</v>
      </c>
      <c r="C459" s="43" t="s">
        <v>348</v>
      </c>
      <c r="D459" s="43" t="s">
        <v>349</v>
      </c>
      <c r="E459" s="43" t="s">
        <v>350</v>
      </c>
      <c r="F459" s="43" t="s">
        <v>351</v>
      </c>
      <c r="G459" s="43" t="s">
        <v>352</v>
      </c>
      <c r="H459" s="43" t="s">
        <v>378</v>
      </c>
      <c r="I459" s="43" t="s">
        <v>379</v>
      </c>
      <c r="J459" s="9"/>
      <c r="K459" s="9"/>
      <c r="L459" s="9"/>
      <c r="M459" s="9"/>
      <c r="N459" s="9"/>
      <c r="O459" s="9"/>
      <c r="P459" s="9"/>
    </row>
    <row r="460" spans="1:16">
      <c r="A460" s="30" t="s">
        <v>353</v>
      </c>
      <c r="B460" s="126">
        <f>AVERAGE(C460:I460)</f>
        <v>992.71332006938064</v>
      </c>
      <c r="C460" s="126">
        <v>893</v>
      </c>
      <c r="D460" s="126">
        <v>924</v>
      </c>
      <c r="E460" s="126">
        <v>957</v>
      </c>
      <c r="F460" s="126">
        <v>990</v>
      </c>
      <c r="G460" s="126">
        <v>1025</v>
      </c>
      <c r="H460" s="123">
        <f>G460/F460*G460</f>
        <v>1061.2373737373737</v>
      </c>
      <c r="I460" s="123">
        <f>H460/G460*H460</f>
        <v>1098.7558667482908</v>
      </c>
    </row>
    <row r="461" spans="1:16">
      <c r="A461" s="30" t="s">
        <v>354</v>
      </c>
      <c r="B461" s="126">
        <f t="shared" ref="B461:B463" si="3">AVERAGE(C461:I461)</f>
        <v>1110.5714285714287</v>
      </c>
      <c r="C461" s="126">
        <v>202</v>
      </c>
      <c r="D461" s="126">
        <v>576</v>
      </c>
      <c r="E461" s="126">
        <v>352</v>
      </c>
      <c r="F461" s="126">
        <v>845</v>
      </c>
      <c r="G461" s="126">
        <v>1406</v>
      </c>
      <c r="H461" s="123">
        <f>G461+(G461-E461)/2</f>
        <v>1933</v>
      </c>
      <c r="I461" s="123">
        <f>H461+(G461-E461)/2</f>
        <v>2460</v>
      </c>
    </row>
    <row r="462" spans="1:16">
      <c r="A462" s="30" t="s">
        <v>355</v>
      </c>
      <c r="B462" s="126">
        <f t="shared" si="3"/>
        <v>313.13522241818538</v>
      </c>
      <c r="C462" s="126">
        <v>0</v>
      </c>
      <c r="D462" s="126">
        <v>0</v>
      </c>
      <c r="E462" s="126">
        <v>114</v>
      </c>
      <c r="F462" s="126">
        <v>270</v>
      </c>
      <c r="G462" s="126">
        <v>394</v>
      </c>
      <c r="H462" s="123">
        <f>G462/F462*G462</f>
        <v>574.94814814814811</v>
      </c>
      <c r="I462" s="123">
        <f>H462/G462*H462</f>
        <v>838.99840877914949</v>
      </c>
    </row>
    <row r="463" spans="1:16">
      <c r="A463" s="30" t="s">
        <v>356</v>
      </c>
      <c r="B463" s="126">
        <f t="shared" si="3"/>
        <v>314.42857142857144</v>
      </c>
      <c r="C463" s="126">
        <v>1763</v>
      </c>
      <c r="D463" s="126">
        <v>73</v>
      </c>
      <c r="E463" s="126">
        <v>73</v>
      </c>
      <c r="F463" s="126">
        <v>73</v>
      </c>
      <c r="G463" s="126">
        <v>73</v>
      </c>
      <c r="H463" s="123">
        <f>G463</f>
        <v>73</v>
      </c>
      <c r="I463" s="123">
        <f>H463</f>
        <v>73</v>
      </c>
    </row>
    <row r="464" spans="1:16">
      <c r="A464" s="43" t="s">
        <v>359</v>
      </c>
      <c r="B464" s="127">
        <f>AVERAGE(C464:I464)</f>
        <v>2730.8485424875657</v>
      </c>
      <c r="C464" s="127">
        <f>SUM(C460:C463)</f>
        <v>2858</v>
      </c>
      <c r="D464" s="127">
        <f t="shared" ref="D464:I464" si="4">SUM(D460:D463)</f>
        <v>1573</v>
      </c>
      <c r="E464" s="127">
        <f t="shared" si="4"/>
        <v>1496</v>
      </c>
      <c r="F464" s="127">
        <f t="shared" si="4"/>
        <v>2178</v>
      </c>
      <c r="G464" s="127">
        <f t="shared" si="4"/>
        <v>2898</v>
      </c>
      <c r="H464" s="127">
        <f t="shared" si="4"/>
        <v>3642.1855218855217</v>
      </c>
      <c r="I464" s="127">
        <f t="shared" si="4"/>
        <v>4470.7542755274408</v>
      </c>
    </row>
    <row r="465" spans="1:16">
      <c r="A465" s="30"/>
      <c r="B465" s="126"/>
      <c r="C465" s="30"/>
      <c r="D465" s="30"/>
      <c r="E465" s="30"/>
      <c r="F465" s="30"/>
      <c r="G465" s="30"/>
    </row>
    <row r="466" spans="1:16" s="2" customFormat="1">
      <c r="A466" s="43" t="s">
        <v>358</v>
      </c>
      <c r="B466" s="43" t="s">
        <v>387</v>
      </c>
      <c r="C466" s="43" t="s">
        <v>348</v>
      </c>
      <c r="D466" s="43" t="s">
        <v>349</v>
      </c>
      <c r="E466" s="43" t="s">
        <v>350</v>
      </c>
      <c r="F466" s="43" t="s">
        <v>351</v>
      </c>
      <c r="G466" s="43" t="s">
        <v>352</v>
      </c>
      <c r="H466" s="43" t="s">
        <v>378</v>
      </c>
      <c r="I466" s="43" t="s">
        <v>379</v>
      </c>
      <c r="J466" s="9"/>
      <c r="K466" s="9"/>
      <c r="L466" s="9"/>
      <c r="M466" s="9"/>
      <c r="N466" s="9"/>
      <c r="O466" s="9"/>
      <c r="P466" s="9"/>
    </row>
    <row r="467" spans="1:16">
      <c r="A467" s="30" t="s">
        <v>353</v>
      </c>
      <c r="B467" s="126">
        <f>AVERAGE(C467:I467)</f>
        <v>1025.7302900486136</v>
      </c>
      <c r="C467" s="123">
        <v>923</v>
      </c>
      <c r="D467" s="123">
        <v>955</v>
      </c>
      <c r="E467" s="123">
        <v>989</v>
      </c>
      <c r="F467" s="123">
        <v>1023</v>
      </c>
      <c r="G467" s="124">
        <v>1059</v>
      </c>
      <c r="H467" s="123">
        <f>G467/F467*G467</f>
        <v>1096.266862170088</v>
      </c>
      <c r="I467" s="123">
        <f>H467/G467*H467</f>
        <v>1134.8451681702084</v>
      </c>
    </row>
    <row r="468" spans="1:16">
      <c r="A468" s="30" t="s">
        <v>354</v>
      </c>
      <c r="B468" s="126">
        <f t="shared" ref="B468:B470" si="5">AVERAGE(C468:I468)</f>
        <v>1072.7142857142858</v>
      </c>
      <c r="C468" s="123">
        <v>222</v>
      </c>
      <c r="D468" s="123">
        <v>612</v>
      </c>
      <c r="E468" s="123">
        <v>386</v>
      </c>
      <c r="F468" s="123">
        <v>883</v>
      </c>
      <c r="G468" s="124">
        <v>1330</v>
      </c>
      <c r="H468" s="123">
        <f>G468+(G468-E468)/2</f>
        <v>1802</v>
      </c>
      <c r="I468" s="123">
        <f>H468+(G468-E468)/2</f>
        <v>2274</v>
      </c>
    </row>
    <row r="469" spans="1:16">
      <c r="A469" s="30" t="s">
        <v>355</v>
      </c>
      <c r="B469" s="126">
        <f t="shared" si="5"/>
        <v>278.39230680306071</v>
      </c>
      <c r="C469" s="123">
        <v>0</v>
      </c>
      <c r="D469" s="123">
        <v>0</v>
      </c>
      <c r="E469" s="123">
        <v>101</v>
      </c>
      <c r="F469" s="123">
        <v>241</v>
      </c>
      <c r="G469" s="124">
        <v>351</v>
      </c>
      <c r="H469" s="123">
        <f>G469/F469*G469</f>
        <v>511.207468879668</v>
      </c>
      <c r="I469" s="123">
        <f>H469/G469*H469</f>
        <v>744.53867874175705</v>
      </c>
    </row>
    <row r="470" spans="1:16">
      <c r="A470" s="30" t="s">
        <v>356</v>
      </c>
      <c r="B470" s="126">
        <f t="shared" si="5"/>
        <v>332.85714285714283</v>
      </c>
      <c r="C470" s="123">
        <v>1772</v>
      </c>
      <c r="D470" s="123">
        <v>93</v>
      </c>
      <c r="E470" s="123">
        <v>93</v>
      </c>
      <c r="F470" s="123">
        <v>93</v>
      </c>
      <c r="G470" s="124">
        <v>93</v>
      </c>
      <c r="H470" s="123">
        <f>G470</f>
        <v>93</v>
      </c>
      <c r="I470" s="123">
        <f>H470</f>
        <v>93</v>
      </c>
    </row>
    <row r="471" spans="1:16">
      <c r="A471" s="43" t="s">
        <v>359</v>
      </c>
      <c r="B471" s="127">
        <f>AVERAGE(C471:I471)</f>
        <v>2709.6940254231035</v>
      </c>
      <c r="C471" s="125">
        <f>SUM(C467:C470)</f>
        <v>2917</v>
      </c>
      <c r="D471" s="125">
        <f t="shared" ref="D471:I471" si="6">SUM(D467:D470)</f>
        <v>1660</v>
      </c>
      <c r="E471" s="125">
        <f t="shared" si="6"/>
        <v>1569</v>
      </c>
      <c r="F471" s="125">
        <f t="shared" si="6"/>
        <v>2240</v>
      </c>
      <c r="G471" s="125">
        <f t="shared" si="6"/>
        <v>2833</v>
      </c>
      <c r="H471" s="125">
        <f t="shared" si="6"/>
        <v>3502.4743310497556</v>
      </c>
      <c r="I471" s="125">
        <f t="shared" si="6"/>
        <v>4246.3838469119655</v>
      </c>
    </row>
    <row r="474" spans="1:16" ht="16" thickBot="1"/>
    <row r="475" spans="1:16" ht="16" thickBot="1">
      <c r="A475" s="128"/>
    </row>
    <row r="476" spans="1:16" ht="16" thickBot="1">
      <c r="A476" s="129" t="s">
        <v>51</v>
      </c>
      <c r="B476" s="130" t="s">
        <v>360</v>
      </c>
      <c r="C476" s="131" t="s">
        <v>361</v>
      </c>
      <c r="D476" s="131" t="s">
        <v>362</v>
      </c>
      <c r="E476" s="131" t="s">
        <v>363</v>
      </c>
      <c r="F476" s="131" t="s">
        <v>364</v>
      </c>
      <c r="G476" s="131" t="s">
        <v>365</v>
      </c>
    </row>
    <row r="477" spans="1:16" ht="16" thickBot="1">
      <c r="A477" s="132" t="s">
        <v>54</v>
      </c>
      <c r="B477" s="133">
        <v>1.4E-2</v>
      </c>
      <c r="C477" s="134">
        <v>1.4E-2</v>
      </c>
      <c r="D477" s="134">
        <v>1.4E-2</v>
      </c>
      <c r="E477" s="134">
        <v>1.4E-2</v>
      </c>
      <c r="F477" s="134">
        <v>1.4E-2</v>
      </c>
      <c r="G477" s="134">
        <v>1.4E-2</v>
      </c>
    </row>
    <row r="478" spans="1:16" ht="16" thickBot="1">
      <c r="A478" s="132" t="s">
        <v>298</v>
      </c>
      <c r="B478" s="133">
        <v>-7.0000000000000001E-3</v>
      </c>
      <c r="C478" s="134">
        <v>2.8000000000000001E-2</v>
      </c>
      <c r="D478" s="134">
        <v>1.2999999999999999E-2</v>
      </c>
      <c r="E478" s="134">
        <v>1.2E-2</v>
      </c>
      <c r="F478" s="134">
        <v>-8.4000000000000005E-2</v>
      </c>
      <c r="G478" s="134">
        <v>-4.0000000000000001E-3</v>
      </c>
    </row>
    <row r="479" spans="1:16" ht="16" thickBot="1">
      <c r="A479" s="132" t="s">
        <v>57</v>
      </c>
      <c r="B479" s="133">
        <v>0.06</v>
      </c>
      <c r="C479" s="134">
        <v>0.06</v>
      </c>
      <c r="D479" s="134">
        <v>0.06</v>
      </c>
      <c r="E479" s="134">
        <v>0.06</v>
      </c>
      <c r="F479" s="134">
        <v>0.06</v>
      </c>
      <c r="G479" s="134">
        <v>0.06</v>
      </c>
    </row>
    <row r="480" spans="1:16" ht="16" thickBot="1">
      <c r="A480" s="132" t="s">
        <v>58</v>
      </c>
      <c r="B480" s="133">
        <v>-2E-3</v>
      </c>
      <c r="C480" s="134">
        <v>-2E-3</v>
      </c>
      <c r="D480" s="134">
        <v>-2E-3</v>
      </c>
      <c r="E480" s="134">
        <v>-2E-3</v>
      </c>
      <c r="F480" s="134">
        <v>-2E-3</v>
      </c>
      <c r="G480" s="134">
        <v>-2E-3</v>
      </c>
    </row>
    <row r="481" spans="1:7" ht="16" thickBot="1">
      <c r="A481" s="132" t="s">
        <v>60</v>
      </c>
      <c r="B481" s="133">
        <v>1.9E-2</v>
      </c>
      <c r="C481" s="134">
        <v>3.0000000000000001E-3</v>
      </c>
      <c r="D481" s="134">
        <v>0.01</v>
      </c>
      <c r="E481" s="134">
        <v>0.01</v>
      </c>
      <c r="F481" s="134">
        <v>5.7000000000000002E-2</v>
      </c>
      <c r="G481" s="134">
        <v>1.7999999999999999E-2</v>
      </c>
    </row>
    <row r="482" spans="1:7" ht="16" thickBot="1">
      <c r="A482" s="132" t="s">
        <v>62</v>
      </c>
      <c r="B482" s="133">
        <v>3.9E-2</v>
      </c>
      <c r="C482" s="134">
        <v>5.0000000000000001E-3</v>
      </c>
      <c r="D482" s="134">
        <v>1.9E-2</v>
      </c>
      <c r="E482" s="134">
        <v>2.1000000000000001E-2</v>
      </c>
      <c r="F482" s="134">
        <v>0.113</v>
      </c>
      <c r="G482" s="134">
        <v>3.5999999999999997E-2</v>
      </c>
    </row>
    <row r="483" spans="1:7" ht="16" thickBot="1">
      <c r="A483" s="132" t="s">
        <v>64</v>
      </c>
      <c r="B483" s="133">
        <v>0.04</v>
      </c>
      <c r="C483" s="134">
        <v>5.0000000000000001E-3</v>
      </c>
      <c r="D483" s="134">
        <v>0.02</v>
      </c>
      <c r="E483" s="134">
        <v>2.1000000000000001E-2</v>
      </c>
      <c r="F483" s="134">
        <v>0.11600000000000001</v>
      </c>
      <c r="G483" s="134">
        <v>3.6999999999999998E-2</v>
      </c>
    </row>
    <row r="484" spans="1:7" ht="16" thickBot="1">
      <c r="A484" s="135" t="s">
        <v>174</v>
      </c>
      <c r="B484" s="136">
        <v>0.16300000000000001</v>
      </c>
      <c r="C484" s="137">
        <v>0.113</v>
      </c>
      <c r="D484" s="137">
        <v>0.13400000000000001</v>
      </c>
      <c r="E484" s="137">
        <v>0.13600000000000001</v>
      </c>
      <c r="F484" s="137">
        <v>0.27500000000000002</v>
      </c>
      <c r="G484" s="137">
        <v>0.159</v>
      </c>
    </row>
  </sheetData>
  <mergeCells count="1">
    <mergeCell ref="A261:C261"/>
  </mergeCells>
  <hyperlinks>
    <hyperlink ref="D322" r:id="rId1"/>
    <hyperlink ref="A326" r:id="rId2"/>
    <hyperlink ref="D321" r:id="rId3"/>
    <hyperlink ref="D318" r:id="rId4"/>
    <hyperlink ref="A378" r:id="rId5" location="style=401757616"/>
    <hyperlink ref="D326" r:id="rId6"/>
    <hyperlink ref="D378" r:id="rId7"/>
    <hyperlink ref="D16" r:id="rId8"/>
    <hyperlink ref="D310" r:id="rId9"/>
    <hyperlink ref="J319" r:id="rId10"/>
  </hyperlinks>
  <pageMargins left="0.7" right="0.7" top="0.75" bottom="0.75" header="0.3" footer="0.3"/>
  <pageSetup paperSize="9" orientation="portrait" r:id="rId11"/>
  <drawing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8"/>
  <sheetViews>
    <sheetView tabSelected="1" zoomScale="80" zoomScaleNormal="80" workbookViewId="0">
      <selection activeCell="B5" sqref="B5"/>
    </sheetView>
  </sheetViews>
  <sheetFormatPr defaultColWidth="11" defaultRowHeight="15.5"/>
  <cols>
    <col min="1" max="1" width="42.75" style="4" customWidth="1"/>
    <col min="2" max="2" width="13.83203125" style="4" customWidth="1"/>
    <col min="3" max="3" width="16.58203125" style="4" customWidth="1"/>
    <col min="4" max="4" width="17" style="4" customWidth="1"/>
    <col min="5" max="5" width="19" style="4" customWidth="1"/>
    <col min="6" max="6" width="17.08203125" style="5" customWidth="1"/>
    <col min="7" max="7" width="20.33203125" style="4" customWidth="1"/>
    <col min="8" max="8" width="18.75" style="4" customWidth="1"/>
    <col min="9" max="10" width="11" style="4"/>
    <col min="11" max="11" width="7.83203125" style="4" customWidth="1"/>
    <col min="12" max="12" width="11" style="4"/>
    <col min="13" max="13" width="7.83203125" style="4" customWidth="1"/>
    <col min="14" max="14" width="11" style="4"/>
    <col min="15" max="15" width="7.83203125" style="4" customWidth="1"/>
    <col min="16" max="16" width="11" style="4"/>
  </cols>
  <sheetData>
    <row r="1" spans="1:16">
      <c r="A1" s="9" t="s">
        <v>463</v>
      </c>
      <c r="D1" s="4" t="s">
        <v>128</v>
      </c>
      <c r="F1" s="4"/>
    </row>
    <row r="2" spans="1:16">
      <c r="D2" s="6"/>
      <c r="E2" s="4" t="s">
        <v>129</v>
      </c>
    </row>
    <row r="3" spans="1:16">
      <c r="D3" s="41"/>
      <c r="E3" s="26" t="s">
        <v>191</v>
      </c>
    </row>
    <row r="4" spans="1:16">
      <c r="A4" s="26" t="s">
        <v>486</v>
      </c>
      <c r="B4" s="53">
        <v>3</v>
      </c>
      <c r="F4" s="4"/>
    </row>
    <row r="5" spans="1:16">
      <c r="A5" s="4" t="s">
        <v>201</v>
      </c>
      <c r="B5" s="63">
        <f>E48</f>
        <v>0.12870000000000001</v>
      </c>
      <c r="C5" s="4" t="s">
        <v>332</v>
      </c>
      <c r="F5" s="4"/>
    </row>
    <row r="6" spans="1:16">
      <c r="A6" s="4" t="s">
        <v>201</v>
      </c>
      <c r="B6" s="63">
        <f>B5/3.6</f>
        <v>3.5750000000000004E-2</v>
      </c>
      <c r="C6" s="4" t="s">
        <v>5</v>
      </c>
    </row>
    <row r="7" spans="1:16">
      <c r="A7" s="4" t="str">
        <f>A304</f>
        <v>incandescent bulb - capital expenditure</v>
      </c>
      <c r="B7" s="72">
        <f>B304</f>
        <v>1.875</v>
      </c>
      <c r="C7" s="4" t="s">
        <v>167</v>
      </c>
      <c r="F7" s="26"/>
      <c r="P7" s="67"/>
    </row>
    <row r="8" spans="1:16">
      <c r="A8" s="4" t="str">
        <f>A305</f>
        <v>incandescent bulb - lifetime</v>
      </c>
      <c r="B8" s="72">
        <f>B305</f>
        <v>1.8</v>
      </c>
      <c r="C8" s="4" t="s">
        <v>70</v>
      </c>
    </row>
    <row r="9" spans="1:16">
      <c r="A9" s="4" t="str">
        <f>A308</f>
        <v>incandescent bulb - efficacy</v>
      </c>
      <c r="B9" s="72">
        <f>B308</f>
        <v>8.8333333333333339</v>
      </c>
      <c r="C9" s="4" t="s">
        <v>200</v>
      </c>
    </row>
    <row r="10" spans="1:16">
      <c r="A10" s="4" t="str">
        <f t="shared" ref="A10:B12" si="0">A313</f>
        <v>incandescent bulb - embodied energy</v>
      </c>
      <c r="B10" s="72">
        <f t="shared" si="0"/>
        <v>2.2146156000000001</v>
      </c>
      <c r="C10" s="4" t="s">
        <v>67</v>
      </c>
    </row>
    <row r="11" spans="1:16">
      <c r="A11" s="4" t="str">
        <f t="shared" si="0"/>
        <v>LED bulb - capital expenditure</v>
      </c>
      <c r="B11" s="72">
        <f t="shared" si="0"/>
        <v>1.21</v>
      </c>
      <c r="C11" s="4" t="s">
        <v>167</v>
      </c>
    </row>
    <row r="12" spans="1:16">
      <c r="A12" s="26" t="str">
        <f t="shared" si="0"/>
        <v>LED bulb - lifetime</v>
      </c>
      <c r="B12" s="23">
        <f t="shared" si="0"/>
        <v>10</v>
      </c>
      <c r="C12" s="4" t="s">
        <v>70</v>
      </c>
    </row>
    <row r="13" spans="1:16">
      <c r="A13" s="26" t="str">
        <f>A318</f>
        <v>LED bulb - efficacy</v>
      </c>
      <c r="B13" s="77">
        <v>81.8</v>
      </c>
      <c r="C13" s="4" t="s">
        <v>200</v>
      </c>
    </row>
    <row r="14" spans="1:16">
      <c r="A14" s="4" t="str">
        <f>A323</f>
        <v>LED bulb - embodied energy</v>
      </c>
      <c r="B14" s="72">
        <f>B323</f>
        <v>6.5028546</v>
      </c>
      <c r="C14" s="4" t="s">
        <v>67</v>
      </c>
    </row>
    <row r="15" spans="1:16">
      <c r="A15" s="4" t="s">
        <v>209</v>
      </c>
      <c r="B15" s="18">
        <f>B306*B310</f>
        <v>580350</v>
      </c>
      <c r="C15" s="4" t="s">
        <v>208</v>
      </c>
    </row>
    <row r="16" spans="1:16">
      <c r="A16" s="4" t="s">
        <v>135</v>
      </c>
      <c r="B16" s="18">
        <f>'1_Case study 1 - Car'!B16</f>
        <v>34317</v>
      </c>
      <c r="C16" s="4" t="s">
        <v>61</v>
      </c>
      <c r="D16" s="160" t="s">
        <v>48</v>
      </c>
    </row>
    <row r="17" spans="1:8">
      <c r="A17" s="4" t="s">
        <v>136</v>
      </c>
      <c r="B17" s="153">
        <v>0.88319000000000003</v>
      </c>
      <c r="C17" s="20" t="s">
        <v>18</v>
      </c>
      <c r="D17" s="4" t="s">
        <v>50</v>
      </c>
      <c r="E17" s="4" t="s">
        <v>443</v>
      </c>
    </row>
    <row r="18" spans="1:8" ht="16" thickBot="1">
      <c r="A18" s="4" t="s">
        <v>137</v>
      </c>
      <c r="B18" s="6">
        <v>7.8479999999999994E-2</v>
      </c>
      <c r="C18" s="20" t="s">
        <v>18</v>
      </c>
      <c r="D18" s="4" t="s">
        <v>50</v>
      </c>
      <c r="E18" s="4" t="s">
        <v>443</v>
      </c>
    </row>
    <row r="19" spans="1:8">
      <c r="A19" s="4" t="s">
        <v>453</v>
      </c>
      <c r="B19" s="92">
        <f>D152/(D152+D153)</f>
        <v>3.0275539515823386E-4</v>
      </c>
      <c r="C19" s="20"/>
      <c r="D19" s="161" t="s">
        <v>433</v>
      </c>
      <c r="E19" s="162"/>
      <c r="F19" s="163"/>
    </row>
    <row r="20" spans="1:8">
      <c r="A20" s="25" t="s">
        <v>166</v>
      </c>
      <c r="D20" s="164" t="s">
        <v>434</v>
      </c>
      <c r="E20" s="165" t="s">
        <v>435</v>
      </c>
      <c r="F20" s="166">
        <v>2018</v>
      </c>
    </row>
    <row r="21" spans="1:8">
      <c r="A21" s="43" t="s">
        <v>174</v>
      </c>
      <c r="B21" s="139">
        <f>E268</f>
        <v>0.80127460045457022</v>
      </c>
      <c r="D21" s="164">
        <v>1</v>
      </c>
      <c r="E21" s="165" t="s">
        <v>436</v>
      </c>
      <c r="F21" s="154">
        <v>17851.8</v>
      </c>
    </row>
    <row r="22" spans="1:8">
      <c r="A22" s="43" t="s">
        <v>175</v>
      </c>
      <c r="B22" s="139">
        <f>E279</f>
        <v>0.80127464848749896</v>
      </c>
      <c r="D22" s="164">
        <v>27</v>
      </c>
      <c r="E22" s="165" t="s">
        <v>437</v>
      </c>
      <c r="F22" s="154">
        <v>15766.5</v>
      </c>
    </row>
    <row r="23" spans="1:8">
      <c r="A23" s="43" t="s">
        <v>181</v>
      </c>
      <c r="B23" s="151">
        <f>B21-B22</f>
        <v>-4.8032928745556092E-8</v>
      </c>
      <c r="D23" s="164">
        <v>34</v>
      </c>
      <c r="E23" s="165" t="s">
        <v>438</v>
      </c>
      <c r="F23" s="154">
        <v>1237.3</v>
      </c>
    </row>
    <row r="24" spans="1:8">
      <c r="A24" s="43" t="s">
        <v>197</v>
      </c>
      <c r="B24" s="34">
        <f>B21*E91</f>
        <v>169.05189585282869</v>
      </c>
      <c r="C24" s="4" t="s">
        <v>11</v>
      </c>
      <c r="D24" s="167" t="s">
        <v>439</v>
      </c>
      <c r="E24" s="165" t="s">
        <v>440</v>
      </c>
      <c r="F24" s="168">
        <f>F22/F21</f>
        <v>0.88318824992437739</v>
      </c>
    </row>
    <row r="25" spans="1:8" ht="16" thickBot="1">
      <c r="A25" s="43"/>
      <c r="B25" s="34"/>
      <c r="D25" s="169" t="s">
        <v>441</v>
      </c>
      <c r="E25" s="170" t="s">
        <v>442</v>
      </c>
      <c r="F25" s="171">
        <f>F23/F22</f>
        <v>7.8476516665081028E-2</v>
      </c>
    </row>
    <row r="26" spans="1:8">
      <c r="A26" s="43"/>
      <c r="B26" s="34"/>
      <c r="E26" s="107"/>
      <c r="F26" s="13"/>
    </row>
    <row r="27" spans="1:8">
      <c r="A27" s="43"/>
      <c r="B27" s="34"/>
    </row>
    <row r="28" spans="1:8">
      <c r="A28" s="43"/>
      <c r="B28" s="34"/>
    </row>
    <row r="29" spans="1:8">
      <c r="A29" s="10"/>
      <c r="B29" s="121"/>
      <c r="C29" s="10"/>
      <c r="D29" s="10"/>
      <c r="E29" s="13"/>
      <c r="F29" s="107"/>
      <c r="H29" s="51"/>
    </row>
    <row r="30" spans="1:8">
      <c r="A30" s="10"/>
      <c r="B30" s="10"/>
      <c r="C30" s="69"/>
      <c r="D30" s="13"/>
      <c r="E30" s="13"/>
      <c r="F30" s="107"/>
    </row>
    <row r="31" spans="1:8">
      <c r="A31" s="10"/>
      <c r="B31" s="10"/>
      <c r="C31" s="10"/>
      <c r="D31" s="13"/>
      <c r="E31" s="13"/>
      <c r="F31" s="107"/>
    </row>
    <row r="32" spans="1:8">
      <c r="A32" s="10"/>
      <c r="B32" s="10"/>
      <c r="C32" s="69"/>
      <c r="D32" s="13"/>
      <c r="E32" s="13"/>
      <c r="F32" s="107"/>
    </row>
    <row r="33" spans="1:16" ht="29">
      <c r="A33" s="9" t="s">
        <v>33</v>
      </c>
      <c r="B33" s="93" t="s">
        <v>479</v>
      </c>
      <c r="C33" s="8" t="s">
        <v>14</v>
      </c>
      <c r="D33" s="8" t="s">
        <v>14</v>
      </c>
      <c r="E33" s="9" t="s">
        <v>16</v>
      </c>
      <c r="F33" s="9" t="s">
        <v>303</v>
      </c>
      <c r="G33"/>
      <c r="H33"/>
      <c r="I33"/>
      <c r="J33"/>
    </row>
    <row r="34" spans="1:16">
      <c r="A34" s="4" t="s">
        <v>304</v>
      </c>
      <c r="D34" s="4" t="s">
        <v>483</v>
      </c>
      <c r="E34" s="112">
        <f>B19</f>
        <v>3.0275539515823386E-4</v>
      </c>
      <c r="F34" s="4"/>
      <c r="G34"/>
      <c r="H34"/>
      <c r="I34"/>
      <c r="J34"/>
    </row>
    <row r="35" spans="1:16">
      <c r="A35" s="4" t="s">
        <v>305</v>
      </c>
      <c r="D35" s="4" t="s">
        <v>476</v>
      </c>
      <c r="E35" s="6">
        <v>-0.4</v>
      </c>
      <c r="F35" s="4"/>
      <c r="G35"/>
      <c r="H35"/>
      <c r="I35"/>
      <c r="J35"/>
    </row>
    <row r="36" spans="1:16">
      <c r="A36" s="4" t="s">
        <v>477</v>
      </c>
      <c r="B36" s="4" t="s">
        <v>482</v>
      </c>
      <c r="D36" s="4" t="s">
        <v>475</v>
      </c>
      <c r="E36" s="95">
        <f>E35+E34*E38</f>
        <v>-0.39969724460484179</v>
      </c>
      <c r="F36" s="4" t="s">
        <v>57</v>
      </c>
      <c r="G36"/>
      <c r="H36"/>
      <c r="I36"/>
      <c r="J36"/>
    </row>
    <row r="37" spans="1:16">
      <c r="A37" s="4" t="s">
        <v>478</v>
      </c>
      <c r="B37" s="4" t="s">
        <v>480</v>
      </c>
      <c r="D37" s="4" t="s">
        <v>474</v>
      </c>
      <c r="E37" s="95">
        <f>E34*(E34+E35)/(E34-1)</f>
        <v>1.2104714491018619E-4</v>
      </c>
      <c r="F37" s="4" t="s">
        <v>58</v>
      </c>
      <c r="G37"/>
      <c r="H37"/>
      <c r="I37"/>
      <c r="J37"/>
    </row>
    <row r="38" spans="1:16">
      <c r="A38" s="4" t="s">
        <v>306</v>
      </c>
      <c r="D38" s="4" t="s">
        <v>307</v>
      </c>
      <c r="E38" s="6">
        <v>1</v>
      </c>
      <c r="F38" s="4" t="s">
        <v>60</v>
      </c>
      <c r="G38"/>
      <c r="H38"/>
      <c r="I38"/>
      <c r="J38"/>
    </row>
    <row r="39" spans="1:16">
      <c r="A39" s="4" t="s">
        <v>308</v>
      </c>
      <c r="D39" s="4" t="s">
        <v>309</v>
      </c>
      <c r="E39" s="6">
        <v>1</v>
      </c>
      <c r="F39" s="4" t="s">
        <v>62</v>
      </c>
      <c r="G39"/>
      <c r="H39"/>
      <c r="I39"/>
      <c r="J39"/>
      <c r="P39" s="66"/>
    </row>
    <row r="40" spans="1:16" s="3" customFormat="1">
      <c r="A40" s="4" t="s">
        <v>397</v>
      </c>
      <c r="B40" s="4" t="s">
        <v>481</v>
      </c>
      <c r="C40" s="146" t="s">
        <v>399</v>
      </c>
      <c r="D40" s="4" t="s">
        <v>400</v>
      </c>
      <c r="E40" s="12">
        <f>(E34+E35)/(E34-1)</f>
        <v>0.39981829174975198</v>
      </c>
      <c r="F40"/>
      <c r="G40"/>
      <c r="H40"/>
      <c r="I40"/>
      <c r="J40"/>
      <c r="K40" s="7"/>
      <c r="L40" s="7"/>
      <c r="M40" s="7"/>
      <c r="N40" s="7"/>
      <c r="O40" s="7"/>
      <c r="P40" s="4"/>
    </row>
    <row r="41" spans="1:16">
      <c r="C41" s="146" t="s">
        <v>398</v>
      </c>
      <c r="D41" s="4" t="s">
        <v>402</v>
      </c>
      <c r="E41" s="12">
        <f>(E40-1)/E40</f>
        <v>-1.5011361927030202</v>
      </c>
      <c r="F41" s="10"/>
    </row>
    <row r="42" spans="1:16">
      <c r="A42" s="10"/>
      <c r="B42" s="10"/>
      <c r="C42" s="115"/>
      <c r="D42" s="13"/>
      <c r="E42" s="13"/>
      <c r="F42" s="64"/>
    </row>
    <row r="43" spans="1:16">
      <c r="A43" s="10"/>
      <c r="B43" s="10"/>
      <c r="C43" s="10"/>
      <c r="D43" s="13"/>
      <c r="E43" s="13"/>
      <c r="F43" s="64"/>
    </row>
    <row r="44" spans="1:16">
      <c r="A44" s="10"/>
      <c r="B44" s="10"/>
      <c r="C44" s="10"/>
      <c r="D44" s="13"/>
      <c r="E44" s="13"/>
      <c r="F44" s="64"/>
    </row>
    <row r="45" spans="1:16">
      <c r="C45" s="10"/>
      <c r="D45" s="5"/>
      <c r="E45" s="11"/>
      <c r="F45" s="4"/>
    </row>
    <row r="46" spans="1:16">
      <c r="A46" s="7" t="s">
        <v>130</v>
      </c>
      <c r="B46" s="7"/>
      <c r="C46" s="8" t="s">
        <v>14</v>
      </c>
      <c r="D46" s="8" t="s">
        <v>14</v>
      </c>
      <c r="E46" s="8" t="s">
        <v>16</v>
      </c>
      <c r="F46" s="7" t="s">
        <v>13</v>
      </c>
      <c r="G46" s="7" t="s">
        <v>153</v>
      </c>
    </row>
    <row r="47" spans="1:16">
      <c r="A47" s="10" t="s">
        <v>430</v>
      </c>
      <c r="B47" s="10"/>
      <c r="C47" s="5"/>
      <c r="D47" s="5" t="s">
        <v>15</v>
      </c>
      <c r="E47" s="74">
        <f>E48*E51</f>
        <v>3.5750028600000004E-2</v>
      </c>
      <c r="F47" s="4" t="s">
        <v>5</v>
      </c>
      <c r="G47" s="4" t="s">
        <v>445</v>
      </c>
    </row>
    <row r="48" spans="1:16">
      <c r="A48" s="70"/>
      <c r="B48" s="70"/>
      <c r="C48" s="10"/>
      <c r="D48" s="13"/>
      <c r="E48" s="79">
        <v>0.12870000000000001</v>
      </c>
      <c r="F48" s="10" t="s">
        <v>219</v>
      </c>
      <c r="G48" s="152" t="s">
        <v>429</v>
      </c>
      <c r="H48" s="10"/>
      <c r="I48" s="10"/>
      <c r="J48" s="10"/>
      <c r="K48" s="10"/>
      <c r="L48" s="10"/>
      <c r="M48" s="10"/>
      <c r="N48" s="10"/>
      <c r="O48" s="10"/>
    </row>
    <row r="49" spans="1:16">
      <c r="A49" s="10"/>
      <c r="B49" s="10"/>
      <c r="C49" s="10"/>
      <c r="D49" s="13"/>
      <c r="E49" s="94" t="s">
        <v>204</v>
      </c>
      <c r="F49" s="10"/>
      <c r="H49" s="10"/>
      <c r="I49" s="10"/>
      <c r="J49" s="10"/>
      <c r="K49" s="10"/>
      <c r="L49" s="13"/>
      <c r="M49" s="10"/>
      <c r="N49" s="10"/>
      <c r="O49" s="10"/>
    </row>
    <row r="50" spans="1:16">
      <c r="A50" s="9" t="s">
        <v>24</v>
      </c>
      <c r="B50" s="9"/>
      <c r="F50" s="4"/>
    </row>
    <row r="51" spans="1:16">
      <c r="A51" s="4" t="s">
        <v>213</v>
      </c>
      <c r="E51" s="63">
        <v>0.27777800000000002</v>
      </c>
      <c r="F51" s="4" t="s">
        <v>214</v>
      </c>
    </row>
    <row r="52" spans="1:16">
      <c r="A52" s="4" t="s">
        <v>215</v>
      </c>
      <c r="E52" s="63">
        <f>1/E51</f>
        <v>3.5999971200023038</v>
      </c>
      <c r="F52" s="4" t="s">
        <v>67</v>
      </c>
    </row>
    <row r="53" spans="1:16">
      <c r="A53" s="9"/>
      <c r="B53" s="9"/>
      <c r="F53" s="4"/>
    </row>
    <row r="54" spans="1:16" s="1" customFormat="1">
      <c r="A54" s="10"/>
      <c r="B54" s="10"/>
      <c r="C54" s="10"/>
      <c r="D54" s="13"/>
      <c r="E54" s="14"/>
      <c r="F54" s="10"/>
      <c r="G54" s="10"/>
      <c r="H54" s="10"/>
      <c r="I54" s="10"/>
      <c r="J54" s="10"/>
      <c r="K54" s="10"/>
      <c r="L54" s="13"/>
      <c r="M54" s="10"/>
      <c r="N54" s="10"/>
      <c r="O54" s="10"/>
      <c r="P54" s="10"/>
    </row>
    <row r="55" spans="1:16" s="1" customFormat="1">
      <c r="A55" s="10"/>
      <c r="B55" s="10"/>
      <c r="C55" s="10"/>
      <c r="D55" s="13"/>
      <c r="E55" s="14"/>
      <c r="F55" s="10"/>
      <c r="G55" s="10"/>
      <c r="H55" s="10"/>
      <c r="I55" s="10"/>
      <c r="J55" s="10"/>
      <c r="K55" s="10"/>
      <c r="L55" s="13"/>
      <c r="M55" s="10"/>
      <c r="N55" s="10"/>
      <c r="O55" s="10"/>
      <c r="P55" s="10"/>
    </row>
    <row r="56" spans="1:16" s="1" customFormat="1">
      <c r="A56" s="10"/>
      <c r="B56" s="10"/>
      <c r="C56" s="10"/>
      <c r="D56" s="13"/>
      <c r="E56" s="14"/>
      <c r="F56" s="10"/>
      <c r="G56" s="10"/>
      <c r="H56" s="10"/>
      <c r="I56" s="10"/>
      <c r="J56" s="10"/>
      <c r="K56" s="10"/>
      <c r="L56" s="13"/>
      <c r="M56" s="10"/>
      <c r="N56" s="10"/>
      <c r="O56" s="10"/>
      <c r="P56" s="10"/>
    </row>
    <row r="57" spans="1:16" s="1" customFormat="1">
      <c r="A57" s="10"/>
      <c r="B57" s="10"/>
      <c r="C57" s="10"/>
      <c r="D57" s="13"/>
      <c r="E57" s="14"/>
      <c r="F57" s="10"/>
      <c r="G57" s="10"/>
      <c r="H57" s="10"/>
      <c r="I57" s="10"/>
      <c r="J57" s="10"/>
      <c r="K57" s="10"/>
      <c r="L57" s="13"/>
      <c r="M57" s="10"/>
      <c r="N57" s="10"/>
      <c r="O57" s="10"/>
      <c r="P57" s="10"/>
    </row>
    <row r="58" spans="1:16" s="1" customFormat="1">
      <c r="A58" s="10"/>
      <c r="B58" s="10"/>
      <c r="C58" s="10"/>
      <c r="D58" s="13"/>
      <c r="E58" s="14"/>
      <c r="F58" s="10"/>
      <c r="G58" s="10"/>
      <c r="H58" s="10"/>
      <c r="I58" s="10"/>
      <c r="J58" s="10"/>
      <c r="K58" s="10"/>
      <c r="L58" s="13"/>
      <c r="M58" s="10"/>
      <c r="N58" s="10"/>
      <c r="O58" s="10"/>
      <c r="P58" s="10"/>
    </row>
    <row r="59" spans="1:16" s="1" customFormat="1">
      <c r="A59" s="10"/>
      <c r="B59" s="10"/>
      <c r="C59" s="10"/>
      <c r="D59" s="13"/>
      <c r="E59" s="14"/>
      <c r="F59" s="10"/>
      <c r="G59" s="10"/>
      <c r="H59" s="10"/>
      <c r="I59" s="10"/>
      <c r="J59" s="10"/>
      <c r="K59" s="10"/>
      <c r="L59" s="13"/>
      <c r="M59" s="10"/>
      <c r="N59" s="10"/>
      <c r="O59" s="10"/>
      <c r="P59" s="10"/>
    </row>
    <row r="60" spans="1:16" s="1" customFormat="1">
      <c r="A60" s="10"/>
      <c r="B60" s="10"/>
      <c r="C60" s="10"/>
      <c r="D60" s="13"/>
      <c r="E60" s="14"/>
      <c r="F60" s="10"/>
      <c r="G60" s="10"/>
      <c r="H60" s="10"/>
      <c r="I60" s="10"/>
      <c r="J60" s="10"/>
      <c r="K60" s="10"/>
      <c r="L60" s="13"/>
      <c r="M60" s="10"/>
      <c r="N60" s="10"/>
      <c r="O60" s="10"/>
      <c r="P60" s="10"/>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f>'1_Case study 1 - Car'!E63</f>
        <v>1594129.6070000001</v>
      </c>
      <c r="F63" s="4" t="s">
        <v>6</v>
      </c>
      <c r="H63" s="4" t="s">
        <v>444</v>
      </c>
    </row>
    <row r="64" spans="1:16">
      <c r="A64" s="4" t="s">
        <v>432</v>
      </c>
      <c r="C64" s="4" t="s">
        <v>19</v>
      </c>
      <c r="D64" s="5"/>
      <c r="E64" s="17">
        <f>E63*41.868*1000000</f>
        <v>66743018385876.008</v>
      </c>
      <c r="F64" s="4" t="s">
        <v>11</v>
      </c>
      <c r="H64" s="4" t="s">
        <v>20</v>
      </c>
    </row>
    <row r="65" spans="1:16">
      <c r="A65" s="4" t="s">
        <v>7</v>
      </c>
      <c r="C65" s="4" t="s">
        <v>451</v>
      </c>
      <c r="D65" s="5"/>
      <c r="E65" s="16">
        <f>'1_Case study 1 - Car'!E65</f>
        <v>20612</v>
      </c>
      <c r="F65" s="4" t="s">
        <v>12</v>
      </c>
      <c r="H65" s="4" t="s">
        <v>8</v>
      </c>
      <c r="I65" s="4" t="s">
        <v>443</v>
      </c>
    </row>
    <row r="66" spans="1:16">
      <c r="A66" s="10" t="s">
        <v>9</v>
      </c>
      <c r="B66" s="10"/>
      <c r="C66" s="5"/>
      <c r="D66" s="5" t="s">
        <v>55</v>
      </c>
      <c r="E66" s="19">
        <f>E64/E65/1000000000</f>
        <v>3.2380660967337476</v>
      </c>
      <c r="F66" s="4" t="s">
        <v>10</v>
      </c>
    </row>
    <row r="67" spans="1:16">
      <c r="A67" s="10" t="s">
        <v>17</v>
      </c>
      <c r="B67" s="10"/>
      <c r="C67" s="10"/>
      <c r="D67" s="13" t="s">
        <v>193</v>
      </c>
      <c r="E67" s="68">
        <f>E47*E66</f>
        <v>0.11576095556692186</v>
      </c>
      <c r="F67" s="64" t="s">
        <v>18</v>
      </c>
      <c r="H67" s="10"/>
      <c r="I67" s="10"/>
      <c r="J67" s="10"/>
      <c r="K67" s="10"/>
      <c r="L67" s="10"/>
      <c r="M67" s="10"/>
      <c r="N67" s="10"/>
      <c r="O67" s="10"/>
    </row>
    <row r="68" spans="1:16">
      <c r="D68" s="5"/>
      <c r="F68" s="20"/>
      <c r="H68" s="10"/>
      <c r="I68" s="10"/>
      <c r="J68" s="10"/>
      <c r="K68" s="10"/>
      <c r="L68" s="13"/>
      <c r="M68" s="10"/>
      <c r="N68" s="10"/>
      <c r="O68" s="10"/>
    </row>
    <row r="69" spans="1:16">
      <c r="A69" s="9" t="s">
        <v>205</v>
      </c>
      <c r="B69" s="9"/>
      <c r="D69" s="5"/>
      <c r="F69" s="4"/>
    </row>
    <row r="70" spans="1:16">
      <c r="A70" s="4" t="s">
        <v>199</v>
      </c>
      <c r="C70" s="5"/>
      <c r="D70" s="5" t="s">
        <v>42</v>
      </c>
      <c r="E70" s="72">
        <f>B7</f>
        <v>1.875</v>
      </c>
      <c r="F70" s="4" t="s">
        <v>167</v>
      </c>
    </row>
    <row r="71" spans="1:16">
      <c r="A71" s="4" t="s">
        <v>206</v>
      </c>
      <c r="C71" s="5"/>
      <c r="D71" s="5" t="s">
        <v>77</v>
      </c>
      <c r="E71" s="91">
        <f>B9</f>
        <v>8.8333333333333339</v>
      </c>
      <c r="F71" s="4" t="s">
        <v>200</v>
      </c>
    </row>
    <row r="72" spans="1:16">
      <c r="A72" s="4" t="s">
        <v>127</v>
      </c>
      <c r="C72" s="5"/>
      <c r="D72" s="5" t="s">
        <v>36</v>
      </c>
      <c r="E72" s="92">
        <f>E$48/E71/1000</f>
        <v>1.4569811320754717E-5</v>
      </c>
      <c r="F72" s="4" t="s">
        <v>218</v>
      </c>
      <c r="H72" s="10"/>
      <c r="I72" s="10"/>
      <c r="J72" s="10"/>
      <c r="K72" s="10"/>
      <c r="L72" s="13"/>
      <c r="M72" s="10"/>
      <c r="N72" s="10"/>
      <c r="O72" s="10"/>
      <c r="P72" s="10"/>
    </row>
    <row r="73" spans="1:16">
      <c r="A73" s="4" t="s">
        <v>209</v>
      </c>
      <c r="C73" s="5"/>
      <c r="D73" s="5" t="s">
        <v>147</v>
      </c>
      <c r="E73" s="23">
        <f>B15</f>
        <v>580350</v>
      </c>
      <c r="F73" s="4" t="s">
        <v>208</v>
      </c>
      <c r="H73" s="10"/>
      <c r="I73" s="10"/>
      <c r="J73" s="10"/>
      <c r="K73" s="10"/>
      <c r="L73" s="13"/>
      <c r="M73" s="10"/>
      <c r="N73" s="10"/>
      <c r="O73" s="10"/>
      <c r="P73" s="10"/>
    </row>
    <row r="74" spans="1:16">
      <c r="A74" s="4" t="s">
        <v>148</v>
      </c>
      <c r="C74" s="5"/>
      <c r="D74" s="5" t="s">
        <v>146</v>
      </c>
      <c r="E74" s="23">
        <f>B309</f>
        <v>236.51981078415136</v>
      </c>
      <c r="F74" s="4" t="s">
        <v>11</v>
      </c>
    </row>
    <row r="75" spans="1:16">
      <c r="A75" s="4" t="s">
        <v>68</v>
      </c>
      <c r="C75" s="5"/>
      <c r="D75" s="5" t="s">
        <v>44</v>
      </c>
      <c r="E75" s="75">
        <f>B10</f>
        <v>2.2146156000000001</v>
      </c>
      <c r="F75" s="4" t="s">
        <v>67</v>
      </c>
    </row>
    <row r="76" spans="1:16">
      <c r="A76" s="4" t="s">
        <v>69</v>
      </c>
      <c r="D76" s="5" t="s">
        <v>71</v>
      </c>
      <c r="E76" s="10">
        <f>B8</f>
        <v>1.8</v>
      </c>
      <c r="F76" s="4" t="s">
        <v>70</v>
      </c>
    </row>
    <row r="77" spans="1:16">
      <c r="A77" s="4" t="s">
        <v>171</v>
      </c>
      <c r="D77" s="5" t="s">
        <v>172</v>
      </c>
      <c r="E77" s="75">
        <f>E70/E76</f>
        <v>1.0416666666666667</v>
      </c>
      <c r="F77" s="4" t="s">
        <v>46</v>
      </c>
    </row>
    <row r="78" spans="1:16">
      <c r="A78" s="4" t="s">
        <v>43</v>
      </c>
      <c r="C78" s="5"/>
      <c r="D78" s="5" t="s">
        <v>72</v>
      </c>
      <c r="E78" s="80">
        <f>E75/E76</f>
        <v>1.230342</v>
      </c>
      <c r="F78" s="4" t="s">
        <v>11</v>
      </c>
    </row>
    <row r="79" spans="1:16">
      <c r="A79" s="4" t="s">
        <v>295</v>
      </c>
      <c r="D79" s="5" t="s">
        <v>296</v>
      </c>
      <c r="E79" s="155">
        <v>1.0000000000000001E-9</v>
      </c>
      <c r="F79" s="4" t="s">
        <v>46</v>
      </c>
      <c r="H79" s="10"/>
    </row>
    <row r="80" spans="1:16">
      <c r="D80" s="5"/>
      <c r="E80" s="22"/>
      <c r="F80" s="4"/>
    </row>
    <row r="81" spans="1:9">
      <c r="A81" s="9" t="s">
        <v>202</v>
      </c>
      <c r="B81" s="9"/>
      <c r="D81" s="25"/>
      <c r="F81" s="4"/>
    </row>
    <row r="82" spans="1:9">
      <c r="A82" s="4" t="s">
        <v>199</v>
      </c>
      <c r="C82" s="5"/>
      <c r="D82" s="5" t="s">
        <v>149</v>
      </c>
      <c r="E82" s="72">
        <f>B11</f>
        <v>1.21</v>
      </c>
      <c r="F82" s="4" t="s">
        <v>167</v>
      </c>
      <c r="G82" s="5"/>
    </row>
    <row r="83" spans="1:9">
      <c r="A83" s="4" t="s">
        <v>207</v>
      </c>
      <c r="C83" s="5"/>
      <c r="D83" s="5" t="s">
        <v>115</v>
      </c>
      <c r="E83" s="96">
        <f>B13</f>
        <v>81.8</v>
      </c>
      <c r="F83" s="4" t="s">
        <v>200</v>
      </c>
      <c r="G83" s="5"/>
    </row>
    <row r="84" spans="1:9">
      <c r="A84" s="4" t="s">
        <v>37</v>
      </c>
      <c r="C84" s="5"/>
      <c r="D84" s="5" t="s">
        <v>152</v>
      </c>
      <c r="E84" s="92">
        <f>E$48/E83/1000</f>
        <v>1.5733496332518339E-6</v>
      </c>
      <c r="F84" s="4" t="s">
        <v>203</v>
      </c>
      <c r="G84" s="5"/>
    </row>
    <row r="85" spans="1:9">
      <c r="A85" s="4" t="s">
        <v>210</v>
      </c>
      <c r="D85" s="5" t="s">
        <v>94</v>
      </c>
      <c r="E85" s="23">
        <f>E73</f>
        <v>580350</v>
      </c>
      <c r="F85" s="4" t="s">
        <v>208</v>
      </c>
      <c r="H85" s="5" t="s">
        <v>406</v>
      </c>
      <c r="I85" s="5" t="s">
        <v>407</v>
      </c>
    </row>
    <row r="86" spans="1:9">
      <c r="A86" s="4" t="s">
        <v>211</v>
      </c>
      <c r="D86" s="5" t="s">
        <v>78</v>
      </c>
      <c r="E86" s="99">
        <f>((E34+(1-E34)*(((1-E34)/(E34))*(E84*E85/D153))^(E41/(1-E41)))^(-1/E41))*E85</f>
        <v>1412866.9010645666</v>
      </c>
      <c r="F86" s="4" t="s">
        <v>208</v>
      </c>
      <c r="H86" s="22">
        <f>E86</f>
        <v>1412866.9010645666</v>
      </c>
      <c r="I86" s="23">
        <v>1764778.779092669</v>
      </c>
    </row>
    <row r="87" spans="1:9">
      <c r="A87" s="4" t="s">
        <v>212</v>
      </c>
      <c r="D87" s="5" t="s">
        <v>120</v>
      </c>
      <c r="E87" s="97">
        <f>E86*((E105+F155)/E105)^E38</f>
        <v>1413438.9555402834</v>
      </c>
      <c r="F87" s="4" t="s">
        <v>208</v>
      </c>
      <c r="H87" s="22">
        <f>E87</f>
        <v>1413438.9555402834</v>
      </c>
      <c r="I87" s="23">
        <v>1765861.3641098014</v>
      </c>
    </row>
    <row r="88" spans="1:9">
      <c r="A88" s="4" t="s">
        <v>97</v>
      </c>
      <c r="D88" s="5" t="s">
        <v>116</v>
      </c>
      <c r="E88" s="23">
        <f>E85/E$83/277.7777</f>
        <v>25.541082946124256</v>
      </c>
      <c r="F88" s="4" t="s">
        <v>11</v>
      </c>
      <c r="G88" s="26"/>
    </row>
    <row r="89" spans="1:9">
      <c r="A89" s="4" t="s">
        <v>96</v>
      </c>
      <c r="D89" s="5" t="s">
        <v>117</v>
      </c>
      <c r="E89" s="23">
        <f t="shared" ref="E89:E90" si="1">E86/E$83/277.7777</f>
        <v>62.179978826438578</v>
      </c>
      <c r="F89" s="4" t="s">
        <v>11</v>
      </c>
    </row>
    <row r="90" spans="1:9">
      <c r="A90" s="4" t="s">
        <v>122</v>
      </c>
      <c r="D90" s="5" t="s">
        <v>121</v>
      </c>
      <c r="E90" s="23">
        <f t="shared" si="1"/>
        <v>62.205154825084193</v>
      </c>
      <c r="F90" s="4" t="s">
        <v>11</v>
      </c>
    </row>
    <row r="91" spans="1:9">
      <c r="A91" s="4" t="s">
        <v>150</v>
      </c>
      <c r="D91" s="5" t="s">
        <v>53</v>
      </c>
      <c r="E91" s="23">
        <f>E74-E88</f>
        <v>210.97872783802711</v>
      </c>
      <c r="F91" s="4" t="s">
        <v>11</v>
      </c>
    </row>
    <row r="92" spans="1:9">
      <c r="A92" s="4" t="s">
        <v>68</v>
      </c>
      <c r="C92" s="5"/>
      <c r="D92" s="5" t="s">
        <v>52</v>
      </c>
      <c r="E92" s="75">
        <f>B14</f>
        <v>6.5028546</v>
      </c>
      <c r="F92" s="4" t="s">
        <v>67</v>
      </c>
    </row>
    <row r="93" spans="1:9">
      <c r="A93" s="4" t="s">
        <v>69</v>
      </c>
      <c r="D93" s="5" t="s">
        <v>73</v>
      </c>
      <c r="E93" s="23">
        <f>B12</f>
        <v>10</v>
      </c>
      <c r="F93" s="4" t="s">
        <v>70</v>
      </c>
    </row>
    <row r="94" spans="1:9">
      <c r="A94" s="4" t="s">
        <v>171</v>
      </c>
      <c r="C94" s="5"/>
      <c r="D94" s="5" t="s">
        <v>173</v>
      </c>
      <c r="E94" s="75">
        <f>E82/E93</f>
        <v>0.121</v>
      </c>
      <c r="F94" s="4" t="s">
        <v>46</v>
      </c>
    </row>
    <row r="95" spans="1:9">
      <c r="A95" s="4" t="s">
        <v>43</v>
      </c>
      <c r="C95" s="5"/>
      <c r="D95" s="5" t="s">
        <v>118</v>
      </c>
      <c r="E95" s="78">
        <f>E92/E93</f>
        <v>0.65028545999999998</v>
      </c>
      <c r="F95" s="4" t="s">
        <v>11</v>
      </c>
      <c r="G95" s="5"/>
    </row>
    <row r="96" spans="1:9">
      <c r="A96" s="4" t="s">
        <v>295</v>
      </c>
      <c r="C96" s="5"/>
      <c r="D96" s="5" t="s">
        <v>294</v>
      </c>
      <c r="E96" s="155">
        <v>1E-4</v>
      </c>
      <c r="F96" s="4" t="s">
        <v>46</v>
      </c>
    </row>
    <row r="97" spans="1:9">
      <c r="C97" s="5"/>
      <c r="D97" s="5"/>
      <c r="E97" s="22"/>
      <c r="F97" s="4"/>
    </row>
    <row r="98" spans="1:9">
      <c r="A98" s="4" t="s">
        <v>176</v>
      </c>
      <c r="C98" s="5"/>
      <c r="D98" s="13" t="s">
        <v>177</v>
      </c>
      <c r="E98" s="75">
        <f>E83/E71</f>
        <v>9.2603773584905653</v>
      </c>
      <c r="F98" s="58" t="s">
        <v>18</v>
      </c>
    </row>
    <row r="99" spans="1:9">
      <c r="D99" s="5"/>
      <c r="E99" s="22"/>
      <c r="F99" s="4"/>
    </row>
    <row r="100" spans="1:9">
      <c r="A100" s="9" t="s">
        <v>154</v>
      </c>
      <c r="B100" s="9"/>
      <c r="D100" s="5"/>
      <c r="F100" s="20"/>
    </row>
    <row r="101" spans="1:9">
      <c r="A101" s="4" t="s">
        <v>135</v>
      </c>
      <c r="D101" s="5"/>
      <c r="E101" s="23">
        <f>B16</f>
        <v>34317</v>
      </c>
      <c r="F101" s="58" t="s">
        <v>46</v>
      </c>
    </row>
    <row r="102" spans="1:9">
      <c r="A102" s="4" t="s">
        <v>136</v>
      </c>
      <c r="D102" s="5"/>
      <c r="E102" s="14">
        <f>B17</f>
        <v>0.88319000000000003</v>
      </c>
      <c r="F102" s="58" t="s">
        <v>18</v>
      </c>
    </row>
    <row r="103" spans="1:9">
      <c r="A103" s="4" t="s">
        <v>137</v>
      </c>
      <c r="D103" s="5"/>
      <c r="E103" s="10">
        <f>B18</f>
        <v>7.8479999999999994E-2</v>
      </c>
      <c r="F103" s="58" t="s">
        <v>18</v>
      </c>
    </row>
    <row r="104" spans="1:9">
      <c r="A104" s="4" t="s">
        <v>49</v>
      </c>
      <c r="C104" s="5"/>
      <c r="D104" s="5" t="s">
        <v>59</v>
      </c>
      <c r="E104" s="22">
        <f>E101*E102*(1-E103)</f>
        <v>27929.825547069602</v>
      </c>
      <c r="F104" s="58" t="s">
        <v>46</v>
      </c>
    </row>
    <row r="105" spans="1:9">
      <c r="D105" s="13" t="s">
        <v>370</v>
      </c>
      <c r="E105" s="22">
        <f>E104-D150-D151-E106+F143*F165+F170</f>
        <v>27918.400589643163</v>
      </c>
      <c r="F105" s="58" t="s">
        <v>46</v>
      </c>
    </row>
    <row r="106" spans="1:9">
      <c r="A106" s="26" t="s">
        <v>151</v>
      </c>
      <c r="D106" s="5" t="s">
        <v>76</v>
      </c>
      <c r="E106" s="75">
        <f>E47*E91</f>
        <v>7.5424955542010865</v>
      </c>
      <c r="F106" s="26" t="s">
        <v>46</v>
      </c>
    </row>
    <row r="107" spans="1:9">
      <c r="A107" s="4" t="s">
        <v>178</v>
      </c>
      <c r="D107" s="5" t="s">
        <v>179</v>
      </c>
      <c r="E107" s="75">
        <f>E167</f>
        <v>-0.92066666666666674</v>
      </c>
      <c r="F107" s="26" t="s">
        <v>46</v>
      </c>
    </row>
    <row r="108" spans="1:9">
      <c r="A108" s="4" t="s">
        <v>292</v>
      </c>
      <c r="D108" s="5" t="s">
        <v>293</v>
      </c>
      <c r="E108" s="75">
        <f>E168</f>
        <v>9.9999000000000003E-5</v>
      </c>
      <c r="F108" s="26" t="s">
        <v>46</v>
      </c>
    </row>
    <row r="109" spans="1:9">
      <c r="A109" s="4" t="s">
        <v>159</v>
      </c>
      <c r="D109" s="5" t="s">
        <v>311</v>
      </c>
      <c r="E109" s="23">
        <f>E104 - E47*E74 - E77 - E79</f>
        <v>27920.328290401932</v>
      </c>
      <c r="F109" s="26" t="s">
        <v>46</v>
      </c>
    </row>
    <row r="110" spans="1:9">
      <c r="A110" s="4" t="s">
        <v>98</v>
      </c>
      <c r="D110" s="5" t="s">
        <v>310</v>
      </c>
      <c r="E110" s="23">
        <f>E109</f>
        <v>27920.328290401932</v>
      </c>
      <c r="F110" s="26" t="s">
        <v>46</v>
      </c>
      <c r="H110" s="5" t="s">
        <v>406</v>
      </c>
      <c r="I110" s="5" t="s">
        <v>407</v>
      </c>
    </row>
    <row r="111" spans="1:9">
      <c r="A111" s="4" t="s">
        <v>99</v>
      </c>
      <c r="D111" s="5" t="s">
        <v>79</v>
      </c>
      <c r="E111" s="99">
        <f>E109*(1/(1+E34*(((((1-E34)/(E34))*(H146*D147/D153))^(1-E40))-1)))^(1/E41)</f>
        <v>27916.177653621769</v>
      </c>
      <c r="F111" s="26" t="s">
        <v>46</v>
      </c>
      <c r="H111" s="22">
        <f>E111</f>
        <v>27916.177653621769</v>
      </c>
      <c r="I111" s="23">
        <v>27381.434623572903</v>
      </c>
    </row>
    <row r="112" spans="1:9">
      <c r="A112" s="4" t="s">
        <v>124</v>
      </c>
      <c r="D112" s="5" t="s">
        <v>81</v>
      </c>
      <c r="E112" s="23">
        <f>E116 - E47*G165 + E111</f>
        <v>27927.480611005536</v>
      </c>
      <c r="F112" s="26" t="s">
        <v>46</v>
      </c>
      <c r="H112" s="22">
        <f>E112</f>
        <v>27927.480611005536</v>
      </c>
      <c r="I112" s="23">
        <v>27398.231477219513</v>
      </c>
    </row>
    <row r="113" spans="1:6">
      <c r="A113" s="4" t="s">
        <v>158</v>
      </c>
      <c r="D113" s="5" t="s">
        <v>334</v>
      </c>
      <c r="E113" s="23">
        <f>E112</f>
        <v>27927.480611005536</v>
      </c>
      <c r="F113" s="26" t="s">
        <v>46</v>
      </c>
    </row>
    <row r="114" spans="1:6">
      <c r="A114" s="4" t="s">
        <v>160</v>
      </c>
      <c r="C114" s="5"/>
      <c r="D114" s="13" t="s">
        <v>161</v>
      </c>
      <c r="E114" s="23">
        <v>0</v>
      </c>
      <c r="F114" s="26" t="s">
        <v>46</v>
      </c>
    </row>
    <row r="115" spans="1:6">
      <c r="A115" s="4" t="s">
        <v>155</v>
      </c>
      <c r="D115" s="13" t="s">
        <v>162</v>
      </c>
      <c r="E115" s="23">
        <f>E91*E47-E107-E108</f>
        <v>8.4630622218677534</v>
      </c>
      <c r="F115" s="26" t="s">
        <v>46</v>
      </c>
    </row>
    <row r="116" spans="1:6">
      <c r="A116" s="4" t="s">
        <v>156</v>
      </c>
      <c r="D116" s="13" t="s">
        <v>75</v>
      </c>
      <c r="E116" s="97">
        <f>E106-E107-E108-E47*F165 - F170</f>
        <v>11.303857426437133</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20" spans="1:6">
      <c r="E120" s="22"/>
    </row>
    <row r="121" spans="1:6">
      <c r="E121" s="22"/>
    </row>
    <row r="140" spans="1:11">
      <c r="K140" s="27"/>
    </row>
    <row r="141" spans="1:11" ht="16" thickBot="1"/>
    <row r="142" spans="1:11">
      <c r="A142" s="28"/>
      <c r="B142" s="29" t="s">
        <v>91</v>
      </c>
      <c r="C142" s="29" t="s">
        <v>92</v>
      </c>
      <c r="D142" s="29" t="s">
        <v>93</v>
      </c>
      <c r="E142" s="29" t="s">
        <v>101</v>
      </c>
      <c r="F142" s="29" t="s">
        <v>102</v>
      </c>
      <c r="G142" s="29" t="s">
        <v>104</v>
      </c>
      <c r="H142" s="29" t="s">
        <v>103</v>
      </c>
    </row>
    <row r="143" spans="1:11">
      <c r="A143" s="30" t="s">
        <v>83</v>
      </c>
      <c r="B143" s="5" t="s">
        <v>5</v>
      </c>
      <c r="C143" s="5"/>
      <c r="D143" s="31">
        <f>$E47</f>
        <v>3.5750028600000004E-2</v>
      </c>
      <c r="E143" s="31">
        <f>$E47</f>
        <v>3.5750028600000004E-2</v>
      </c>
      <c r="F143" s="31">
        <f>$E47</f>
        <v>3.5750028600000004E-2</v>
      </c>
      <c r="G143" s="31">
        <f>$E47</f>
        <v>3.5750028600000004E-2</v>
      </c>
      <c r="H143" s="31">
        <f>$E47</f>
        <v>3.5750028600000004E-2</v>
      </c>
    </row>
    <row r="144" spans="1:11">
      <c r="A144" s="30" t="s">
        <v>9</v>
      </c>
      <c r="B144" s="5" t="s">
        <v>10</v>
      </c>
      <c r="C144" s="5"/>
      <c r="D144" s="31">
        <f>$E66</f>
        <v>3.2380660967337476</v>
      </c>
      <c r="E144" s="31">
        <f>$E66</f>
        <v>3.2380660967337476</v>
      </c>
      <c r="F144" s="31">
        <f>$E66</f>
        <v>3.2380660967337476</v>
      </c>
      <c r="G144" s="31">
        <f>$E66</f>
        <v>3.2380660967337476</v>
      </c>
      <c r="H144" s="31">
        <f>$E66</f>
        <v>3.2380660967337476</v>
      </c>
    </row>
    <row r="145" spans="1:13">
      <c r="A145" s="30" t="s">
        <v>84</v>
      </c>
      <c r="B145" s="5" t="s">
        <v>200</v>
      </c>
      <c r="C145" s="5"/>
      <c r="D145" s="110">
        <f>E71</f>
        <v>8.8333333333333339</v>
      </c>
      <c r="E145" s="110">
        <f t="shared" ref="E145:H146" si="2">$E83</f>
        <v>81.8</v>
      </c>
      <c r="F145" s="110">
        <f t="shared" si="2"/>
        <v>81.8</v>
      </c>
      <c r="G145" s="110">
        <f t="shared" si="2"/>
        <v>81.8</v>
      </c>
      <c r="H145" s="110">
        <f t="shared" si="2"/>
        <v>81.8</v>
      </c>
    </row>
    <row r="146" spans="1:13">
      <c r="A146" s="30" t="s">
        <v>85</v>
      </c>
      <c r="B146" s="5" t="s">
        <v>218</v>
      </c>
      <c r="C146" s="5"/>
      <c r="D146" s="108">
        <f>E72</f>
        <v>1.4569811320754717E-5</v>
      </c>
      <c r="E146" s="109">
        <f t="shared" si="2"/>
        <v>1.5733496332518339E-6</v>
      </c>
      <c r="F146" s="109">
        <f t="shared" si="2"/>
        <v>1.5733496332518339E-6</v>
      </c>
      <c r="G146" s="109">
        <f t="shared" si="2"/>
        <v>1.5733496332518339E-6</v>
      </c>
      <c r="H146" s="109">
        <f t="shared" si="2"/>
        <v>1.5733496332518339E-6</v>
      </c>
    </row>
    <row r="147" spans="1:13">
      <c r="A147" s="30" t="s">
        <v>86</v>
      </c>
      <c r="B147" s="5" t="s">
        <v>208</v>
      </c>
      <c r="C147" s="5"/>
      <c r="D147" s="33">
        <f>$E73</f>
        <v>580350</v>
      </c>
      <c r="E147" s="33">
        <f>E85</f>
        <v>580350</v>
      </c>
      <c r="F147" s="33">
        <f>E86</f>
        <v>1412866.9010645666</v>
      </c>
      <c r="G147" s="33">
        <f>E87</f>
        <v>1413438.9555402834</v>
      </c>
      <c r="H147" s="33">
        <f>E87</f>
        <v>1413438.9555402834</v>
      </c>
    </row>
    <row r="148" spans="1:13">
      <c r="A148" s="30" t="s">
        <v>40</v>
      </c>
      <c r="B148" s="5" t="s">
        <v>11</v>
      </c>
      <c r="C148" s="5"/>
      <c r="D148" s="33">
        <f>E74</f>
        <v>236.51981078415136</v>
      </c>
      <c r="E148" s="33">
        <f>E88</f>
        <v>25.541082946124256</v>
      </c>
      <c r="F148" s="33">
        <f>E89</f>
        <v>62.179978826438578</v>
      </c>
      <c r="G148" s="33">
        <f>E90</f>
        <v>62.205154825084193</v>
      </c>
      <c r="H148" s="33">
        <f>G148</f>
        <v>62.205154825084193</v>
      </c>
      <c r="I148" s="4" t="s">
        <v>335</v>
      </c>
    </row>
    <row r="149" spans="1:13">
      <c r="A149" s="30" t="s">
        <v>43</v>
      </c>
      <c r="B149" s="5" t="s">
        <v>11</v>
      </c>
      <c r="C149" s="5"/>
      <c r="D149" s="102">
        <f>E75/E76</f>
        <v>1.230342</v>
      </c>
      <c r="E149" s="102">
        <f>$E92/$E93</f>
        <v>0.65028545999999998</v>
      </c>
      <c r="F149" s="102">
        <f>$E92/$E93</f>
        <v>0.65028545999999998</v>
      </c>
      <c r="G149" s="102">
        <f>$E92/$E93</f>
        <v>0.65028545999999998</v>
      </c>
      <c r="H149" s="102">
        <f>$E92/$E93</f>
        <v>0.65028545999999998</v>
      </c>
    </row>
    <row r="150" spans="1:13">
      <c r="A150" s="30" t="s">
        <v>87</v>
      </c>
      <c r="B150" s="5" t="s">
        <v>46</v>
      </c>
      <c r="C150" s="5"/>
      <c r="D150" s="102">
        <f>E70/E76</f>
        <v>1.0416666666666667</v>
      </c>
      <c r="E150" s="102">
        <f>$E82/$E93</f>
        <v>0.121</v>
      </c>
      <c r="F150" s="102">
        <f>$E82/$E93</f>
        <v>0.121</v>
      </c>
      <c r="G150" s="102">
        <f>$E82/$E93</f>
        <v>0.121</v>
      </c>
      <c r="H150" s="102">
        <f>$E82/$E93</f>
        <v>0.121</v>
      </c>
    </row>
    <row r="151" spans="1:13">
      <c r="A151" s="30" t="s">
        <v>301</v>
      </c>
      <c r="B151" s="5" t="s">
        <v>46</v>
      </c>
      <c r="C151" s="24"/>
      <c r="D151" s="111">
        <f>E79</f>
        <v>1.0000000000000001E-9</v>
      </c>
      <c r="E151" s="111">
        <f>$E96</f>
        <v>1E-4</v>
      </c>
      <c r="F151" s="111">
        <f>$E96</f>
        <v>1E-4</v>
      </c>
      <c r="G151" s="111">
        <f>$E96</f>
        <v>1E-4</v>
      </c>
      <c r="H151" s="111">
        <f>$E96</f>
        <v>1E-4</v>
      </c>
    </row>
    <row r="152" spans="1:13">
      <c r="A152" s="30" t="s">
        <v>312</v>
      </c>
      <c r="B152" s="5" t="s">
        <v>46</v>
      </c>
      <c r="C152" s="5"/>
      <c r="D152" s="158">
        <f>D146*D147</f>
        <v>8.4555899999999991</v>
      </c>
      <c r="E152" s="102">
        <f>E146*E147</f>
        <v>0.91309345965770183</v>
      </c>
      <c r="F152" s="102">
        <f>F146*F147</f>
        <v>2.222933620623591</v>
      </c>
      <c r="G152" s="102">
        <f>G146*G147</f>
        <v>2.2238336623231598</v>
      </c>
      <c r="H152" s="102">
        <f>H146*H147</f>
        <v>2.2238336623231598</v>
      </c>
    </row>
    <row r="153" spans="1:13">
      <c r="A153" s="30" t="s">
        <v>89</v>
      </c>
      <c r="B153" s="5" t="s">
        <v>46</v>
      </c>
      <c r="C153" s="24"/>
      <c r="D153" s="34">
        <f>E109</f>
        <v>27920.328290401932</v>
      </c>
      <c r="E153" s="34">
        <f>E110</f>
        <v>27920.328290401932</v>
      </c>
      <c r="F153" s="98">
        <f>E111</f>
        <v>27916.177653621769</v>
      </c>
      <c r="G153" s="34">
        <f>E112</f>
        <v>27927.480611005536</v>
      </c>
      <c r="H153" s="34">
        <f>E113</f>
        <v>27927.480611005536</v>
      </c>
      <c r="I153" s="4" t="s">
        <v>336</v>
      </c>
      <c r="J153" s="73">
        <f>F155</f>
        <v>11.303857426437133</v>
      </c>
      <c r="K153" s="4" t="s">
        <v>337</v>
      </c>
    </row>
    <row r="154" spans="1:13">
      <c r="A154" s="30" t="s">
        <v>369</v>
      </c>
      <c r="B154" s="5" t="s">
        <v>46</v>
      </c>
      <c r="C154" s="5"/>
      <c r="D154" s="33">
        <f>E104</f>
        <v>27929.825547069602</v>
      </c>
      <c r="E154" s="33">
        <f>E104</f>
        <v>27929.825547069602</v>
      </c>
      <c r="F154" s="33">
        <f>E104</f>
        <v>27929.825547069602</v>
      </c>
      <c r="G154" s="33">
        <f>E104</f>
        <v>27929.825547069602</v>
      </c>
      <c r="H154" s="33">
        <f>E104</f>
        <v>27929.825547069602</v>
      </c>
      <c r="J154" s="118">
        <f>D143*G165 + G170</f>
        <v>11.303857426438238</v>
      </c>
      <c r="K154" s="118" t="s">
        <v>338</v>
      </c>
      <c r="L154" s="118"/>
      <c r="M154" s="118"/>
    </row>
    <row r="155" spans="1:13">
      <c r="A155" s="30" t="s">
        <v>90</v>
      </c>
      <c r="B155" s="5" t="s">
        <v>46</v>
      </c>
      <c r="C155" s="5"/>
      <c r="D155" s="103">
        <f>E114</f>
        <v>0</v>
      </c>
      <c r="E155" s="103">
        <f>E115</f>
        <v>8.4630622218677534</v>
      </c>
      <c r="F155" s="105">
        <f>E116</f>
        <v>11.303857426437133</v>
      </c>
      <c r="G155" s="103">
        <f>E117</f>
        <v>0</v>
      </c>
      <c r="H155" s="103">
        <f>E118</f>
        <v>0</v>
      </c>
      <c r="J155" s="22">
        <f>J153-J154</f>
        <v>-1.1048939541069558E-12</v>
      </c>
      <c r="K155" s="4" t="s">
        <v>339</v>
      </c>
    </row>
    <row r="156" spans="1:13" ht="16" thickBot="1">
      <c r="A156" s="35" t="s">
        <v>105</v>
      </c>
      <c r="B156" s="36" t="s">
        <v>46</v>
      </c>
      <c r="C156" s="36"/>
      <c r="D156" s="106">
        <v>0</v>
      </c>
      <c r="E156" s="104">
        <f>$E106</f>
        <v>7.5424955542010865</v>
      </c>
      <c r="F156" s="104">
        <f>$E106</f>
        <v>7.5424955542010865</v>
      </c>
      <c r="G156" s="104">
        <f>$E106</f>
        <v>7.5424955542010865</v>
      </c>
      <c r="H156" s="104">
        <f>$E106</f>
        <v>7.5424955542010865</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2" si="3">E143-D143</f>
        <v>0</v>
      </c>
      <c r="F160" s="34">
        <f t="shared" si="3"/>
        <v>0</v>
      </c>
      <c r="G160" s="34">
        <f t="shared" si="3"/>
        <v>0</v>
      </c>
      <c r="H160" s="34">
        <f t="shared" si="3"/>
        <v>0</v>
      </c>
    </row>
    <row r="161" spans="1:8">
      <c r="A161" s="30" t="s">
        <v>9</v>
      </c>
      <c r="B161" s="5" t="s">
        <v>10</v>
      </c>
      <c r="C161" s="5"/>
      <c r="D161" s="31"/>
      <c r="E161" s="34">
        <f t="shared" si="3"/>
        <v>0</v>
      </c>
      <c r="F161" s="34">
        <f t="shared" si="3"/>
        <v>0</v>
      </c>
      <c r="G161" s="34">
        <f t="shared" si="3"/>
        <v>0</v>
      </c>
      <c r="H161" s="34">
        <f t="shared" si="3"/>
        <v>0</v>
      </c>
    </row>
    <row r="162" spans="1:8">
      <c r="A162" s="30" t="s">
        <v>84</v>
      </c>
      <c r="B162" s="5" t="s">
        <v>200</v>
      </c>
      <c r="C162" s="5"/>
      <c r="D162" s="39"/>
      <c r="E162" s="34">
        <f t="shared" si="3"/>
        <v>72.966666666666669</v>
      </c>
      <c r="F162" s="34">
        <f t="shared" si="3"/>
        <v>0</v>
      </c>
      <c r="G162" s="34">
        <f t="shared" si="3"/>
        <v>0</v>
      </c>
      <c r="H162" s="34">
        <f t="shared" si="3"/>
        <v>0</v>
      </c>
    </row>
    <row r="163" spans="1:8">
      <c r="A163" s="30" t="s">
        <v>85</v>
      </c>
      <c r="B163" s="5" t="s">
        <v>218</v>
      </c>
      <c r="C163" s="5"/>
      <c r="D163" s="38"/>
      <c r="E163" s="81">
        <f t="shared" si="3"/>
        <v>-1.2996461687502882E-5</v>
      </c>
      <c r="F163" s="81">
        <f t="shared" si="3"/>
        <v>0</v>
      </c>
      <c r="G163" s="81">
        <f t="shared" si="3"/>
        <v>0</v>
      </c>
      <c r="H163" s="81">
        <f t="shared" si="3"/>
        <v>0</v>
      </c>
    </row>
    <row r="164" spans="1:8">
      <c r="A164" s="30" t="s">
        <v>86</v>
      </c>
      <c r="B164" s="5" t="s">
        <v>208</v>
      </c>
      <c r="C164" s="5"/>
      <c r="D164" s="34"/>
      <c r="E164" s="34">
        <f t="shared" si="3"/>
        <v>0</v>
      </c>
      <c r="F164" s="34">
        <f t="shared" si="3"/>
        <v>832516.90106456657</v>
      </c>
      <c r="G164" s="34">
        <f t="shared" si="3"/>
        <v>572.05447571678087</v>
      </c>
      <c r="H164" s="34">
        <f t="shared" si="3"/>
        <v>0</v>
      </c>
    </row>
    <row r="165" spans="1:8">
      <c r="A165" s="30" t="s">
        <v>40</v>
      </c>
      <c r="B165" s="5" t="s">
        <v>11</v>
      </c>
      <c r="C165" s="5"/>
      <c r="D165" s="34"/>
      <c r="E165" s="34">
        <f t="shared" si="3"/>
        <v>-210.97872783802711</v>
      </c>
      <c r="F165" s="34">
        <f t="shared" si="3"/>
        <v>36.638895880314323</v>
      </c>
      <c r="G165" s="34">
        <f t="shared" si="3"/>
        <v>2.5175998645615039E-2</v>
      </c>
      <c r="H165" s="34">
        <f t="shared" si="3"/>
        <v>0</v>
      </c>
    </row>
    <row r="166" spans="1:8">
      <c r="A166" s="30" t="s">
        <v>43</v>
      </c>
      <c r="B166" s="5" t="s">
        <v>11</v>
      </c>
      <c r="C166" s="5"/>
      <c r="D166" s="34"/>
      <c r="E166" s="103">
        <f t="shared" si="3"/>
        <v>-0.58005654000000006</v>
      </c>
      <c r="F166" s="103">
        <f t="shared" si="3"/>
        <v>0</v>
      </c>
      <c r="G166" s="103">
        <f t="shared" si="3"/>
        <v>0</v>
      </c>
      <c r="H166" s="103">
        <f t="shared" si="3"/>
        <v>0</v>
      </c>
    </row>
    <row r="167" spans="1:8">
      <c r="A167" s="30" t="s">
        <v>87</v>
      </c>
      <c r="B167" s="5" t="s">
        <v>46</v>
      </c>
      <c r="C167" s="5"/>
      <c r="D167" s="34"/>
      <c r="E167" s="103">
        <f t="shared" si="3"/>
        <v>-0.92066666666666674</v>
      </c>
      <c r="F167" s="103">
        <f t="shared" si="3"/>
        <v>0</v>
      </c>
      <c r="G167" s="103">
        <f t="shared" si="3"/>
        <v>0</v>
      </c>
      <c r="H167" s="103">
        <f t="shared" si="3"/>
        <v>0</v>
      </c>
    </row>
    <row r="168" spans="1:8">
      <c r="A168" s="30" t="s">
        <v>301</v>
      </c>
      <c r="B168" s="5" t="s">
        <v>46</v>
      </c>
      <c r="C168" s="24"/>
      <c r="D168" s="34"/>
      <c r="E168" s="103">
        <f t="shared" si="3"/>
        <v>9.9999000000000003E-5</v>
      </c>
      <c r="F168" s="103">
        <f t="shared" si="3"/>
        <v>0</v>
      </c>
      <c r="G168" s="103">
        <f t="shared" si="3"/>
        <v>0</v>
      </c>
      <c r="H168" s="103">
        <f t="shared" si="3"/>
        <v>0</v>
      </c>
    </row>
    <row r="169" spans="1:8">
      <c r="A169" s="30" t="s">
        <v>312</v>
      </c>
      <c r="B169" s="5" t="s">
        <v>46</v>
      </c>
      <c r="C169" s="5"/>
      <c r="D169" s="33"/>
      <c r="E169" s="102">
        <f t="shared" si="3"/>
        <v>-7.542496540342297</v>
      </c>
      <c r="F169" s="102">
        <f t="shared" si="3"/>
        <v>1.3098401609658892</v>
      </c>
      <c r="G169" s="102">
        <f t="shared" si="3"/>
        <v>9.0004169956880986E-4</v>
      </c>
      <c r="H169" s="102">
        <f t="shared" si="3"/>
        <v>0</v>
      </c>
    </row>
    <row r="170" spans="1:8">
      <c r="A170" s="30" t="s">
        <v>89</v>
      </c>
      <c r="B170" s="5" t="s">
        <v>46</v>
      </c>
      <c r="C170" s="24"/>
      <c r="D170" s="34"/>
      <c r="E170" s="103">
        <f t="shared" si="3"/>
        <v>0</v>
      </c>
      <c r="F170" s="103">
        <f>F153-E153</f>
        <v>-4.1506367801630404</v>
      </c>
      <c r="G170" s="103">
        <f t="shared" si="3"/>
        <v>11.302957383766625</v>
      </c>
      <c r="H170" s="103">
        <f t="shared" si="3"/>
        <v>0</v>
      </c>
    </row>
    <row r="171" spans="1:8">
      <c r="A171" s="30" t="s">
        <v>369</v>
      </c>
      <c r="B171" s="5" t="s">
        <v>46</v>
      </c>
      <c r="C171" s="5"/>
      <c r="D171" s="33"/>
      <c r="E171" s="34">
        <f t="shared" si="3"/>
        <v>0</v>
      </c>
      <c r="F171" s="34">
        <f t="shared" si="3"/>
        <v>0</v>
      </c>
      <c r="G171" s="34">
        <f t="shared" si="3"/>
        <v>0</v>
      </c>
      <c r="H171" s="34">
        <f t="shared" si="3"/>
        <v>0</v>
      </c>
    </row>
    <row r="172" spans="1:8">
      <c r="A172" s="30" t="s">
        <v>90</v>
      </c>
      <c r="B172" s="5" t="s">
        <v>46</v>
      </c>
      <c r="C172" s="5"/>
      <c r="D172" s="34"/>
      <c r="E172" s="103">
        <f t="shared" si="3"/>
        <v>8.4630622218677534</v>
      </c>
      <c r="F172" s="103">
        <f t="shared" si="3"/>
        <v>2.8407952045693801</v>
      </c>
      <c r="G172" s="103">
        <f t="shared" si="3"/>
        <v>-11.303857426437133</v>
      </c>
      <c r="H172" s="103">
        <f t="shared" si="3"/>
        <v>0</v>
      </c>
    </row>
    <row r="173" spans="1:8" ht="16" thickBot="1">
      <c r="A173" s="35" t="s">
        <v>105</v>
      </c>
      <c r="B173" s="36" t="s">
        <v>46</v>
      </c>
      <c r="C173" s="36"/>
      <c r="D173" s="40"/>
      <c r="E173" s="104">
        <f>E156-D156</f>
        <v>7.5424955542010865</v>
      </c>
      <c r="F173" s="104">
        <f>F156-E156</f>
        <v>0</v>
      </c>
      <c r="G173" s="104">
        <f>G156-F156</f>
        <v>0</v>
      </c>
      <c r="H173" s="104">
        <f>H156-G156</f>
        <v>0</v>
      </c>
    </row>
    <row r="176" spans="1:8">
      <c r="D176" s="41" t="s">
        <v>66</v>
      </c>
      <c r="E176" s="42">
        <v>0</v>
      </c>
    </row>
    <row r="179" spans="4:7">
      <c r="D179" s="9" t="s">
        <v>51</v>
      </c>
      <c r="E179" s="43" t="s">
        <v>100</v>
      </c>
      <c r="F179" s="44" t="s">
        <v>13</v>
      </c>
    </row>
    <row r="180" spans="4:7" ht="16.5">
      <c r="D180" s="4" t="s">
        <v>388</v>
      </c>
      <c r="E180" s="23">
        <f>D149</f>
        <v>1.230342</v>
      </c>
      <c r="F180" s="5" t="s">
        <v>11</v>
      </c>
    </row>
    <row r="181" spans="4:7">
      <c r="D181" s="4" t="s">
        <v>74</v>
      </c>
      <c r="E181" s="23">
        <f>E149</f>
        <v>0.65028545999999998</v>
      </c>
      <c r="F181" s="5" t="s">
        <v>11</v>
      </c>
    </row>
    <row r="182" spans="4:7">
      <c r="D182" s="4" t="s">
        <v>53</v>
      </c>
      <c r="E182" s="22">
        <f>E$91</f>
        <v>210.97872783802711</v>
      </c>
      <c r="F182" s="5" t="s">
        <v>11</v>
      </c>
      <c r="G182" s="22"/>
    </row>
    <row r="183" spans="4:7">
      <c r="D183" s="41" t="s">
        <v>54</v>
      </c>
      <c r="E183" s="42">
        <f>((E181/E180)-1)*E180/E182</f>
        <v>-2.7493603072880498E-3</v>
      </c>
    </row>
    <row r="185" spans="4:7">
      <c r="D185" s="10"/>
      <c r="E185" s="10"/>
    </row>
    <row r="186" spans="4:7">
      <c r="D186" s="10"/>
      <c r="E186" s="10"/>
    </row>
    <row r="187" spans="4:7">
      <c r="D187" s="9" t="s">
        <v>51</v>
      </c>
      <c r="E187" s="43" t="s">
        <v>100</v>
      </c>
      <c r="F187" s="44" t="s">
        <v>13</v>
      </c>
    </row>
    <row r="188" spans="4:7" ht="16.5">
      <c r="D188" s="4" t="s">
        <v>390</v>
      </c>
      <c r="E188" s="22">
        <f>D151</f>
        <v>1.0000000000000001E-9</v>
      </c>
      <c r="F188" s="5" t="s">
        <v>46</v>
      </c>
    </row>
    <row r="189" spans="4:7">
      <c r="D189" s="4" t="s">
        <v>297</v>
      </c>
      <c r="E189" s="22">
        <f>E151</f>
        <v>1E-4</v>
      </c>
      <c r="F189" s="5" t="s">
        <v>46</v>
      </c>
    </row>
    <row r="190" spans="4:7">
      <c r="D190" s="4" t="s">
        <v>55</v>
      </c>
      <c r="E190" s="19">
        <f>D$144</f>
        <v>3.2380660967337476</v>
      </c>
      <c r="F190" s="5" t="s">
        <v>10</v>
      </c>
    </row>
    <row r="191" spans="4:7">
      <c r="D191" s="4" t="s">
        <v>53</v>
      </c>
      <c r="E191" s="22">
        <f>E$91</f>
        <v>210.97872783802711</v>
      </c>
      <c r="F191" s="5" t="s">
        <v>11</v>
      </c>
    </row>
    <row r="192" spans="4:7">
      <c r="D192" s="41" t="s">
        <v>298</v>
      </c>
      <c r="E192" s="42">
        <f>((E189/E188)-1)*E188*E190/E191</f>
        <v>1.5347678646345276E-6</v>
      </c>
    </row>
    <row r="193" spans="4:6">
      <c r="D193" s="10"/>
      <c r="E193" s="45"/>
    </row>
    <row r="194" spans="4:6">
      <c r="D194" s="9" t="s">
        <v>51</v>
      </c>
      <c r="E194" s="43" t="s">
        <v>100</v>
      </c>
      <c r="F194" s="44" t="s">
        <v>13</v>
      </c>
    </row>
    <row r="195" spans="4:6">
      <c r="D195" s="4" t="s">
        <v>111</v>
      </c>
      <c r="E195" s="11">
        <f>H145</f>
        <v>81.8</v>
      </c>
      <c r="F195" s="5" t="s">
        <v>200</v>
      </c>
    </row>
    <row r="196" spans="4:6">
      <c r="D196" s="4" t="s">
        <v>56</v>
      </c>
      <c r="E196" s="11">
        <f>D145</f>
        <v>8.8333333333333339</v>
      </c>
      <c r="F196" s="5" t="s">
        <v>200</v>
      </c>
    </row>
    <row r="197" spans="4:6" ht="16.5">
      <c r="D197" s="4" t="s">
        <v>395</v>
      </c>
      <c r="E197" s="23">
        <f>D147</f>
        <v>580350</v>
      </c>
      <c r="F197" s="13" t="s">
        <v>408</v>
      </c>
    </row>
    <row r="198" spans="4:6">
      <c r="D198" s="4" t="s">
        <v>396</v>
      </c>
      <c r="E198" s="23">
        <f>F147</f>
        <v>1412866.9010645666</v>
      </c>
      <c r="F198" s="13" t="s">
        <v>408</v>
      </c>
    </row>
    <row r="199" spans="4:6">
      <c r="D199" s="41" t="s">
        <v>57</v>
      </c>
      <c r="E199" s="42">
        <f>((E198/E197)-1) / ((E195/E196)-1)</f>
        <v>0.17366135389787599</v>
      </c>
    </row>
    <row r="202" spans="4:6">
      <c r="D202" s="9" t="s">
        <v>51</v>
      </c>
      <c r="E202" s="43" t="s">
        <v>100</v>
      </c>
      <c r="F202" s="44" t="s">
        <v>13</v>
      </c>
    </row>
    <row r="203" spans="4:6">
      <c r="D203" s="4" t="s">
        <v>111</v>
      </c>
      <c r="E203" s="11">
        <f>H145</f>
        <v>81.8</v>
      </c>
      <c r="F203" s="5" t="s">
        <v>200</v>
      </c>
    </row>
    <row r="204" spans="4:6" ht="16.5">
      <c r="D204" s="4" t="s">
        <v>391</v>
      </c>
      <c r="E204" s="11">
        <f>D145</f>
        <v>8.8333333333333339</v>
      </c>
      <c r="F204" s="5" t="s">
        <v>200</v>
      </c>
    </row>
    <row r="205" spans="4:6" ht="16.5">
      <c r="D205" s="4" t="s">
        <v>392</v>
      </c>
      <c r="E205" s="22">
        <f>D153</f>
        <v>27920.328290401932</v>
      </c>
      <c r="F205" s="5" t="s">
        <v>46</v>
      </c>
    </row>
    <row r="206" spans="4:6" ht="16.5">
      <c r="D206" s="4" t="s">
        <v>394</v>
      </c>
      <c r="E206" s="22">
        <f>F153</f>
        <v>27916.177653621769</v>
      </c>
      <c r="F206" s="5" t="s">
        <v>46</v>
      </c>
    </row>
    <row r="207" spans="4:6">
      <c r="D207" s="4" t="s">
        <v>55</v>
      </c>
      <c r="E207" s="19">
        <f>D$144</f>
        <v>3.2380660967337476</v>
      </c>
      <c r="F207" s="5" t="s">
        <v>10</v>
      </c>
    </row>
    <row r="208" spans="4:6">
      <c r="D208" s="4" t="s">
        <v>165</v>
      </c>
      <c r="E208" s="22">
        <f>D148</f>
        <v>236.51981078415136</v>
      </c>
      <c r="F208" s="5" t="s">
        <v>11</v>
      </c>
    </row>
    <row r="209" spans="4:6">
      <c r="D209" s="41" t="s">
        <v>58</v>
      </c>
      <c r="E209" s="42">
        <f>(((E206/E205)-1)/((E203/E204)-1))*(E203/E204)*(E205*E207/E208)</f>
        <v>-6.3703268183528297E-2</v>
      </c>
    </row>
    <row r="213" spans="4:6">
      <c r="D213" s="9" t="s">
        <v>51</v>
      </c>
      <c r="E213" s="43" t="s">
        <v>100</v>
      </c>
      <c r="F213" s="44" t="s">
        <v>13</v>
      </c>
    </row>
    <row r="214" spans="4:6">
      <c r="D214" s="4" t="s">
        <v>75</v>
      </c>
      <c r="E214" s="23">
        <f>F155</f>
        <v>11.303857426437133</v>
      </c>
      <c r="F214" s="5" t="s">
        <v>46</v>
      </c>
    </row>
    <row r="215" spans="4:6">
      <c r="D215" s="71" t="s">
        <v>370</v>
      </c>
      <c r="E215" s="23">
        <f>E105</f>
        <v>27918.400589643163</v>
      </c>
      <c r="F215" s="13" t="s">
        <v>46</v>
      </c>
    </row>
    <row r="216" spans="4:6">
      <c r="D216" s="4" t="str">
        <f>D38</f>
        <v>epsilon_{q_s,M}</v>
      </c>
      <c r="E216" s="10">
        <f>E38</f>
        <v>1</v>
      </c>
      <c r="F216" s="71"/>
    </row>
    <row r="217" spans="4:6" ht="16.5">
      <c r="D217" s="4" t="s">
        <v>395</v>
      </c>
      <c r="E217" s="23">
        <f>D147</f>
        <v>580350</v>
      </c>
      <c r="F217" s="13" t="s">
        <v>408</v>
      </c>
    </row>
    <row r="218" spans="4:6">
      <c r="D218" s="4" t="s">
        <v>396</v>
      </c>
      <c r="E218" s="23">
        <f>F147</f>
        <v>1412866.9010645666</v>
      </c>
      <c r="F218" s="13" t="s">
        <v>408</v>
      </c>
    </row>
    <row r="219" spans="4:6">
      <c r="D219" s="4" t="s">
        <v>111</v>
      </c>
      <c r="E219" s="11">
        <f>H145</f>
        <v>81.8</v>
      </c>
      <c r="F219" s="5" t="s">
        <v>200</v>
      </c>
    </row>
    <row r="220" spans="4:6" ht="16.5">
      <c r="D220" s="4" t="s">
        <v>391</v>
      </c>
      <c r="E220" s="11">
        <f>D145</f>
        <v>8.8333333333333339</v>
      </c>
      <c r="F220" s="5" t="s">
        <v>200</v>
      </c>
    </row>
    <row r="221" spans="4:6">
      <c r="D221" s="41" t="s">
        <v>60</v>
      </c>
      <c r="E221" s="42">
        <f>(((1+E214/E215)^E216)-1)*(E218/E217)/(E219/E220-1)</f>
        <v>1.1932941496964893E-4</v>
      </c>
    </row>
    <row r="222" spans="4:6">
      <c r="D222" s="5"/>
      <c r="E222" s="5"/>
    </row>
    <row r="226" spans="4:6">
      <c r="D226" s="9" t="s">
        <v>51</v>
      </c>
      <c r="E226" s="43" t="s">
        <v>100</v>
      </c>
      <c r="F226" s="44" t="s">
        <v>13</v>
      </c>
    </row>
    <row r="227" spans="4:6">
      <c r="D227" s="4" t="s">
        <v>82</v>
      </c>
      <c r="E227" s="22">
        <f>G170</f>
        <v>11.302957383766625</v>
      </c>
      <c r="F227" s="5" t="s">
        <v>61</v>
      </c>
    </row>
    <row r="228" spans="4:6">
      <c r="D228" s="4" t="s">
        <v>55</v>
      </c>
      <c r="E228" s="19">
        <f>D$144</f>
        <v>3.2380660967337476</v>
      </c>
      <c r="F228" s="5" t="s">
        <v>10</v>
      </c>
    </row>
    <row r="229" spans="4:6">
      <c r="D229" s="4" t="s">
        <v>53</v>
      </c>
      <c r="E229" s="22">
        <f>E$91</f>
        <v>210.97872783802711</v>
      </c>
      <c r="F229" s="33" t="str">
        <f>F191</f>
        <v>MJ/yr</v>
      </c>
    </row>
    <row r="230" spans="4:6">
      <c r="D230" s="41" t="s">
        <v>62</v>
      </c>
      <c r="E230" s="140">
        <f>E227*E228/E229</f>
        <v>0.17347589243831008</v>
      </c>
    </row>
    <row r="232" spans="4:6">
      <c r="D232" s="9" t="s">
        <v>51</v>
      </c>
      <c r="E232" s="43" t="s">
        <v>100</v>
      </c>
      <c r="F232" s="44" t="s">
        <v>13</v>
      </c>
    </row>
    <row r="233" spans="4:6">
      <c r="D233" s="4" t="str">
        <f>D214</f>
        <v>Ndot_hat</v>
      </c>
      <c r="E233" s="23">
        <f>E214</f>
        <v>11.303857426437133</v>
      </c>
      <c r="F233" s="5" t="s">
        <v>46</v>
      </c>
    </row>
    <row r="234" spans="4:6">
      <c r="D234" s="4" t="str">
        <f>D215</f>
        <v>Mdot_prime_hat</v>
      </c>
      <c r="E234" s="23">
        <f>E215</f>
        <v>27918.400589643163</v>
      </c>
      <c r="F234" s="13" t="s">
        <v>46</v>
      </c>
    </row>
    <row r="235" spans="4:6">
      <c r="D235" s="4" t="s">
        <v>309</v>
      </c>
      <c r="E235" s="23">
        <f>E39</f>
        <v>1</v>
      </c>
      <c r="F235" s="71"/>
    </row>
    <row r="236" spans="4:6">
      <c r="D236" s="4" t="str">
        <f t="shared" ref="D236:F237" si="4">D219</f>
        <v>eta_tilde</v>
      </c>
      <c r="E236" s="23">
        <f t="shared" si="4"/>
        <v>81.8</v>
      </c>
      <c r="F236" s="5" t="str">
        <f t="shared" si="4"/>
        <v>Lm/W</v>
      </c>
    </row>
    <row r="237" spans="4:6">
      <c r="D237" s="4" t="str">
        <f t="shared" si="4"/>
        <v>etao</v>
      </c>
      <c r="E237" s="23">
        <f t="shared" si="4"/>
        <v>8.8333333333333339</v>
      </c>
      <c r="F237" s="5" t="str">
        <f t="shared" si="4"/>
        <v>Lm/W</v>
      </c>
    </row>
    <row r="238" spans="4:6">
      <c r="D238" s="4" t="s">
        <v>313</v>
      </c>
      <c r="E238" s="23">
        <f>E109</f>
        <v>27920.328290401932</v>
      </c>
      <c r="F238" s="5" t="s">
        <v>61</v>
      </c>
    </row>
    <row r="239" spans="4:6">
      <c r="D239" s="4" t="s">
        <v>401</v>
      </c>
      <c r="E239" s="23">
        <f>F153</f>
        <v>27916.177653621769</v>
      </c>
      <c r="F239" s="5" t="s">
        <v>61</v>
      </c>
    </row>
    <row r="240" spans="4:6">
      <c r="D240" s="4" t="str">
        <f>D228</f>
        <v>I_E</v>
      </c>
      <c r="E240" s="72">
        <f>E228</f>
        <v>3.2380660967337476</v>
      </c>
      <c r="F240" s="5" t="s">
        <v>10</v>
      </c>
    </row>
    <row r="241" spans="4:8">
      <c r="D241" s="4" t="s">
        <v>371</v>
      </c>
      <c r="E241" s="23">
        <f>D148</f>
        <v>236.51981078415136</v>
      </c>
      <c r="F241" s="33" t="s">
        <v>11</v>
      </c>
    </row>
    <row r="242" spans="4:8">
      <c r="D242" s="41" t="s">
        <v>62</v>
      </c>
      <c r="E242" s="140">
        <f>((1 + E233/E234)^E235 - 1) / (E236/E237 - 1) * E236/E237 * E239/E238 * E238 * E240 / E241</f>
        <v>0.17347586975728582</v>
      </c>
    </row>
    <row r="244" spans="4:8">
      <c r="D244" s="9"/>
      <c r="E244" s="43"/>
      <c r="F244" s="44"/>
    </row>
    <row r="245" spans="4:8">
      <c r="D245" s="9" t="s">
        <v>51</v>
      </c>
      <c r="E245" s="43" t="s">
        <v>100</v>
      </c>
      <c r="F245" s="44" t="s">
        <v>13</v>
      </c>
    </row>
    <row r="246" spans="4:8">
      <c r="D246" s="4" t="s">
        <v>114</v>
      </c>
      <c r="E246" s="22">
        <f>E167</f>
        <v>-0.92066666666666674</v>
      </c>
      <c r="F246" s="5" t="s">
        <v>46</v>
      </c>
    </row>
    <row r="247" spans="4:8">
      <c r="D247" s="4" t="s">
        <v>55</v>
      </c>
      <c r="E247" s="19">
        <f>D$144</f>
        <v>3.2380660967337476</v>
      </c>
      <c r="F247" s="5" t="str">
        <f>F228</f>
        <v>MJ/$</v>
      </c>
    </row>
    <row r="248" spans="4:8">
      <c r="D248" s="4" t="s">
        <v>53</v>
      </c>
      <c r="E248" s="22">
        <f>E$91</f>
        <v>210.97872783802711</v>
      </c>
      <c r="F248" s="33" t="str">
        <f>F229</f>
        <v>MJ/yr</v>
      </c>
    </row>
    <row r="249" spans="4:8">
      <c r="D249" s="41" t="s">
        <v>65</v>
      </c>
      <c r="E249" s="42">
        <f>E246*E247/E248</f>
        <v>-1.4130237442776312E-2</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B4</f>
        <v>3</v>
      </c>
      <c r="G253" s="10" t="s">
        <v>183</v>
      </c>
      <c r="H253" s="62">
        <f>-E253*E249</f>
        <v>4.2390712328328937E-2</v>
      </c>
    </row>
    <row r="254" spans="4:8">
      <c r="D254" s="4" t="s">
        <v>75</v>
      </c>
      <c r="E254" s="23">
        <f>F155</f>
        <v>11.303857426437133</v>
      </c>
      <c r="F254" s="5" t="s">
        <v>61</v>
      </c>
      <c r="G254" s="10" t="s">
        <v>184</v>
      </c>
      <c r="H254" s="62">
        <f>-E253*E192</f>
        <v>-4.6043035939035825E-6</v>
      </c>
    </row>
    <row r="255" spans="4:8">
      <c r="D255" s="4" t="s">
        <v>55</v>
      </c>
      <c r="E255" s="19">
        <f>D$144</f>
        <v>3.2380660967337476</v>
      </c>
      <c r="F255" s="61" t="str">
        <f>F228</f>
        <v>MJ/$</v>
      </c>
      <c r="G255" s="10" t="s">
        <v>185</v>
      </c>
      <c r="H255" s="62">
        <f>-H252*E199</f>
        <v>0</v>
      </c>
    </row>
    <row r="256" spans="4:8">
      <c r="D256" s="4" t="s">
        <v>53</v>
      </c>
      <c r="E256" s="22">
        <f>E$91</f>
        <v>210.97872783802711</v>
      </c>
      <c r="F256" s="61" t="str">
        <f>F229</f>
        <v>MJ/yr</v>
      </c>
      <c r="G256" s="10" t="s">
        <v>80</v>
      </c>
      <c r="H256" s="62">
        <f>-E253*E209</f>
        <v>0.19110980455058491</v>
      </c>
    </row>
    <row r="257" spans="1:8">
      <c r="D257" s="41" t="s">
        <v>464</v>
      </c>
      <c r="E257" s="42">
        <f>E253*E254*E255/E256</f>
        <v>0.52046911842636623</v>
      </c>
      <c r="G257" s="41" t="s">
        <v>64</v>
      </c>
      <c r="H257" s="42">
        <f>SUM(H252:H256)</f>
        <v>0.23349591257531993</v>
      </c>
    </row>
    <row r="259" spans="1:8">
      <c r="F259" s="46"/>
    </row>
    <row r="260" spans="1:8">
      <c r="A260" s="9" t="s">
        <v>189</v>
      </c>
      <c r="D260" s="9" t="s">
        <v>51</v>
      </c>
      <c r="E260" s="43" t="s">
        <v>100</v>
      </c>
    </row>
    <row r="261" spans="1:8">
      <c r="A261" s="178" t="s">
        <v>302</v>
      </c>
      <c r="B261" s="178"/>
      <c r="C261" s="178"/>
      <c r="D261" s="4" t="s">
        <v>54</v>
      </c>
      <c r="E261" s="45">
        <f>E$183</f>
        <v>-2.7493603072880498E-3</v>
      </c>
    </row>
    <row r="262" spans="1:8">
      <c r="D262" s="4" t="s">
        <v>298</v>
      </c>
      <c r="E262" s="45">
        <f>E$192</f>
        <v>1.5347678646345276E-6</v>
      </c>
    </row>
    <row r="263" spans="1:8">
      <c r="D263" s="4" t="s">
        <v>57</v>
      </c>
      <c r="E263" s="45">
        <f>E$199</f>
        <v>0.17366135389787599</v>
      </c>
    </row>
    <row r="264" spans="1:8">
      <c r="D264" s="4" t="s">
        <v>58</v>
      </c>
      <c r="E264" s="45">
        <f>E$209</f>
        <v>-6.3703268183528297E-2</v>
      </c>
    </row>
    <row r="265" spans="1:8">
      <c r="D265" s="4" t="s">
        <v>60</v>
      </c>
      <c r="E265" s="45">
        <f>E$221</f>
        <v>1.1932941496964893E-4</v>
      </c>
    </row>
    <row r="266" spans="1:8">
      <c r="D266" s="4" t="s">
        <v>62</v>
      </c>
      <c r="E266" s="45">
        <f>E230</f>
        <v>0.17347589243831008</v>
      </c>
    </row>
    <row r="267" spans="1:8">
      <c r="D267" s="4" t="s">
        <v>464</v>
      </c>
      <c r="E267" s="45">
        <f>E257</f>
        <v>0.52046911842636623</v>
      </c>
    </row>
    <row r="268" spans="1:8">
      <c r="D268" s="41" t="s">
        <v>174</v>
      </c>
      <c r="E268" s="42">
        <f>SUM(E261:E267)</f>
        <v>0.80127460045457022</v>
      </c>
      <c r="F268" s="26"/>
    </row>
    <row r="269" spans="1:8">
      <c r="B269" s="9"/>
    </row>
    <row r="270" spans="1:8">
      <c r="A270" s="9" t="s">
        <v>190</v>
      </c>
      <c r="D270" s="9" t="s">
        <v>51</v>
      </c>
      <c r="E270" s="43" t="s">
        <v>100</v>
      </c>
      <c r="F270" s="44"/>
    </row>
    <row r="271" spans="1:8">
      <c r="D271" s="4" t="s">
        <v>63</v>
      </c>
      <c r="E271" s="19">
        <f>B4</f>
        <v>3</v>
      </c>
    </row>
    <row r="272" spans="1:8">
      <c r="D272" s="4" t="s">
        <v>54</v>
      </c>
      <c r="E272" s="60">
        <f>E261</f>
        <v>-2.7493603072880498E-3</v>
      </c>
    </row>
    <row r="273" spans="1:5">
      <c r="D273" s="4" t="s">
        <v>183</v>
      </c>
      <c r="E273" s="60">
        <f>-E271*E249</f>
        <v>4.2390712328328937E-2</v>
      </c>
    </row>
    <row r="274" spans="1:5">
      <c r="D274" s="4" t="s">
        <v>372</v>
      </c>
      <c r="E274" s="60">
        <f>(1-E271)*E192</f>
        <v>-3.0695357292690553E-6</v>
      </c>
    </row>
    <row r="275" spans="1:5">
      <c r="D275" s="4" t="s">
        <v>373</v>
      </c>
      <c r="E275" s="60">
        <f>(1-E271*E67)*E199</f>
        <v>0.11335174108108545</v>
      </c>
    </row>
    <row r="276" spans="1:5">
      <c r="D276" s="4" t="s">
        <v>374</v>
      </c>
      <c r="E276" s="45">
        <f>(1-E271)*E209</f>
        <v>0.12740653636705659</v>
      </c>
    </row>
    <row r="277" spans="1:5">
      <c r="D277" s="4" t="s">
        <v>376</v>
      </c>
      <c r="E277" s="60">
        <f>E221+E230</f>
        <v>0.17359522185327972</v>
      </c>
    </row>
    <row r="278" spans="1:5">
      <c r="D278" s="4" t="s">
        <v>375</v>
      </c>
      <c r="E278" s="49">
        <f>E271*E67</f>
        <v>0.34728286670076558</v>
      </c>
    </row>
    <row r="279" spans="1:5">
      <c r="D279" s="41" t="s">
        <v>175</v>
      </c>
      <c r="E279" s="42">
        <f>SUM(E272:E278)</f>
        <v>0.80127464848749896</v>
      </c>
    </row>
    <row r="281" spans="1:5">
      <c r="D281" s="9" t="s">
        <v>51</v>
      </c>
      <c r="E281" s="43" t="s">
        <v>100</v>
      </c>
    </row>
    <row r="282" spans="1:5">
      <c r="A282" s="9" t="s">
        <v>473</v>
      </c>
      <c r="D282" s="4" t="s">
        <v>63</v>
      </c>
      <c r="E282" s="19">
        <f>E271</f>
        <v>3</v>
      </c>
    </row>
    <row r="283" spans="1:5">
      <c r="D283" s="4" t="s">
        <v>54</v>
      </c>
      <c r="E283" s="60">
        <f>E183</f>
        <v>-2.7493603072880498E-3</v>
      </c>
    </row>
    <row r="284" spans="1:5">
      <c r="D284" s="4" t="s">
        <v>183</v>
      </c>
      <c r="E284" s="60">
        <f>-E282*E249</f>
        <v>4.2390712328328937E-2</v>
      </c>
    </row>
    <row r="285" spans="1:5">
      <c r="D285" s="4" t="s">
        <v>372</v>
      </c>
      <c r="E285" s="60">
        <f>(1-E282)*E$192</f>
        <v>-3.0695357292690553E-6</v>
      </c>
    </row>
    <row r="286" spans="1:5">
      <c r="D286" s="4" t="s">
        <v>373</v>
      </c>
      <c r="E286" s="60">
        <f>(1-E282*E66*E47)*E199</f>
        <v>0.11335174108108546</v>
      </c>
    </row>
    <row r="287" spans="1:5">
      <c r="D287" s="4" t="s">
        <v>374</v>
      </c>
      <c r="E287" s="45">
        <f>(1-E282)*E209</f>
        <v>0.12740653636705659</v>
      </c>
    </row>
    <row r="288" spans="1:5">
      <c r="D288" s="4" t="s">
        <v>376</v>
      </c>
      <c r="E288" s="60">
        <f>E221+E242</f>
        <v>0.17359519917225547</v>
      </c>
    </row>
    <row r="289" spans="1:16">
      <c r="D289" s="4" t="s">
        <v>375</v>
      </c>
      <c r="E289" s="49">
        <f>E282*E66*E47</f>
        <v>0.34728286670076552</v>
      </c>
    </row>
    <row r="290" spans="1:16">
      <c r="D290" s="41" t="s">
        <v>377</v>
      </c>
      <c r="E290" s="42">
        <f>SUM(E283:E289)</f>
        <v>0.80127462580647468</v>
      </c>
    </row>
    <row r="294" spans="1:16" ht="16" thickBot="1"/>
    <row r="295" spans="1:16" ht="16">
      <c r="A295" s="47"/>
      <c r="B295" s="47"/>
      <c r="C295" s="47"/>
      <c r="D295" s="47"/>
      <c r="E295" s="47"/>
      <c r="F295" s="47"/>
      <c r="G295" s="47"/>
      <c r="H295" s="47"/>
      <c r="I295" s="47"/>
      <c r="J295" s="30" t="s">
        <v>138</v>
      </c>
    </row>
    <row r="296" spans="1:16" ht="16">
      <c r="A296" s="30" t="s">
        <v>112</v>
      </c>
      <c r="B296" s="30" t="s">
        <v>139</v>
      </c>
      <c r="C296" s="48">
        <f>E176</f>
        <v>0</v>
      </c>
      <c r="D296" s="30" t="s">
        <v>140</v>
      </c>
      <c r="E296" s="48">
        <f>E199</f>
        <v>0.17366135389787599</v>
      </c>
      <c r="F296" s="30" t="s">
        <v>141</v>
      </c>
      <c r="G296" s="48">
        <f>E221</f>
        <v>1.1932941496964893E-4</v>
      </c>
      <c r="I296" s="49"/>
      <c r="J296" s="49">
        <f>SUM(C296:I296)</f>
        <v>0.17378068331284563</v>
      </c>
    </row>
    <row r="297" spans="1:16">
      <c r="A297" s="30"/>
      <c r="B297" s="30"/>
      <c r="C297" s="48"/>
      <c r="D297" s="30"/>
      <c r="E297" s="48"/>
      <c r="F297" s="4"/>
      <c r="G297" s="48"/>
      <c r="I297" s="49"/>
      <c r="J297" s="49"/>
    </row>
    <row r="298" spans="1:16" ht="16">
      <c r="A298" s="30" t="s">
        <v>113</v>
      </c>
      <c r="B298" s="30" t="s">
        <v>142</v>
      </c>
      <c r="C298" s="48">
        <f>E183</f>
        <v>-2.7493603072880498E-3</v>
      </c>
      <c r="D298" s="30" t="s">
        <v>143</v>
      </c>
      <c r="E298" s="48">
        <f>E209</f>
        <v>-6.3703268183528297E-2</v>
      </c>
      <c r="F298" s="30" t="s">
        <v>144</v>
      </c>
      <c r="G298" s="48">
        <f>E230</f>
        <v>0.17347589243831008</v>
      </c>
      <c r="H298" s="30" t="s">
        <v>145</v>
      </c>
      <c r="I298" s="48">
        <f>E257</f>
        <v>0.52046911842636623</v>
      </c>
      <c r="J298" s="65">
        <f>SUM(C298:I299)</f>
        <v>0.62749391714172464</v>
      </c>
    </row>
    <row r="299" spans="1:16" ht="16.5" thickBot="1">
      <c r="A299" s="35"/>
      <c r="B299" s="35" t="s">
        <v>300</v>
      </c>
      <c r="C299" s="56">
        <f>E192</f>
        <v>1.5347678646345276E-6</v>
      </c>
      <c r="D299" s="35"/>
      <c r="E299" s="56"/>
      <c r="F299" s="35"/>
      <c r="G299" s="56"/>
      <c r="H299" s="35"/>
      <c r="I299" s="56"/>
      <c r="K299" s="49">
        <f>SUM(J296:J299)</f>
        <v>0.80127460045457033</v>
      </c>
    </row>
    <row r="300" spans="1:16">
      <c r="A300" s="30" t="s">
        <v>119</v>
      </c>
      <c r="C300" s="48">
        <f>SUM(C296:C299)</f>
        <v>-2.7478255394234154E-3</v>
      </c>
      <c r="D300" s="5"/>
      <c r="E300" s="48">
        <f>SUM(E296:E299)</f>
        <v>0.10995808571434769</v>
      </c>
      <c r="G300" s="48">
        <f>SUM(G296:G299)</f>
        <v>0.17359522185327972</v>
      </c>
      <c r="H300" s="5"/>
      <c r="I300" s="48">
        <f>SUM(I298:I299)</f>
        <v>0.52046911842636623</v>
      </c>
      <c r="J300" s="50">
        <f>SUM(C300:I300)</f>
        <v>0.80127460045457022</v>
      </c>
    </row>
    <row r="303" spans="1:16" s="2" customFormat="1">
      <c r="A303" s="9" t="s">
        <v>245</v>
      </c>
      <c r="B303" s="9"/>
      <c r="C303" s="9"/>
      <c r="D303" s="9"/>
      <c r="E303" s="9"/>
      <c r="F303" s="44"/>
      <c r="G303" s="9"/>
      <c r="H303" s="9"/>
      <c r="I303" s="9"/>
      <c r="J303" s="9"/>
      <c r="K303" s="9"/>
      <c r="L303" s="9"/>
      <c r="M303" s="9"/>
      <c r="N303" s="9"/>
      <c r="O303" s="9"/>
      <c r="P303" s="9"/>
    </row>
    <row r="304" spans="1:16">
      <c r="A304" s="4" t="s">
        <v>246</v>
      </c>
      <c r="B304" s="77">
        <f>3.75/2</f>
        <v>1.875</v>
      </c>
      <c r="C304" s="4" t="s">
        <v>167</v>
      </c>
      <c r="G304" s="5"/>
    </row>
    <row r="305" spans="1:7">
      <c r="A305" s="4" t="s">
        <v>247</v>
      </c>
      <c r="B305" s="55">
        <v>1.8</v>
      </c>
      <c r="C305" s="4" t="s">
        <v>70</v>
      </c>
      <c r="G305" s="5"/>
    </row>
    <row r="306" spans="1:7">
      <c r="A306" s="4" t="s">
        <v>248</v>
      </c>
      <c r="B306" s="54">
        <v>530</v>
      </c>
      <c r="C306" s="4" t="s">
        <v>216</v>
      </c>
      <c r="G306" s="5"/>
    </row>
    <row r="307" spans="1:7">
      <c r="A307" s="4" t="s">
        <v>249</v>
      </c>
      <c r="B307" s="54">
        <v>60</v>
      </c>
      <c r="C307" s="4" t="s">
        <v>217</v>
      </c>
      <c r="G307" s="5"/>
    </row>
    <row r="308" spans="1:7">
      <c r="A308" s="4" t="s">
        <v>250</v>
      </c>
      <c r="B308" s="76">
        <f>B306/B307</f>
        <v>8.8333333333333339</v>
      </c>
      <c r="C308" s="4" t="s">
        <v>200</v>
      </c>
      <c r="G308" s="5"/>
    </row>
    <row r="309" spans="1:7">
      <c r="A309" s="4" t="s">
        <v>251</v>
      </c>
      <c r="B309" s="23">
        <f>(B307/1000)*B310*E$52</f>
        <v>236.51981078415136</v>
      </c>
      <c r="C309" s="4" t="s">
        <v>67</v>
      </c>
      <c r="G309" s="5"/>
    </row>
    <row r="310" spans="1:7">
      <c r="A310" s="4" t="s">
        <v>253</v>
      </c>
      <c r="B310" s="23">
        <f>3*365</f>
        <v>1095</v>
      </c>
      <c r="C310" s="4" t="s">
        <v>333</v>
      </c>
      <c r="G310" s="5"/>
    </row>
    <row r="311" spans="1:7">
      <c r="A311" s="4" t="s">
        <v>325</v>
      </c>
      <c r="B311" s="23">
        <f>B306*B310*B305</f>
        <v>1044630</v>
      </c>
      <c r="C311" s="4" t="s">
        <v>330</v>
      </c>
      <c r="G311" s="5"/>
    </row>
    <row r="312" spans="1:7">
      <c r="A312" s="4" t="s">
        <v>328</v>
      </c>
      <c r="B312" s="18">
        <v>42.4</v>
      </c>
      <c r="C312" s="4" t="s">
        <v>329</v>
      </c>
      <c r="G312" s="5"/>
    </row>
    <row r="313" spans="1:7">
      <c r="A313" s="4" t="s">
        <v>252</v>
      </c>
      <c r="B313" s="75">
        <f>B312*B311/20000000</f>
        <v>2.2146156000000001</v>
      </c>
      <c r="C313" s="4" t="s">
        <v>67</v>
      </c>
      <c r="G313" s="5"/>
    </row>
    <row r="314" spans="1:7">
      <c r="A314" s="4" t="s">
        <v>254</v>
      </c>
      <c r="B314" s="77">
        <v>1.21</v>
      </c>
      <c r="C314" s="4" t="s">
        <v>167</v>
      </c>
      <c r="D314" s="52"/>
      <c r="G314" s="5"/>
    </row>
    <row r="315" spans="1:7">
      <c r="A315" s="26" t="s">
        <v>255</v>
      </c>
      <c r="B315" s="6">
        <v>10</v>
      </c>
      <c r="C315" s="4" t="s">
        <v>70</v>
      </c>
      <c r="E315" s="26"/>
      <c r="G315" s="5"/>
    </row>
    <row r="316" spans="1:7">
      <c r="A316" s="4" t="s">
        <v>256</v>
      </c>
      <c r="B316" s="96">
        <f>B317*B318</f>
        <v>449.9</v>
      </c>
      <c r="C316" s="4" t="s">
        <v>216</v>
      </c>
      <c r="G316" s="5"/>
    </row>
    <row r="317" spans="1:7">
      <c r="A317" s="4" t="s">
        <v>257</v>
      </c>
      <c r="B317" s="76">
        <v>5.5</v>
      </c>
      <c r="C317" s="4" t="s">
        <v>217</v>
      </c>
      <c r="G317" s="5"/>
    </row>
    <row r="318" spans="1:7">
      <c r="A318" s="4" t="s">
        <v>258</v>
      </c>
      <c r="B318" s="91">
        <f>B13</f>
        <v>81.8</v>
      </c>
      <c r="C318" s="4" t="s">
        <v>200</v>
      </c>
      <c r="D318" s="52"/>
      <c r="G318" s="5"/>
    </row>
    <row r="319" spans="1:7">
      <c r="A319" s="4" t="s">
        <v>259</v>
      </c>
      <c r="B319" s="23">
        <f>(B317/1000)*B310*E$52</f>
        <v>21.680982655213874</v>
      </c>
      <c r="C319" s="4" t="s">
        <v>11</v>
      </c>
      <c r="G319" s="5"/>
    </row>
    <row r="320" spans="1:7">
      <c r="A320" s="4" t="s">
        <v>327</v>
      </c>
      <c r="B320" s="18">
        <f>3*365</f>
        <v>1095</v>
      </c>
      <c r="C320" s="4" t="s">
        <v>333</v>
      </c>
      <c r="G320" s="5"/>
    </row>
    <row r="321" spans="1:17">
      <c r="A321" s="4" t="s">
        <v>326</v>
      </c>
      <c r="B321" s="23">
        <f>B316*B320*B315</f>
        <v>4926405</v>
      </c>
      <c r="C321" s="4" t="s">
        <v>330</v>
      </c>
      <c r="G321" s="5"/>
    </row>
    <row r="322" spans="1:17">
      <c r="A322" s="4" t="s">
        <v>328</v>
      </c>
      <c r="B322" s="18">
        <f>132/5</f>
        <v>26.4</v>
      </c>
      <c r="C322" s="4" t="s">
        <v>329</v>
      </c>
      <c r="G322" s="5"/>
    </row>
    <row r="323" spans="1:17">
      <c r="A323" s="4" t="s">
        <v>260</v>
      </c>
      <c r="B323" s="75">
        <f>B322*B321/20000000</f>
        <v>6.5028546</v>
      </c>
      <c r="C323" s="4" t="s">
        <v>67</v>
      </c>
      <c r="G323" s="5"/>
    </row>
    <row r="324" spans="1:17" s="4" customFormat="1">
      <c r="A324" s="4" t="s">
        <v>198</v>
      </c>
      <c r="B324" s="63">
        <f>B6</f>
        <v>3.5750000000000004E-2</v>
      </c>
      <c r="C324" s="4" t="s">
        <v>5</v>
      </c>
      <c r="D324" s="4">
        <f>3.6*B324</f>
        <v>0.12870000000000001</v>
      </c>
      <c r="E324" s="4" t="s">
        <v>332</v>
      </c>
      <c r="F324" s="5"/>
      <c r="Q324"/>
    </row>
    <row r="328" spans="1:17">
      <c r="A328" s="9" t="s">
        <v>331</v>
      </c>
      <c r="B328" s="4" t="s">
        <v>347</v>
      </c>
    </row>
    <row r="351" spans="1:1">
      <c r="A351" s="84" t="s">
        <v>241</v>
      </c>
    </row>
    <row r="383" spans="1:1">
      <c r="A383" s="84" t="s">
        <v>240</v>
      </c>
    </row>
    <row r="418" spans="1:1">
      <c r="A418" s="9"/>
    </row>
  </sheetData>
  <mergeCells count="1">
    <mergeCell ref="A261:C261"/>
  </mergeCells>
  <hyperlinks>
    <hyperlink ref="A383" r:id="rId1"/>
    <hyperlink ref="A351" r:id="rId2"/>
    <hyperlink ref="G48" r:id="rId3"/>
    <hyperlink ref="D16" r:id="rId4"/>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election activeCell="B79" sqref="B79"/>
    </sheetView>
  </sheetViews>
  <sheetFormatPr defaultColWidth="8.83203125" defaultRowHeight="15.5"/>
  <cols>
    <col min="1" max="1" width="75" customWidth="1"/>
    <col min="2" max="2" width="39.33203125" customWidth="1"/>
    <col min="3" max="3" width="62.83203125" customWidth="1"/>
    <col min="4" max="4" width="87.58203125" customWidth="1"/>
  </cols>
  <sheetData>
    <row r="1" spans="1:1">
      <c r="A1" t="s">
        <v>484</v>
      </c>
    </row>
    <row r="3" spans="1:1">
      <c r="A3" s="85"/>
    </row>
    <row r="4" spans="1:1" ht="16.5">
      <c r="A4" s="86" t="s">
        <v>261</v>
      </c>
    </row>
    <row r="5" spans="1:1">
      <c r="A5" s="86" t="s">
        <v>262</v>
      </c>
    </row>
    <row r="6" spans="1:1">
      <c r="A6" s="86"/>
    </row>
    <row r="7" spans="1:1">
      <c r="A7" s="85"/>
    </row>
    <row r="8" spans="1:1">
      <c r="A8" s="87" t="s">
        <v>263</v>
      </c>
    </row>
    <row r="9" spans="1:1">
      <c r="A9" s="86" t="s">
        <v>264</v>
      </c>
    </row>
    <row r="10" spans="1:1">
      <c r="A10" s="86" t="s">
        <v>265</v>
      </c>
    </row>
    <row r="11" spans="1:1">
      <c r="A11" s="86" t="s">
        <v>266</v>
      </c>
    </row>
    <row r="12" spans="1:1">
      <c r="A12" s="86" t="s">
        <v>267</v>
      </c>
    </row>
    <row r="13" spans="1:1">
      <c r="A13" s="86" t="s">
        <v>268</v>
      </c>
    </row>
    <row r="14" spans="1:1">
      <c r="A14" s="86" t="s">
        <v>269</v>
      </c>
    </row>
    <row r="15" spans="1:1">
      <c r="A15" s="85"/>
    </row>
    <row r="16" spans="1:1">
      <c r="A16" s="88" t="s">
        <v>270</v>
      </c>
    </row>
    <row r="17" spans="1:1">
      <c r="A17" s="85" t="s">
        <v>271</v>
      </c>
    </row>
    <row r="18" spans="1:1">
      <c r="A18" s="85" t="s">
        <v>272</v>
      </c>
    </row>
    <row r="19" spans="1:1">
      <c r="A19" s="85" t="s">
        <v>273</v>
      </c>
    </row>
    <row r="20" spans="1:1">
      <c r="A20" s="85"/>
    </row>
    <row r="22" spans="1:1">
      <c r="A22" s="87" t="s">
        <v>274</v>
      </c>
    </row>
    <row r="23" spans="1:1">
      <c r="A23" s="86" t="s">
        <v>275</v>
      </c>
    </row>
    <row r="24" spans="1:1">
      <c r="A24" s="86" t="s">
        <v>276</v>
      </c>
    </row>
    <row r="25" spans="1:1">
      <c r="A25" s="85"/>
    </row>
    <row r="26" spans="1:1">
      <c r="A26" s="87" t="s">
        <v>277</v>
      </c>
    </row>
    <row r="27" spans="1:1">
      <c r="A27" s="86" t="s">
        <v>278</v>
      </c>
    </row>
    <row r="28" spans="1:1">
      <c r="A28" s="86" t="s">
        <v>279</v>
      </c>
    </row>
    <row r="29" spans="1:1">
      <c r="A29" s="86" t="s">
        <v>280</v>
      </c>
    </row>
    <row r="30" spans="1:1">
      <c r="A30" s="86" t="s">
        <v>281</v>
      </c>
    </row>
    <row r="31" spans="1:1">
      <c r="A31" s="86" t="s">
        <v>282</v>
      </c>
    </row>
    <row r="32" spans="1:1">
      <c r="A32" s="86"/>
    </row>
    <row r="33" spans="1:1">
      <c r="A33" s="86"/>
    </row>
    <row r="34" spans="1:1">
      <c r="A34" s="86"/>
    </row>
    <row r="35" spans="1:1">
      <c r="A35" s="86"/>
    </row>
    <row r="36" spans="1:1">
      <c r="A36" s="86"/>
    </row>
    <row r="37" spans="1:1">
      <c r="A37" s="86"/>
    </row>
    <row r="38" spans="1:1">
      <c r="A38" s="86"/>
    </row>
    <row r="39" spans="1:1">
      <c r="A39" s="86"/>
    </row>
    <row r="40" spans="1:1">
      <c r="A40" s="86"/>
    </row>
    <row r="41" spans="1:1">
      <c r="A41" s="86"/>
    </row>
    <row r="42" spans="1:1">
      <c r="A42" s="86"/>
    </row>
    <row r="43" spans="1:1">
      <c r="A43" s="86"/>
    </row>
    <row r="44" spans="1:1">
      <c r="A44" s="86"/>
    </row>
    <row r="45" spans="1:1">
      <c r="A45" s="86"/>
    </row>
    <row r="46" spans="1:1">
      <c r="A46" s="86"/>
    </row>
    <row r="47" spans="1:1">
      <c r="A47" s="86"/>
    </row>
    <row r="48" spans="1:1">
      <c r="A48" s="86"/>
    </row>
    <row r="49" spans="1:4">
      <c r="A49" s="86"/>
    </row>
    <row r="50" spans="1:4">
      <c r="A50" s="86"/>
    </row>
    <row r="51" spans="1:4">
      <c r="A51" s="86"/>
    </row>
    <row r="52" spans="1:4">
      <c r="A52" s="86"/>
    </row>
    <row r="53" spans="1:4">
      <c r="A53" s="86"/>
    </row>
    <row r="54" spans="1:4" ht="16" thickBot="1">
      <c r="A54" s="85"/>
    </row>
    <row r="55" spans="1:4" ht="178.5" customHeight="1">
      <c r="A55" s="179" t="s">
        <v>283</v>
      </c>
      <c r="B55" s="181" t="s">
        <v>284</v>
      </c>
      <c r="C55" s="179" t="s">
        <v>285</v>
      </c>
      <c r="D55" s="183" t="s">
        <v>286</v>
      </c>
    </row>
    <row r="56" spans="1:4" ht="16" thickBot="1">
      <c r="A56" s="180"/>
      <c r="B56" s="182"/>
      <c r="C56" s="180"/>
      <c r="D56" s="184"/>
    </row>
    <row r="57" spans="1:4" ht="409.5" customHeight="1">
      <c r="A57" s="185" t="s">
        <v>287</v>
      </c>
      <c r="B57" s="187"/>
      <c r="C57" s="185"/>
      <c r="D57" s="185"/>
    </row>
    <row r="58" spans="1:4" ht="16" thickBot="1">
      <c r="A58" s="186"/>
      <c r="B58" s="188"/>
      <c r="C58" s="186"/>
      <c r="D58" s="186"/>
    </row>
    <row r="59" spans="1:4">
      <c r="A59" s="85"/>
    </row>
    <row r="60" spans="1:4">
      <c r="A60" s="85" t="s">
        <v>288</v>
      </c>
    </row>
    <row r="61" spans="1:4">
      <c r="A61" s="86" t="s">
        <v>289</v>
      </c>
    </row>
    <row r="62" spans="1:4">
      <c r="A62" s="86" t="s">
        <v>290</v>
      </c>
    </row>
    <row r="63" spans="1:4">
      <c r="A63" s="86" t="s">
        <v>291</v>
      </c>
    </row>
    <row r="64" spans="1:4">
      <c r="A64" s="85"/>
    </row>
    <row r="66" spans="1:1">
      <c r="A66" s="85"/>
    </row>
    <row r="67" spans="1:1">
      <c r="A67" s="85"/>
    </row>
    <row r="68" spans="1:1">
      <c r="A68" s="85"/>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2021-06-17T12:22:55Z</dcterms:modified>
</cp:coreProperties>
</file>