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ul B work files\PB Work\2017_01 EPSRC fellowship 2017\WP2 analysis &amp; ongoing papers\2_SUB_MKH - MPC rebound paper\MPC split paper\R1\"/>
    </mc:Choice>
  </mc:AlternateContent>
  <bookViews>
    <workbookView xWindow="0" yWindow="465" windowWidth="0" windowHeight="5205" tabRatio="672" activeTab="1"/>
  </bookViews>
  <sheets>
    <sheet name="readme" sheetId="19" r:id="rId1"/>
    <sheet name="1_Case study 1 - Car" sheetId="17" r:id="rId2"/>
    <sheet name="2_Case study 2 - LED lamp" sheetId="16" r:id="rId3"/>
    <sheet name="3_Case study 1 battery LCA" sheetId="20" r:id="rId4"/>
  </sheets>
  <calcPr calcId="162913"/>
</workbook>
</file>

<file path=xl/calcChain.xml><?xml version="1.0" encoding="utf-8"?>
<calcChain xmlns="http://schemas.openxmlformats.org/spreadsheetml/2006/main">
  <c r="E109" i="16" l="1"/>
  <c r="E109" i="17"/>
  <c r="E90" i="17"/>
  <c r="E124" i="17" l="1"/>
  <c r="E203" i="17" l="1"/>
  <c r="E199" i="17"/>
  <c r="E198" i="17"/>
  <c r="E197" i="17"/>
  <c r="E203" i="16"/>
  <c r="E197" i="16"/>
  <c r="E199" i="16"/>
  <c r="E198" i="16"/>
  <c r="B17" i="17" l="1"/>
  <c r="B11" i="17"/>
  <c r="B499" i="17"/>
  <c r="B506" i="17"/>
  <c r="M506" i="17"/>
  <c r="N506" i="17" s="1"/>
  <c r="O506" i="17" s="1"/>
  <c r="P506" i="17" s="1"/>
  <c r="M499" i="17"/>
  <c r="N499" i="17" s="1"/>
  <c r="O499" i="17" s="1"/>
  <c r="P499" i="17" s="1"/>
  <c r="J506" i="17"/>
  <c r="K506" i="17" s="1"/>
  <c r="L506" i="17" s="1"/>
  <c r="K499" i="17"/>
  <c r="L499" i="17" s="1"/>
  <c r="J499" i="17"/>
  <c r="E124" i="16"/>
  <c r="E106" i="16"/>
  <c r="E264" i="16"/>
  <c r="E209" i="16"/>
  <c r="D201" i="16" l="1"/>
  <c r="D200" i="16"/>
  <c r="E112" i="16"/>
  <c r="E93" i="16"/>
  <c r="E92" i="16"/>
  <c r="E112" i="17"/>
  <c r="E93" i="17"/>
  <c r="E111" i="16"/>
  <c r="E51" i="16"/>
  <c r="E49" i="16"/>
  <c r="E45" i="16"/>
  <c r="E43" i="16"/>
  <c r="D201" i="17"/>
  <c r="D200" i="17"/>
  <c r="E46" i="17" l="1"/>
  <c r="E44" i="17"/>
  <c r="E47" i="17" s="1"/>
  <c r="E52" i="17"/>
  <c r="E51" i="17"/>
  <c r="E50" i="17"/>
  <c r="E53" i="17" s="1"/>
  <c r="E49" i="17"/>
  <c r="E45" i="17"/>
  <c r="E43" i="17"/>
  <c r="E48" i="17" l="1"/>
  <c r="E54" i="17"/>
  <c r="E289" i="16"/>
  <c r="G506" i="17"/>
  <c r="F506" i="17"/>
  <c r="E506" i="17"/>
  <c r="D506" i="17"/>
  <c r="C506" i="17"/>
  <c r="H505" i="17"/>
  <c r="I505" i="17" s="1"/>
  <c r="H504" i="17"/>
  <c r="I504" i="17" s="1"/>
  <c r="H503" i="17"/>
  <c r="I503" i="17" s="1"/>
  <c r="H502" i="17"/>
  <c r="I502" i="17" s="1"/>
  <c r="G499" i="17"/>
  <c r="F499" i="17"/>
  <c r="E499" i="17"/>
  <c r="D499" i="17"/>
  <c r="C499" i="17"/>
  <c r="H498" i="17"/>
  <c r="I498" i="17" s="1"/>
  <c r="H497" i="17"/>
  <c r="I497" i="17" s="1"/>
  <c r="H496" i="17"/>
  <c r="I496" i="17" s="1"/>
  <c r="H495" i="17"/>
  <c r="G476" i="17"/>
  <c r="H475" i="17" s="1"/>
  <c r="E476" i="17"/>
  <c r="C472" i="17"/>
  <c r="G469" i="17"/>
  <c r="H468" i="17"/>
  <c r="E469" i="17"/>
  <c r="G458" i="17"/>
  <c r="G457" i="17"/>
  <c r="C456" i="17"/>
  <c r="C454" i="17"/>
  <c r="J339" i="17"/>
  <c r="B469" i="17"/>
  <c r="B476" i="17"/>
  <c r="B5" i="17"/>
  <c r="B4" i="16"/>
  <c r="B5" i="16" s="1"/>
  <c r="B342" i="16" s="1"/>
  <c r="D342" i="16" s="1"/>
  <c r="E289" i="17"/>
  <c r="E301" i="17" s="1"/>
  <c r="I28" i="16"/>
  <c r="I27" i="16"/>
  <c r="H28" i="17"/>
  <c r="H27" i="17"/>
  <c r="I342" i="17"/>
  <c r="B328" i="17"/>
  <c r="B18" i="17" s="1"/>
  <c r="E86" i="17" s="1"/>
  <c r="B19" i="16"/>
  <c r="E117" i="16" s="1"/>
  <c r="E78" i="16"/>
  <c r="E76" i="16"/>
  <c r="E77" i="16" s="1"/>
  <c r="E117" i="17"/>
  <c r="C401" i="17"/>
  <c r="B324" i="17" s="1"/>
  <c r="B401" i="17"/>
  <c r="C466" i="17" s="1"/>
  <c r="B320" i="17"/>
  <c r="B326" i="17"/>
  <c r="B14" i="17" s="1"/>
  <c r="E98" i="17" s="1"/>
  <c r="B322" i="17"/>
  <c r="B8" i="17" s="1"/>
  <c r="C312" i="17"/>
  <c r="F273" i="17"/>
  <c r="E271" i="17"/>
  <c r="F265" i="17"/>
  <c r="D258" i="17"/>
  <c r="D254" i="17"/>
  <c r="E253" i="17"/>
  <c r="D252" i="17"/>
  <c r="D251" i="17"/>
  <c r="F247" i="17"/>
  <c r="F274" i="17" s="1"/>
  <c r="E234" i="17"/>
  <c r="D234" i="17"/>
  <c r="H172" i="17"/>
  <c r="G172" i="17"/>
  <c r="D172" i="17"/>
  <c r="E119" i="17"/>
  <c r="E118" i="17"/>
  <c r="E108" i="17"/>
  <c r="E201" i="17" s="1"/>
  <c r="E89" i="17"/>
  <c r="E200" i="17" s="1"/>
  <c r="E77" i="17"/>
  <c r="E79" i="17" s="1"/>
  <c r="E65" i="17"/>
  <c r="E66" i="17" s="1"/>
  <c r="E68" i="17" s="1"/>
  <c r="B15" i="17"/>
  <c r="E107" i="17" s="1"/>
  <c r="A15" i="17"/>
  <c r="A14" i="17"/>
  <c r="A13" i="17"/>
  <c r="B9" i="17"/>
  <c r="E88" i="17" s="1"/>
  <c r="A9" i="17"/>
  <c r="A8" i="17"/>
  <c r="A7" i="17"/>
  <c r="H189" i="17"/>
  <c r="B12" i="17"/>
  <c r="E97" i="17" s="1"/>
  <c r="E253" i="16"/>
  <c r="E234" i="16"/>
  <c r="B340" i="16"/>
  <c r="B338" i="16"/>
  <c r="B336" i="16"/>
  <c r="B334" i="16" s="1"/>
  <c r="B328" i="16"/>
  <c r="B18" i="16" s="1"/>
  <c r="B326" i="16"/>
  <c r="B8" i="16" s="1"/>
  <c r="E84" i="16" s="1"/>
  <c r="B322" i="16"/>
  <c r="B6" i="16" s="1"/>
  <c r="E83" i="16" s="1"/>
  <c r="C314" i="16"/>
  <c r="F273" i="16"/>
  <c r="E271" i="16"/>
  <c r="F265" i="16"/>
  <c r="D258" i="16"/>
  <c r="F255" i="16"/>
  <c r="D255" i="16"/>
  <c r="F254" i="16"/>
  <c r="D254" i="16"/>
  <c r="D252" i="16"/>
  <c r="D251" i="16"/>
  <c r="F247" i="16"/>
  <c r="F266" i="16" s="1"/>
  <c r="D234" i="16"/>
  <c r="H172" i="16"/>
  <c r="G172" i="16"/>
  <c r="D172" i="16"/>
  <c r="E119" i="16"/>
  <c r="E98" i="16"/>
  <c r="G162" i="16" s="1"/>
  <c r="E65" i="16"/>
  <c r="E60" i="16"/>
  <c r="E160" i="16" s="1"/>
  <c r="E118" i="16"/>
  <c r="A15" i="16"/>
  <c r="A14" i="16"/>
  <c r="B13" i="16"/>
  <c r="A13" i="16"/>
  <c r="B12" i="16"/>
  <c r="E97" i="16" s="1"/>
  <c r="A12" i="16"/>
  <c r="A9" i="16"/>
  <c r="A8" i="16"/>
  <c r="B7" i="16"/>
  <c r="A7" i="16"/>
  <c r="A6" i="16"/>
  <c r="E162" i="16" l="1"/>
  <c r="E89" i="16"/>
  <c r="E200" i="16" s="1"/>
  <c r="E44" i="16"/>
  <c r="E47" i="16" s="1"/>
  <c r="E46" i="16"/>
  <c r="E48" i="16" s="1"/>
  <c r="E94" i="16" s="1"/>
  <c r="D168" i="16" s="1"/>
  <c r="E206" i="16" s="1"/>
  <c r="E108" i="16"/>
  <c r="E201" i="16" s="1"/>
  <c r="E52" i="16"/>
  <c r="E54" i="16" s="1"/>
  <c r="E113" i="16" s="1"/>
  <c r="E50" i="16"/>
  <c r="E53" i="16" s="1"/>
  <c r="E86" i="16"/>
  <c r="E100" i="16" s="1"/>
  <c r="E99" i="16"/>
  <c r="F163" i="16" s="1"/>
  <c r="F162" i="16"/>
  <c r="G179" i="16" s="1"/>
  <c r="B337" i="16"/>
  <c r="H162" i="16"/>
  <c r="E237" i="16" s="1"/>
  <c r="E254" i="16" s="1"/>
  <c r="D166" i="17"/>
  <c r="E91" i="17"/>
  <c r="C476" i="17"/>
  <c r="C469" i="17"/>
  <c r="B6" i="17"/>
  <c r="E83" i="17" s="1"/>
  <c r="F266" i="17"/>
  <c r="H506" i="17"/>
  <c r="H499" i="17"/>
  <c r="E110" i="17"/>
  <c r="H469" i="17"/>
  <c r="I468" i="17" s="1"/>
  <c r="E308" i="17"/>
  <c r="F162" i="17"/>
  <c r="H162" i="17"/>
  <c r="E99" i="17"/>
  <c r="G162" i="17"/>
  <c r="E162" i="17"/>
  <c r="D164" i="17"/>
  <c r="E100" i="17"/>
  <c r="H476" i="17"/>
  <c r="I475" i="17"/>
  <c r="E80" i="17"/>
  <c r="H160" i="17"/>
  <c r="G160" i="17"/>
  <c r="F160" i="17"/>
  <c r="E160" i="17"/>
  <c r="D160" i="17"/>
  <c r="E84" i="17"/>
  <c r="D161" i="17"/>
  <c r="H161" i="17"/>
  <c r="G161" i="17"/>
  <c r="E161" i="17"/>
  <c r="F161" i="17"/>
  <c r="F178" i="17" s="1"/>
  <c r="I506" i="17"/>
  <c r="B16" i="17" s="1"/>
  <c r="E111" i="17" s="1"/>
  <c r="E113" i="17" s="1"/>
  <c r="E166" i="17"/>
  <c r="I495" i="17"/>
  <c r="I499" i="17" s="1"/>
  <c r="B10" i="17" s="1"/>
  <c r="F166" i="17"/>
  <c r="H166" i="17"/>
  <c r="G166" i="17"/>
  <c r="E120" i="17"/>
  <c r="E163" i="16"/>
  <c r="F180" i="16" s="1"/>
  <c r="E167" i="16"/>
  <c r="H189" i="16"/>
  <c r="F160" i="16"/>
  <c r="F177" i="16" s="1"/>
  <c r="B329" i="16"/>
  <c r="B331" i="16" s="1"/>
  <c r="B9" i="16" s="1"/>
  <c r="E88" i="16" s="1"/>
  <c r="E91" i="16" s="1"/>
  <c r="G160" i="16"/>
  <c r="F274" i="16"/>
  <c r="B339" i="16"/>
  <c r="B341" i="16" s="1"/>
  <c r="B15" i="16" s="1"/>
  <c r="E107" i="16" s="1"/>
  <c r="F166" i="16" s="1"/>
  <c r="H160" i="16"/>
  <c r="D160" i="16"/>
  <c r="E177" i="16" s="1"/>
  <c r="B327" i="16"/>
  <c r="E87" i="16" s="1"/>
  <c r="D165" i="16" s="1"/>
  <c r="E85" i="16"/>
  <c r="D163" i="16" s="1"/>
  <c r="D162" i="16"/>
  <c r="E179" i="16" s="1"/>
  <c r="E114" i="16"/>
  <c r="E90" i="16"/>
  <c r="D167" i="16"/>
  <c r="H163" i="16"/>
  <c r="E79" i="16"/>
  <c r="E161" i="16" s="1"/>
  <c r="E120" i="16"/>
  <c r="E300" i="16"/>
  <c r="H171" i="16" l="1"/>
  <c r="E126" i="16"/>
  <c r="H167" i="16"/>
  <c r="D164" i="16"/>
  <c r="E215" i="16" s="1"/>
  <c r="E213" i="16"/>
  <c r="E221" i="16"/>
  <c r="H179" i="16"/>
  <c r="E184" i="16"/>
  <c r="E166" i="16"/>
  <c r="G167" i="16"/>
  <c r="F167" i="16"/>
  <c r="F184" i="16" s="1"/>
  <c r="H168" i="16"/>
  <c r="G168" i="16"/>
  <c r="E168" i="16"/>
  <c r="E207" i="16" s="1"/>
  <c r="F168" i="16"/>
  <c r="F185" i="16" s="1"/>
  <c r="F179" i="16"/>
  <c r="G163" i="16"/>
  <c r="G180" i="16" s="1"/>
  <c r="H177" i="16"/>
  <c r="E167" i="17"/>
  <c r="D167" i="17"/>
  <c r="H168" i="17"/>
  <c r="E168" i="17"/>
  <c r="F168" i="17"/>
  <c r="G168" i="17"/>
  <c r="H179" i="17"/>
  <c r="E178" i="17"/>
  <c r="F183" i="17"/>
  <c r="H177" i="17"/>
  <c r="G178" i="17"/>
  <c r="F179" i="17"/>
  <c r="F177" i="17"/>
  <c r="E92" i="17"/>
  <c r="E94" i="17" s="1"/>
  <c r="D168" i="17" s="1"/>
  <c r="E206" i="17" s="1"/>
  <c r="H272" i="17"/>
  <c r="E291" i="17"/>
  <c r="F163" i="17"/>
  <c r="H163" i="17"/>
  <c r="G163" i="17"/>
  <c r="E163" i="17"/>
  <c r="E85" i="17"/>
  <c r="D163" i="17" s="1"/>
  <c r="D169" i="17" s="1"/>
  <c r="D162" i="17"/>
  <c r="E179" i="17" s="1"/>
  <c r="E221" i="17"/>
  <c r="E237" i="17"/>
  <c r="E254" i="17" s="1"/>
  <c r="E213" i="17"/>
  <c r="G183" i="17"/>
  <c r="E114" i="17"/>
  <c r="G179" i="17"/>
  <c r="H183" i="17"/>
  <c r="E177" i="17"/>
  <c r="E87" i="17"/>
  <c r="E126" i="17" s="1"/>
  <c r="E164" i="17"/>
  <c r="E181" i="17" s="1"/>
  <c r="E103" i="17"/>
  <c r="E165" i="17" s="1"/>
  <c r="D171" i="17"/>
  <c r="F171" i="17"/>
  <c r="G171" i="17"/>
  <c r="H171" i="17"/>
  <c r="E171" i="17"/>
  <c r="H178" i="17"/>
  <c r="E215" i="17"/>
  <c r="E235" i="17"/>
  <c r="G177" i="17"/>
  <c r="E183" i="17"/>
  <c r="E265" i="17"/>
  <c r="E246" i="17"/>
  <c r="E258" i="17" s="1"/>
  <c r="E273" i="17"/>
  <c r="E225" i="17"/>
  <c r="E208" i="17"/>
  <c r="E307" i="16"/>
  <c r="F171" i="16"/>
  <c r="G166" i="16"/>
  <c r="G183" i="16" s="1"/>
  <c r="F161" i="16"/>
  <c r="F178" i="16" s="1"/>
  <c r="D171" i="16"/>
  <c r="E171" i="16"/>
  <c r="H166" i="16"/>
  <c r="D166" i="16"/>
  <c r="G171" i="16"/>
  <c r="D170" i="16"/>
  <c r="D169" i="16"/>
  <c r="E110" i="16"/>
  <c r="G161" i="16"/>
  <c r="G177" i="16"/>
  <c r="E180" i="16"/>
  <c r="E80" i="16"/>
  <c r="H272" i="16" s="1"/>
  <c r="H161" i="16"/>
  <c r="E164" i="16"/>
  <c r="E103" i="16"/>
  <c r="D161" i="16"/>
  <c r="E208" i="16" s="1"/>
  <c r="E238" i="16"/>
  <c r="E255" i="16" s="1"/>
  <c r="E214" i="16"/>
  <c r="E222" i="16"/>
  <c r="E226" i="16"/>
  <c r="E259" i="16"/>
  <c r="G185" i="17" l="1"/>
  <c r="E210" i="16"/>
  <c r="E235" i="16"/>
  <c r="G184" i="16"/>
  <c r="F183" i="16"/>
  <c r="G185" i="16"/>
  <c r="E123" i="16"/>
  <c r="H185" i="16"/>
  <c r="H180" i="16"/>
  <c r="H184" i="16"/>
  <c r="E185" i="16"/>
  <c r="E125" i="16" s="1"/>
  <c r="E132" i="16" s="1"/>
  <c r="E188" i="17"/>
  <c r="F167" i="17"/>
  <c r="E184" i="17"/>
  <c r="E123" i="17" s="1"/>
  <c r="G188" i="17"/>
  <c r="E264" i="17"/>
  <c r="H183" i="16"/>
  <c r="G180" i="17"/>
  <c r="H188" i="17"/>
  <c r="D165" i="17"/>
  <c r="E106" i="17"/>
  <c r="E169" i="17"/>
  <c r="E186" i="17" s="1"/>
  <c r="E180" i="17"/>
  <c r="E207" i="17"/>
  <c r="E185" i="17"/>
  <c r="E125" i="17" s="1"/>
  <c r="F188" i="17"/>
  <c r="E238" i="17"/>
  <c r="E255" i="17" s="1"/>
  <c r="E214" i="17"/>
  <c r="E222" i="17"/>
  <c r="H180" i="17"/>
  <c r="H185" i="17"/>
  <c r="F180" i="17"/>
  <c r="F185" i="17"/>
  <c r="E188" i="16"/>
  <c r="G178" i="16"/>
  <c r="G188" i="16"/>
  <c r="E256" i="16"/>
  <c r="E127" i="16"/>
  <c r="E170" i="16" s="1"/>
  <c r="E187" i="16" s="1"/>
  <c r="F188" i="16"/>
  <c r="E246" i="16"/>
  <c r="E258" i="16" s="1"/>
  <c r="E265" i="16"/>
  <c r="H178" i="16"/>
  <c r="H188" i="16"/>
  <c r="E225" i="16"/>
  <c r="E183" i="16"/>
  <c r="E296" i="16"/>
  <c r="E273" i="16"/>
  <c r="E181" i="16"/>
  <c r="E169" i="16"/>
  <c r="E186" i="16" s="1"/>
  <c r="E165" i="16"/>
  <c r="E182" i="16" s="1"/>
  <c r="E178" i="16"/>
  <c r="E223" i="16"/>
  <c r="B22" i="16"/>
  <c r="E37" i="16" s="1"/>
  <c r="G167" i="17" l="1"/>
  <c r="F184" i="17"/>
  <c r="E209" i="17"/>
  <c r="E210" i="17" s="1"/>
  <c r="E274" i="17"/>
  <c r="E266" i="17"/>
  <c r="E202" i="17"/>
  <c r="E247" i="17"/>
  <c r="E122" i="17"/>
  <c r="E132" i="17" s="1"/>
  <c r="E272" i="17" s="1"/>
  <c r="E259" i="17"/>
  <c r="E226" i="17"/>
  <c r="E182" i="17"/>
  <c r="E127" i="17"/>
  <c r="E170" i="17" s="1"/>
  <c r="E256" i="17"/>
  <c r="D170" i="17"/>
  <c r="B22" i="17" s="1"/>
  <c r="E274" i="16"/>
  <c r="E247" i="16"/>
  <c r="E202" i="16"/>
  <c r="E122" i="16"/>
  <c r="E266" i="16"/>
  <c r="E267" i="16" s="1"/>
  <c r="E291" i="16" s="1"/>
  <c r="E172" i="16"/>
  <c r="E41" i="16"/>
  <c r="E42" i="16" s="1"/>
  <c r="E101" i="16" s="1"/>
  <c r="E128" i="16" l="1"/>
  <c r="F170" i="16" s="1"/>
  <c r="E292" i="16"/>
  <c r="E267" i="17"/>
  <c r="E303" i="17" s="1"/>
  <c r="H167" i="17"/>
  <c r="H184" i="17" s="1"/>
  <c r="G184" i="17"/>
  <c r="E223" i="17"/>
  <c r="E37" i="17"/>
  <c r="G173" i="17"/>
  <c r="F173" i="17"/>
  <c r="H173" i="17"/>
  <c r="E173" i="17"/>
  <c r="E190" i="17" s="1"/>
  <c r="E172" i="17"/>
  <c r="E279" i="17"/>
  <c r="C314" i="17"/>
  <c r="E290" i="17"/>
  <c r="E302" i="17"/>
  <c r="E187" i="17"/>
  <c r="E280" i="17"/>
  <c r="C315" i="17"/>
  <c r="E304" i="17"/>
  <c r="H274" i="17"/>
  <c r="E293" i="17"/>
  <c r="E272" i="16"/>
  <c r="E275" i="16" s="1"/>
  <c r="E189" i="16"/>
  <c r="E301" i="16"/>
  <c r="C316" i="16"/>
  <c r="E279" i="16"/>
  <c r="E290" i="16" s="1"/>
  <c r="H273" i="16"/>
  <c r="E302" i="16"/>
  <c r="E173" i="16"/>
  <c r="E190" i="16" s="1"/>
  <c r="H173" i="16"/>
  <c r="G173" i="16"/>
  <c r="F173" i="16"/>
  <c r="F164" i="16"/>
  <c r="E104" i="16"/>
  <c r="F165" i="16" s="1"/>
  <c r="F182" i="16" s="1"/>
  <c r="E292" i="17" l="1"/>
  <c r="H273" i="17"/>
  <c r="E303" i="16"/>
  <c r="C317" i="16"/>
  <c r="C318" i="16" s="1"/>
  <c r="H274" i="16"/>
  <c r="E280" i="16"/>
  <c r="E41" i="17"/>
  <c r="E42" i="17" s="1"/>
  <c r="C316" i="17"/>
  <c r="H275" i="17"/>
  <c r="H190" i="17"/>
  <c r="E275" i="17"/>
  <c r="E189" i="17"/>
  <c r="F190" i="17"/>
  <c r="G190" i="17"/>
  <c r="H190" i="16"/>
  <c r="F190" i="16"/>
  <c r="G190" i="16"/>
  <c r="E285" i="16"/>
  <c r="I316" i="16"/>
  <c r="I318" i="16" s="1"/>
  <c r="E224" i="16"/>
  <c r="E227" i="16" s="1"/>
  <c r="E257" i="16"/>
  <c r="F187" i="16"/>
  <c r="E133" i="16" s="1"/>
  <c r="E216" i="16"/>
  <c r="E217" i="16" s="1"/>
  <c r="F169" i="16"/>
  <c r="F186" i="16" s="1"/>
  <c r="E236" i="16"/>
  <c r="F181" i="16"/>
  <c r="E101" i="17" l="1"/>
  <c r="E104" i="17" s="1"/>
  <c r="F165" i="17" s="1"/>
  <c r="F182" i="17" s="1"/>
  <c r="E128" i="17"/>
  <c r="F170" i="17" s="1"/>
  <c r="E285" i="17"/>
  <c r="I314" i="17"/>
  <c r="I316" i="17" s="1"/>
  <c r="E294" i="16"/>
  <c r="E305" i="16"/>
  <c r="E293" i="16"/>
  <c r="E304" i="16"/>
  <c r="E282" i="16"/>
  <c r="E316" i="16"/>
  <c r="E314" i="16"/>
  <c r="E281" i="16"/>
  <c r="F172" i="16" l="1"/>
  <c r="E232" i="16" s="1"/>
  <c r="E121" i="16"/>
  <c r="E233" i="16" s="1"/>
  <c r="E252" i="16" s="1"/>
  <c r="F164" i="17"/>
  <c r="E216" i="17" s="1"/>
  <c r="E217" i="17" s="1"/>
  <c r="F187" i="17"/>
  <c r="E133" i="17" s="1"/>
  <c r="E257" i="17"/>
  <c r="E224" i="17"/>
  <c r="E227" i="17" s="1"/>
  <c r="E318" i="16"/>
  <c r="J170" i="16"/>
  <c r="G189" i="16"/>
  <c r="H275" i="16"/>
  <c r="F189" i="16" l="1"/>
  <c r="E102" i="16"/>
  <c r="G164" i="16" s="1"/>
  <c r="E121" i="17"/>
  <c r="E233" i="17" s="1"/>
  <c r="E252" i="17" s="1"/>
  <c r="F169" i="17"/>
  <c r="F186" i="17" s="1"/>
  <c r="E236" i="17"/>
  <c r="F181" i="17"/>
  <c r="E281" i="17"/>
  <c r="E305" i="17"/>
  <c r="E312" i="17"/>
  <c r="E294" i="17"/>
  <c r="F172" i="17"/>
  <c r="E306" i="17"/>
  <c r="E314" i="17"/>
  <c r="E282" i="17"/>
  <c r="E295" i="17"/>
  <c r="E239" i="16"/>
  <c r="E251" i="16"/>
  <c r="E260" i="16" s="1"/>
  <c r="E105" i="16" l="1"/>
  <c r="G165" i="16" s="1"/>
  <c r="H165" i="16" s="1"/>
  <c r="H182" i="16" s="1"/>
  <c r="H164" i="16"/>
  <c r="H181" i="16" s="1"/>
  <c r="E102" i="17"/>
  <c r="H164" i="17" s="1"/>
  <c r="E316" i="17"/>
  <c r="E232" i="17"/>
  <c r="G189" i="17"/>
  <c r="F189" i="17"/>
  <c r="J170" i="17"/>
  <c r="G169" i="16"/>
  <c r="G186" i="16" s="1"/>
  <c r="G181" i="16"/>
  <c r="G314" i="16"/>
  <c r="E283" i="16"/>
  <c r="E306" i="16"/>
  <c r="E308" i="16" s="1"/>
  <c r="G182" i="16" l="1"/>
  <c r="E129" i="16" s="1"/>
  <c r="H169" i="16"/>
  <c r="H186" i="16" s="1"/>
  <c r="E105" i="17"/>
  <c r="G165" i="17" s="1"/>
  <c r="H165" i="17" s="1"/>
  <c r="H182" i="17" s="1"/>
  <c r="G164" i="17"/>
  <c r="G181" i="17" s="1"/>
  <c r="H169" i="17"/>
  <c r="E251" i="17"/>
  <c r="E239" i="17"/>
  <c r="J314" i="16"/>
  <c r="H181" i="17" l="1"/>
  <c r="G169" i="17"/>
  <c r="G186" i="17" s="1"/>
  <c r="G182" i="17"/>
  <c r="E129" i="17" s="1"/>
  <c r="E260" i="17"/>
  <c r="E297" i="17" s="1"/>
  <c r="G312" i="17"/>
  <c r="E283" i="17"/>
  <c r="E296" i="17"/>
  <c r="H186" i="17"/>
  <c r="E130" i="16"/>
  <c r="H170" i="16" s="1"/>
  <c r="G170" i="16"/>
  <c r="G187" i="16" s="1"/>
  <c r="E307" i="17" l="1"/>
  <c r="E309" i="17" s="1"/>
  <c r="B27" i="17" s="1"/>
  <c r="E298" i="17"/>
  <c r="E130" i="17"/>
  <c r="H170" i="17" s="1"/>
  <c r="G170" i="17"/>
  <c r="G187" i="17" s="1"/>
  <c r="J312" i="17"/>
  <c r="H187" i="16"/>
  <c r="E245" i="16"/>
  <c r="E248" i="16" s="1"/>
  <c r="E295" i="16" s="1"/>
  <c r="E297" i="16" s="1"/>
  <c r="J171" i="16"/>
  <c r="J172" i="16" s="1"/>
  <c r="H187" i="17" l="1"/>
  <c r="E245" i="17"/>
  <c r="E248" i="17" s="1"/>
  <c r="J171" i="17"/>
  <c r="J172" i="17" s="1"/>
  <c r="G316" i="16"/>
  <c r="E284" i="16"/>
  <c r="E286" i="16" s="1"/>
  <c r="B27" i="16" s="1"/>
  <c r="B28" i="16"/>
  <c r="G314" i="17" l="1"/>
  <c r="E284" i="17"/>
  <c r="E286" i="17" s="1"/>
  <c r="B26" i="17" s="1"/>
  <c r="J316" i="16"/>
  <c r="K317" i="16" s="1"/>
  <c r="G318" i="16"/>
  <c r="J318" i="16" s="1"/>
  <c r="B29" i="16"/>
  <c r="B30" i="16"/>
  <c r="B28" i="17" l="1"/>
  <c r="B29" i="17"/>
  <c r="J314" i="17"/>
  <c r="K315" i="17" s="1"/>
  <c r="G316" i="17"/>
  <c r="J316" i="17" s="1"/>
</calcChain>
</file>

<file path=xl/comments1.xml><?xml version="1.0" encoding="utf-8"?>
<comments xmlns="http://schemas.openxmlformats.org/spreadsheetml/2006/main">
  <authors>
    <author>Matthew Heun</author>
  </authors>
  <commentList>
    <comment ref="E260" authorId="0" shapeId="0">
      <text>
        <r>
          <rPr>
            <b/>
            <sz val="10"/>
            <color indexed="8"/>
            <rFont val="Tahoma"/>
            <family val="2"/>
          </rPr>
          <t>Matthew Heun:</t>
        </r>
        <r>
          <rPr>
            <sz val="10"/>
            <color indexed="8"/>
            <rFont val="Tahoma"/>
            <family val="2"/>
          </rPr>
          <t xml:space="preserve">
</t>
        </r>
        <r>
          <rPr>
            <sz val="10"/>
            <color indexed="8"/>
            <rFont val="Tahoma"/>
            <family val="2"/>
          </rPr>
          <t>This cell now contains Matt's retyping of the formula from Equation 28. It works for me. I'm not sure what Paul's mistake was. ---Matt</t>
        </r>
      </text>
    </comment>
  </commentList>
</comments>
</file>

<file path=xl/comments2.xml><?xml version="1.0" encoding="utf-8"?>
<comments xmlns="http://schemas.openxmlformats.org/spreadsheetml/2006/main">
  <authors>
    <author>Matthew Heun</author>
  </authors>
  <commentList>
    <comment ref="E260" authorId="0" shapeId="0">
      <text>
        <r>
          <rPr>
            <b/>
            <sz val="10"/>
            <color indexed="8"/>
            <rFont val="Tahoma"/>
            <family val="2"/>
          </rPr>
          <t>Matthew Heun:</t>
        </r>
        <r>
          <rPr>
            <sz val="10"/>
            <color indexed="8"/>
            <rFont val="Tahoma"/>
            <family val="2"/>
          </rPr>
          <t xml:space="preserve">
</t>
        </r>
        <r>
          <rPr>
            <sz val="10"/>
            <color indexed="8"/>
            <rFont val="Tahoma"/>
            <family val="2"/>
          </rPr>
          <t>This cell now contains Matt's retyping of the formula from Equation 28. It works for me. I'm not sure what Paul's mistake was. ---Matt</t>
        </r>
      </text>
    </comment>
    <comment ref="B328" authorId="0" shapeId="0">
      <text>
        <r>
          <rPr>
            <b/>
            <sz val="10"/>
            <color indexed="8"/>
            <rFont val="Tahoma"/>
            <family val="2"/>
          </rPr>
          <t>Matthew Heun:</t>
        </r>
        <r>
          <rPr>
            <sz val="10"/>
            <color indexed="8"/>
            <rFont val="Tahoma"/>
            <family val="2"/>
          </rPr>
          <t xml:space="preserve">
</t>
        </r>
        <r>
          <rPr>
            <sz val="10"/>
            <color indexed="8"/>
            <rFont val="Tahoma"/>
            <family val="2"/>
          </rPr>
          <t xml:space="preserve">Calculated from q_dot_s (in Lm-hr/yr) and luminosity (inLm). 
</t>
        </r>
        <r>
          <rPr>
            <sz val="10"/>
            <color indexed="8"/>
            <rFont val="Tahoma"/>
            <family val="2"/>
          </rPr>
          <t xml:space="preserve">
</t>
        </r>
        <r>
          <rPr>
            <sz val="10"/>
            <color indexed="8"/>
            <rFont val="Tahoma"/>
            <family val="2"/>
          </rPr>
          <t>I moved the input cell to the top of the sheet, because it is easier to make graphs.</t>
        </r>
      </text>
    </comment>
    <comment ref="B336" authorId="0" shapeId="0">
      <text>
        <r>
          <rPr>
            <b/>
            <sz val="10"/>
            <color indexed="8"/>
            <rFont val="Tahoma"/>
            <family val="2"/>
          </rPr>
          <t>Matthew Heun:</t>
        </r>
        <r>
          <rPr>
            <sz val="10"/>
            <color indexed="8"/>
            <rFont val="Tahoma"/>
            <family val="2"/>
          </rPr>
          <t xml:space="preserve">
</t>
        </r>
        <r>
          <rPr>
            <sz val="10"/>
            <color indexed="8"/>
            <rFont val="Tahoma"/>
            <family val="2"/>
          </rPr>
          <t>Note that 81.8 Lm is a given above, thereby enabling easier graph creation. Luminosity is calculated from Lm/W in this section of the spreadsheet.</t>
        </r>
      </text>
    </comment>
  </commentList>
</comments>
</file>

<file path=xl/sharedStrings.xml><?xml version="1.0" encoding="utf-8"?>
<sst xmlns="http://schemas.openxmlformats.org/spreadsheetml/2006/main" count="1352" uniqueCount="560">
  <si>
    <t>Source</t>
  </si>
  <si>
    <t>Jaffe &amp; Taylor, 2018, Physics of Energy, p. 208</t>
  </si>
  <si>
    <t>MJ/kg</t>
  </si>
  <si>
    <t>MJ/L</t>
  </si>
  <si>
    <t>assuming a density of 0.75kg/liter</t>
  </si>
  <si>
    <t>$/MJ</t>
  </si>
  <si>
    <t>ktoe/yr</t>
  </si>
  <si>
    <t>US GDP</t>
  </si>
  <si>
    <t>BEA, NIPA, Table 1.1.5</t>
  </si>
  <si>
    <t>Energy intensity</t>
  </si>
  <si>
    <t>MJ/$</t>
  </si>
  <si>
    <t>MJ/yr</t>
  </si>
  <si>
    <t>$ billion/yr</t>
  </si>
  <si>
    <t>units</t>
  </si>
  <si>
    <t>Symbol in paper</t>
  </si>
  <si>
    <t>p_E</t>
  </si>
  <si>
    <t>Value</t>
  </si>
  <si>
    <t>first approximation of Re_iinc</t>
  </si>
  <si>
    <t>--</t>
  </si>
  <si>
    <t>converted to MJ</t>
  </si>
  <si>
    <t>conversion factor from Table A.II.7, Annex 2, IPCC AR5, https://www.ipcc.ch/site/assets/uploads/2018/02/ipcc_wg3_ar5_annex-ii.pdf</t>
  </si>
  <si>
    <t>Fuel Economy pre upgrade</t>
  </si>
  <si>
    <t>miles/gallon</t>
  </si>
  <si>
    <t>Energy carrier</t>
  </si>
  <si>
    <t>Conversion factors</t>
  </si>
  <si>
    <t>Liters per gallon</t>
  </si>
  <si>
    <t>kilometers per mile</t>
  </si>
  <si>
    <t>km/mile</t>
  </si>
  <si>
    <t>L/gallon</t>
  </si>
  <si>
    <t>MJ/gallon</t>
  </si>
  <si>
    <t>$/gallon</t>
  </si>
  <si>
    <t>Price of energy in gasoline</t>
  </si>
  <si>
    <t>Economy wide intensity</t>
  </si>
  <si>
    <t>$/car</t>
  </si>
  <si>
    <t>Fuel Economy post upgrade</t>
  </si>
  <si>
    <t>p_s</t>
  </si>
  <si>
    <t>Energy service price post upgrade</t>
  </si>
  <si>
    <t>https://www.bts.gov/content/us-passenger-miles</t>
  </si>
  <si>
    <t>https://www.carinsurance.com/Articles/average-miles-driven-per-year-by-state.aspx</t>
  </si>
  <si>
    <t>Device energy consumption rate</t>
  </si>
  <si>
    <t>miles/yr</t>
  </si>
  <si>
    <t>C_cap</t>
  </si>
  <si>
    <t>Embodied energy rate</t>
  </si>
  <si>
    <t>E_emb</t>
  </si>
  <si>
    <t>average miles is 13476 according to FHWA, but Edmunds assumes 15000</t>
  </si>
  <si>
    <t>$/yr</t>
  </si>
  <si>
    <t>https://fred.stlouisfed.org/series/MEPAINUSA672N</t>
  </si>
  <si>
    <t>Personal outlays (consumption)</t>
  </si>
  <si>
    <t>BEA NIPA Table 2.1</t>
  </si>
  <si>
    <t>Variables</t>
  </si>
  <si>
    <t>E*_emb</t>
  </si>
  <si>
    <t>Sdot_dev</t>
  </si>
  <si>
    <t>Re_emb</t>
  </si>
  <si>
    <t>I_E</t>
  </si>
  <si>
    <t xml:space="preserve">eta </t>
  </si>
  <si>
    <t>Re_dsub</t>
  </si>
  <si>
    <t>Re_isub</t>
  </si>
  <si>
    <t>Mdot</t>
  </si>
  <si>
    <t>Re_dinc</t>
  </si>
  <si>
    <t>$/year</t>
  </si>
  <si>
    <t>Re_iinc</t>
  </si>
  <si>
    <t>k</t>
  </si>
  <si>
    <t>Re_prod</t>
  </si>
  <si>
    <t>Re_cap</t>
  </si>
  <si>
    <t>Re_dempl</t>
  </si>
  <si>
    <t>MJ</t>
  </si>
  <si>
    <t>Embodied energy</t>
  </si>
  <si>
    <t>yr</t>
  </si>
  <si>
    <t>Edot_emb</t>
  </si>
  <si>
    <t>Ndot_hat</t>
  </si>
  <si>
    <t>Gdot</t>
  </si>
  <si>
    <t>Eta</t>
  </si>
  <si>
    <t>qdot_s_hat</t>
  </si>
  <si>
    <t>Cdot_o_hat</t>
  </si>
  <si>
    <t>Cdot_o_bar</t>
  </si>
  <si>
    <t>deltaCbar_dot_o</t>
  </si>
  <si>
    <t>Energy price</t>
  </si>
  <si>
    <t>Energy service efficiency</t>
  </si>
  <si>
    <t>Energy service price</t>
  </si>
  <si>
    <t>Energy service consumption rate</t>
  </si>
  <si>
    <t>Capital expenditure rate</t>
  </si>
  <si>
    <t>Other goods expenditure rate</t>
  </si>
  <si>
    <t>Net income</t>
  </si>
  <si>
    <t>Units</t>
  </si>
  <si>
    <t>symbol</t>
  </si>
  <si>
    <t>Original</t>
  </si>
  <si>
    <t>qdot_s_star</t>
  </si>
  <si>
    <t>Miles driven, after substitution effects</t>
  </si>
  <si>
    <t>Device energy consumption rate, after substitution effects</t>
  </si>
  <si>
    <t>Device energy consumption rate, after emplacement effects</t>
  </si>
  <si>
    <t>Other goods expenditure rate, after emplacement effect</t>
  </si>
  <si>
    <t>Other goods expenditure rate, after substitution effect</t>
  </si>
  <si>
    <t>values</t>
  </si>
  <si>
    <t>* (star)</t>
  </si>
  <si>
    <t>^ (hat)</t>
  </si>
  <si>
    <t>~ (tilde)</t>
  </si>
  <si>
    <t xml:space="preserve">  (bar)</t>
  </si>
  <si>
    <t>Expected savings (gross income) rate</t>
  </si>
  <si>
    <t>∆*</t>
  </si>
  <si>
    <t>∆^</t>
  </si>
  <si>
    <t xml:space="preserve">∆  </t>
  </si>
  <si>
    <t>∆~</t>
  </si>
  <si>
    <t>Cause --&gt;</t>
  </si>
  <si>
    <t>eta_tilde</t>
  </si>
  <si>
    <t>Direct</t>
  </si>
  <si>
    <t>Indirect</t>
  </si>
  <si>
    <t>Eta_tilde</t>
  </si>
  <si>
    <t>Edot_s_star</t>
  </si>
  <si>
    <t>Edot_s_hat</t>
  </si>
  <si>
    <t>Edot*_emb</t>
  </si>
  <si>
    <t>sub-total</t>
  </si>
  <si>
    <t>qdot_s_bar</t>
  </si>
  <si>
    <t>Edot_s_bar</t>
  </si>
  <si>
    <t>Device energy consumption rate, after income effects</t>
  </si>
  <si>
    <t>Miles driven, after income effects</t>
  </si>
  <si>
    <t>Other goods expenditure rate, after income effects</t>
  </si>
  <si>
    <t>Car price - capital expenditure</t>
  </si>
  <si>
    <t>$/mile</t>
  </si>
  <si>
    <t>Energy service price pre upgrade</t>
  </si>
  <si>
    <t>Key</t>
  </si>
  <si>
    <t>raw data (input) cells</t>
  </si>
  <si>
    <t>Variable / description</t>
  </si>
  <si>
    <t>Gasoline specific energy (HHV)</t>
  </si>
  <si>
    <t>Gasoline energy density (SI Units)</t>
  </si>
  <si>
    <t>Gasoline energy density (US Units)</t>
  </si>
  <si>
    <t>Borenstein assumes $3/gallon; L/gallon = 3.7855</t>
  </si>
  <si>
    <t>Real median personal income US, in 2018</t>
  </si>
  <si>
    <t>US Disposable income / real income (minus current taxes)</t>
  </si>
  <si>
    <t xml:space="preserve">Savings from disposable income </t>
  </si>
  <si>
    <r>
      <t>Re</t>
    </r>
    <r>
      <rPr>
        <vertAlign val="subscript"/>
        <sz val="11"/>
        <color indexed="8"/>
        <rFont val="Calibri (Body)"/>
      </rPr>
      <t>sum</t>
    </r>
  </si>
  <si>
    <r>
      <t>Re</t>
    </r>
    <r>
      <rPr>
        <vertAlign val="subscript"/>
        <sz val="11"/>
        <color indexed="8"/>
        <rFont val="Calibri (Body)"/>
      </rPr>
      <t>dempl</t>
    </r>
  </si>
  <si>
    <r>
      <t>Re</t>
    </r>
    <r>
      <rPr>
        <vertAlign val="subscript"/>
        <sz val="11"/>
        <color indexed="8"/>
        <rFont val="Calibri (Body)"/>
      </rPr>
      <t>dsub</t>
    </r>
  </si>
  <si>
    <r>
      <t>Re</t>
    </r>
    <r>
      <rPr>
        <vertAlign val="subscript"/>
        <sz val="11"/>
        <color indexed="8"/>
        <rFont val="Calibri (Body)"/>
      </rPr>
      <t>dinc</t>
    </r>
  </si>
  <si>
    <r>
      <t>Re</t>
    </r>
    <r>
      <rPr>
        <vertAlign val="subscript"/>
        <sz val="11"/>
        <color indexed="8"/>
        <rFont val="Calibri (Body)"/>
      </rPr>
      <t>emb</t>
    </r>
  </si>
  <si>
    <r>
      <t>Re</t>
    </r>
    <r>
      <rPr>
        <vertAlign val="subscript"/>
        <sz val="11"/>
        <color indexed="8"/>
        <rFont val="Calibri (Body)"/>
      </rPr>
      <t>isub</t>
    </r>
  </si>
  <si>
    <r>
      <t>Re</t>
    </r>
    <r>
      <rPr>
        <vertAlign val="subscript"/>
        <sz val="11"/>
        <color indexed="8"/>
        <rFont val="Calibri (Body)"/>
      </rPr>
      <t>iinc</t>
    </r>
  </si>
  <si>
    <t>Edot_s</t>
  </si>
  <si>
    <t>qdot_s</t>
  </si>
  <si>
    <t>Device energy consumption rate, pre-upgrade</t>
  </si>
  <si>
    <t>C*_cap</t>
  </si>
  <si>
    <t>Expected savings rate, after emplacement</t>
  </si>
  <si>
    <t xml:space="preserve">Expected savings rate ($/yr), i.e. energy savings x price of fuel </t>
  </si>
  <si>
    <t>p_s_star</t>
  </si>
  <si>
    <t>Notes</t>
  </si>
  <si>
    <t>Consumer and other financial data</t>
  </si>
  <si>
    <t>Net income (after emplacement effect)</t>
  </si>
  <si>
    <t>Net income (after substitution effect)</t>
  </si>
  <si>
    <t>Net income (after income effect)</t>
  </si>
  <si>
    <t>Other goods expenditure rate, after productivity effects</t>
  </si>
  <si>
    <t>Other goods expenditure rate, pre-upgrade</t>
  </si>
  <si>
    <t>Net income (pre-upgrade)</t>
  </si>
  <si>
    <t>Ndot</t>
  </si>
  <si>
    <t>Ndot_star</t>
  </si>
  <si>
    <t>Ndot_bar</t>
  </si>
  <si>
    <t>Net income (after productivity effect)</t>
  </si>
  <si>
    <t xml:space="preserve">Edot_s </t>
  </si>
  <si>
    <t>Output summary</t>
  </si>
  <si>
    <t>$</t>
  </si>
  <si>
    <t>price of gasoline</t>
  </si>
  <si>
    <t>miles driven</t>
  </si>
  <si>
    <t>miles</t>
  </si>
  <si>
    <t>Capital cost rate</t>
  </si>
  <si>
    <t>Cdot_cap</t>
  </si>
  <si>
    <t>Cdot*_cap</t>
  </si>
  <si>
    <t>Re_sum_1</t>
  </si>
  <si>
    <t>Re_sum_2</t>
  </si>
  <si>
    <t>Efficiency ratio</t>
  </si>
  <si>
    <t>eta_tilde / eta</t>
  </si>
  <si>
    <t>Change in capital expenditure rate (after emplacement)</t>
  </si>
  <si>
    <t>∆C_star_cap</t>
  </si>
  <si>
    <t>Miles driven, after emplacement (same as b4 empl)</t>
  </si>
  <si>
    <t>∆</t>
  </si>
  <si>
    <t>k*PE*IE</t>
  </si>
  <si>
    <t xml:space="preserve"> -k*Re_cap</t>
  </si>
  <si>
    <t xml:space="preserve"> -k*Re_Omd</t>
  </si>
  <si>
    <t>Car specs: Car before upgrade</t>
  </si>
  <si>
    <t>Car specs: Car after upgrade</t>
  </si>
  <si>
    <t>Check</t>
  </si>
  <si>
    <t>economy-wide rebound, Re_sum_1</t>
  </si>
  <si>
    <t>economy-wide rebound, Re_sum_2</t>
  </si>
  <si>
    <t>Ndot_tilde</t>
  </si>
  <si>
    <t>p_E * I_E</t>
  </si>
  <si>
    <t>Miles driven prior to upgrade</t>
  </si>
  <si>
    <t>miles driven prior to upgrade</t>
  </si>
  <si>
    <t>miles/year</t>
  </si>
  <si>
    <t>Takeback</t>
  </si>
  <si>
    <t>price of energy</t>
  </si>
  <si>
    <t>lights - capital expenditure</t>
  </si>
  <si>
    <t>Lm/W</t>
  </si>
  <si>
    <t>price of electricity</t>
  </si>
  <si>
    <t>lighting specs: lights after upgrade</t>
  </si>
  <si>
    <t>$/Lm</t>
  </si>
  <si>
    <t>1MJ = 277.78Wh</t>
  </si>
  <si>
    <t>Lighting specs: before upgrade</t>
  </si>
  <si>
    <t>luminous efficacy pre upgrade</t>
  </si>
  <si>
    <t>luminous efficacy post upgrade</t>
  </si>
  <si>
    <t>Lmh/yr</t>
  </si>
  <si>
    <t>lighting consumption prior to upgrade</t>
  </si>
  <si>
    <t>Lmh consumption, after emplacement (same as b4 empl)</t>
  </si>
  <si>
    <t>Lmh consumption, after substitution effects</t>
  </si>
  <si>
    <t>Lmh consumption, after income effects</t>
  </si>
  <si>
    <t>1MJ</t>
  </si>
  <si>
    <t>kWh</t>
  </si>
  <si>
    <t>1kWh</t>
  </si>
  <si>
    <t>Lm</t>
  </si>
  <si>
    <t>W</t>
  </si>
  <si>
    <t>$/Lmh</t>
  </si>
  <si>
    <t>$/kWh</t>
  </si>
  <si>
    <t>https://berla.co/average-us-vehicle-lifespan/</t>
  </si>
  <si>
    <t>13-17 years</t>
  </si>
  <si>
    <t>US Vehicles</t>
  </si>
  <si>
    <t>https://www.fhwa.dot.gov/ohim/onh00/bar8.htm</t>
  </si>
  <si>
    <t>miles per driver</t>
  </si>
  <si>
    <t>engine size</t>
  </si>
  <si>
    <t>kerb weight</t>
  </si>
  <si>
    <t>Gas/Electric I-4, 2.0 L</t>
  </si>
  <si>
    <t>3695lbs</t>
  </si>
  <si>
    <t>34000MJ</t>
  </si>
  <si>
    <t>from Argonne 2010 report https://greet.es.anl.gov/files/vehicle_and_components_manufacturing</t>
  </si>
  <si>
    <t>2. vehicle lifespan</t>
  </si>
  <si>
    <t>3. average car mileage US per year</t>
  </si>
  <si>
    <t>4. Car costs, mpg data</t>
  </si>
  <si>
    <t>1. LCA energy use for mid-size car</t>
  </si>
  <si>
    <t>HEV batteries seem to be ~10% of LCA energy of vehicle manufacture https://www.sciencedirect.com/science/article/pii/S0306261915004407</t>
  </si>
  <si>
    <t>Case study 1: Ford Fusion car (gasoline vs HEV)</t>
  </si>
  <si>
    <t>Case study 2 - Incandescent vs LED light bulb</t>
  </si>
  <si>
    <t>incandescent bulb - capital expenditure</t>
  </si>
  <si>
    <t>incandescent bulb - lifetime</t>
  </si>
  <si>
    <t>incandescent bulb - luminosity</t>
  </si>
  <si>
    <t>incandescent bulb - energy used (Watts)</t>
  </si>
  <si>
    <t>incandescent bulb - efficacy</t>
  </si>
  <si>
    <t>incandescent bulb - direct energy/yr</t>
  </si>
  <si>
    <t>incandescent bulb - embodied energy</t>
  </si>
  <si>
    <t>incandescent bulb - hours/year</t>
  </si>
  <si>
    <t>LED bulb - capital expenditure</t>
  </si>
  <si>
    <t>LED bulb - lifetime</t>
  </si>
  <si>
    <t>LED bulb - luminosity</t>
  </si>
  <si>
    <t>LED bulb - energy used (Watts)</t>
  </si>
  <si>
    <t>LED bulb - efficacy</t>
  </si>
  <si>
    <t>LED bulb - direct energy/yr</t>
  </si>
  <si>
    <t>LED bulb - embodied energy</t>
  </si>
  <si>
    <t>Articles reviewed/found/used</t>
  </si>
  <si>
    <t>Ford Fusion Hybrid (our car) battery size = 1.4kWh</t>
  </si>
  <si>
    <t>Ford Fusion plugin hybrid (energie) = 9kWh</t>
  </si>
  <si>
    <t>For comparison, full EV cars have battery sizes of 30kWh+, with the largest i.e. Tesla is around 60-100kWh, for 300+miles driving range</t>
  </si>
  <si>
    <t xml:space="preserve">EV Battery life / driving miles: </t>
  </si>
  <si>
    <t>Additional energy requirements of battery vs car manufacture</t>
  </si>
  <si>
    <t>The cradle-to-gate CCP intensity of the EVs was 6.3–7.1 kg CO2-eq kg−1 sions differed from the ICEVs. The cradle-to-gate CCP intensity of the EVs was 6.3–7.1 kg CO2-eq kg−1 ofcar, whereas for the ICEVs it was 3.9–5.7 kg CO2-eq ofcar, whereas for the ICEVs it was 3.9–5.7 kg CO2-eq kg−1 of car. The difference in the cradle-to-gate CCP ofcar, whereas for the ICEVs it was 3.9–5.7 kg CO2-eq kg−1 of car.</t>
  </si>
  <si>
    <t>Ellingsen 2013 uses a different approach, and calculates MJ per kWh of battery size</t>
  </si>
  <si>
    <t>Re_md</t>
  </si>
  <si>
    <r>
      <t>Re</t>
    </r>
    <r>
      <rPr>
        <vertAlign val="subscript"/>
        <sz val="11"/>
        <color indexed="8"/>
        <rFont val="Calibri (Body)"/>
      </rPr>
      <t>md</t>
    </r>
  </si>
  <si>
    <t>Re_sum = Re_emb + Re_md + Re_dsub + Re_isub + Re_dinc + Re_iinc+ Re_prod</t>
  </si>
  <si>
    <t>use</t>
  </si>
  <si>
    <t>Share of income spent on q_s</t>
  </si>
  <si>
    <t>Income elasticity of demand for q_s</t>
  </si>
  <si>
    <t>epsilon_{q_s,M}</t>
  </si>
  <si>
    <t>Income elasticity of demand for q_o</t>
  </si>
  <si>
    <t>epsilon_{q_o,M}</t>
  </si>
  <si>
    <t>Cdot_o_star</t>
  </si>
  <si>
    <t>Cdot_o</t>
  </si>
  <si>
    <t>Energy service expenditure rate</t>
  </si>
  <si>
    <t>C_dot_o</t>
  </si>
  <si>
    <t>5 year total / per year</t>
  </si>
  <si>
    <t>insurance (5 yr cost)</t>
  </si>
  <si>
    <t>maintainance (5 yr cost)</t>
  </si>
  <si>
    <t>repairs (5 yr cost)</t>
  </si>
  <si>
    <t>taxes &amp; fees (5 yr cost)</t>
  </si>
  <si>
    <t>total OMD costs</t>
  </si>
  <si>
    <t>cash price</t>
  </si>
  <si>
    <t>tax credit</t>
  </si>
  <si>
    <t>net cash price</t>
  </si>
  <si>
    <t>purchase cost</t>
  </si>
  <si>
    <t>maintainence and disposal costs</t>
  </si>
  <si>
    <t xml:space="preserve">incandescent bulb - lifetime lumen-hrs </t>
  </si>
  <si>
    <t xml:space="preserve">incandescent bulb - lifetime Million lumen-hrs </t>
  </si>
  <si>
    <t>LED bulb - hours/year</t>
  </si>
  <si>
    <t>manufacturing phase MJ/20million lumen hours</t>
  </si>
  <si>
    <t>(MJ/20 million lumen hours)</t>
  </si>
  <si>
    <t>lumen-hrs</t>
  </si>
  <si>
    <t>manufacturing phase (embodied energy) data</t>
  </si>
  <si>
    <t>$/kWhr</t>
  </si>
  <si>
    <t>hrs/yr</t>
  </si>
  <si>
    <t>Cdot_o_tilde</t>
  </si>
  <si>
    <t>verify:</t>
  </si>
  <si>
    <t>N_dot_hat</t>
  </si>
  <si>
    <t>p_E*∆E_dot_bar_s + ∆C_dot_bar_o</t>
  </si>
  <si>
    <t>diff (should be 0)</t>
  </si>
  <si>
    <t>assumed + 15% embodied energy for battery</t>
  </si>
  <si>
    <t>Titanium FWD</t>
  </si>
  <si>
    <t>Intercooled Turbo Premium Unleaded I-4, 2.0 L</t>
  </si>
  <si>
    <t>3676Lbs</t>
  </si>
  <si>
    <t>Ford fusion Titanium 2.0L</t>
  </si>
  <si>
    <t>vehicle miles/year</t>
  </si>
  <si>
    <t>US DoE Life-cycle assessment of energy and environmental impacts of LED lighting products, availabe at https://www1.eere.energy.gov/buildings/publications/pdfs/ssl/2012_LED_Lifecycle_Report.pdf</t>
  </si>
  <si>
    <t>Year 1</t>
  </si>
  <si>
    <t>Year 2</t>
  </si>
  <si>
    <t>Year 3</t>
  </si>
  <si>
    <t>Year 4</t>
  </si>
  <si>
    <t>Year 5</t>
  </si>
  <si>
    <t>insurance</t>
  </si>
  <si>
    <t>maintenance</t>
  </si>
  <si>
    <t>repairs</t>
  </si>
  <si>
    <t>taxes and fees</t>
  </si>
  <si>
    <t>all-gasoline Fusion</t>
  </si>
  <si>
    <t>Hybrid Fusion</t>
  </si>
  <si>
    <t>total</t>
  </si>
  <si>
    <t xml:space="preserve">5-yr av (current </t>
  </si>
  <si>
    <t>Yr 1</t>
  </si>
  <si>
    <t>Yr 2</t>
  </si>
  <si>
    <t>Yr 3</t>
  </si>
  <si>
    <t>Yr 4</t>
  </si>
  <si>
    <t>Yr 5</t>
  </si>
  <si>
    <t>Real Income</t>
  </si>
  <si>
    <t>Net income (freed cash)</t>
  </si>
  <si>
    <t>Real income</t>
  </si>
  <si>
    <t>Mdot_prime_hat</t>
  </si>
  <si>
    <t>E_dot_s</t>
  </si>
  <si>
    <t>(1 -k)*Re_md</t>
  </si>
  <si>
    <t>k*pE*I_E</t>
  </si>
  <si>
    <t>Re_dinc+Re_iinc</t>
  </si>
  <si>
    <t>Re_sum_3</t>
  </si>
  <si>
    <t>Year 6</t>
  </si>
  <si>
    <t>Year 7</t>
  </si>
  <si>
    <t>§  Capital cost + finance costs – depreciated value</t>
  </si>
  <si>
    <t>finance cost</t>
  </si>
  <si>
    <t>depreciation</t>
  </si>
  <si>
    <t>net capital cost</t>
  </si>
  <si>
    <t>initial capital cost</t>
  </si>
  <si>
    <t>tax rebate</t>
  </si>
  <si>
    <t>sum year 1-7</t>
  </si>
  <si>
    <r>
      <t xml:space="preserve"> </t>
    </r>
    <r>
      <rPr>
        <vertAlign val="superscript"/>
        <sz val="11"/>
        <color indexed="8"/>
        <rFont val="Calibri"/>
        <family val="2"/>
      </rPr>
      <t>o</t>
    </r>
    <r>
      <rPr>
        <sz val="11"/>
        <color indexed="8"/>
        <rFont val="Calibri"/>
        <family val="2"/>
      </rPr>
      <t xml:space="preserve"> (Original)</t>
    </r>
  </si>
  <si>
    <r>
      <t>eta</t>
    </r>
    <r>
      <rPr>
        <vertAlign val="superscript"/>
        <sz val="11"/>
        <color indexed="8"/>
        <rFont val="Calibri"/>
        <family val="2"/>
      </rPr>
      <t>o</t>
    </r>
  </si>
  <si>
    <r>
      <t>C</t>
    </r>
    <r>
      <rPr>
        <vertAlign val="superscript"/>
        <sz val="11"/>
        <color indexed="8"/>
        <rFont val="Calibri"/>
        <family val="2"/>
      </rPr>
      <t>o</t>
    </r>
    <r>
      <rPr>
        <sz val="11"/>
        <color indexed="8"/>
        <rFont val="Calibri"/>
        <family val="2"/>
      </rPr>
      <t xml:space="preserve">dot_o </t>
    </r>
  </si>
  <si>
    <r>
      <t>E</t>
    </r>
    <r>
      <rPr>
        <vertAlign val="superscript"/>
        <sz val="11"/>
        <color indexed="8"/>
        <rFont val="Calibri"/>
        <family val="2"/>
      </rPr>
      <t>o</t>
    </r>
    <r>
      <rPr>
        <sz val="11"/>
        <color indexed="8"/>
        <rFont val="Calibri"/>
        <family val="2"/>
      </rPr>
      <t xml:space="preserve">dot_s </t>
    </r>
  </si>
  <si>
    <r>
      <t>C</t>
    </r>
    <r>
      <rPr>
        <vertAlign val="superscript"/>
        <sz val="11"/>
        <color indexed="8"/>
        <rFont val="Calibri"/>
        <family val="2"/>
      </rPr>
      <t>o</t>
    </r>
    <r>
      <rPr>
        <sz val="11"/>
        <color indexed="8"/>
        <rFont val="Calibri"/>
        <family val="2"/>
      </rPr>
      <t xml:space="preserve">dot_hat </t>
    </r>
  </si>
  <si>
    <r>
      <t>q</t>
    </r>
    <r>
      <rPr>
        <vertAlign val="superscript"/>
        <sz val="11"/>
        <color indexed="8"/>
        <rFont val="Calibri"/>
        <family val="2"/>
      </rPr>
      <t>o</t>
    </r>
    <r>
      <rPr>
        <sz val="11"/>
        <color indexed="8"/>
        <rFont val="Calibri"/>
        <family val="2"/>
      </rPr>
      <t>_dot_s</t>
    </r>
  </si>
  <si>
    <r>
      <t>q</t>
    </r>
    <r>
      <rPr>
        <sz val="11"/>
        <color indexed="8"/>
        <rFont val="Calibri"/>
        <family val="2"/>
      </rPr>
      <t>_dot_hat_s</t>
    </r>
  </si>
  <si>
    <t>elasticity of substitution</t>
  </si>
  <si>
    <t>ρ</t>
  </si>
  <si>
    <t>σ</t>
  </si>
  <si>
    <t>sigma</t>
  </si>
  <si>
    <t xml:space="preserve">C_dot_hat </t>
  </si>
  <si>
    <t>rho</t>
  </si>
  <si>
    <t>Lm/yr</t>
  </si>
  <si>
    <t>Ford Fusion hybrid 2L titanium</t>
  </si>
  <si>
    <t>Ford Fusion 2020</t>
  </si>
  <si>
    <t>Ford Fusion 2020 - Hybrid</t>
  </si>
  <si>
    <t>hybrid Fusion</t>
  </si>
  <si>
    <t>Fusion Titanium 2.0L gasoline car - capital purchase cost</t>
  </si>
  <si>
    <t>Fusion Titanium 2.0L gasoline car - capital expenditure</t>
  </si>
  <si>
    <t>Fusion Titanium 2.0L gasoline car  - lifetime</t>
  </si>
  <si>
    <t>Fusion Titanium 2.0L gasoline car  - mpg</t>
  </si>
  <si>
    <t>Fusion Titanium 2.0L gasoline car  - embodied energy</t>
  </si>
  <si>
    <t>Fusion Titanium 2.0L Hybrid car  - capital expenditure</t>
  </si>
  <si>
    <t>Fusion Titanium 2.0L Hybrid car - lifetime</t>
  </si>
  <si>
    <t>Fusion Titanium 2.0L Hybrid car - mpg</t>
  </si>
  <si>
    <t>Fusion Titanium 2.0L Hybrid car - embodied energy</t>
  </si>
  <si>
    <t>Fusion Titanium 2.0L Hybrid car  - capital purchase cost</t>
  </si>
  <si>
    <t>Argonne 2010 report</t>
  </si>
  <si>
    <t>average weekly fuel cost for 2018, = $2.63/gallon https://www.eia.gov/petroleum/gasdiesel/</t>
  </si>
  <si>
    <t>https://www.eia.gov/electricity/data/state/avgprice_annual.xlsx</t>
  </si>
  <si>
    <t>Price of electricity (average consumer US price in 2018)</t>
  </si>
  <si>
    <t>for 2018, latest freely available data on IEA</t>
  </si>
  <si>
    <t>US Final energy use in 2018, from IEA (ktoe)</t>
  </si>
  <si>
    <t>BEA Table 2.1, accessed May 13 2021</t>
  </si>
  <si>
    <t>BEA Line</t>
  </si>
  <si>
    <t>Item Description</t>
  </si>
  <si>
    <t>Personal income</t>
  </si>
  <si>
    <t>Disposable personal income</t>
  </si>
  <si>
    <t>Personal savings out of disposable income</t>
  </si>
  <si>
    <t>27/1</t>
  </si>
  <si>
    <t>Multiply to generate disposable income from personal income</t>
  </si>
  <si>
    <t>34/27</t>
  </si>
  <si>
    <t>Multiply to generate personal savings out of personal disposable income</t>
  </si>
  <si>
    <t>https://apps.bea.gov/iTable/index_nipa.cfm</t>
  </si>
  <si>
    <t>IEA Headlines data download 13 May 2021 from https://www.iea.org/reports/world-energy-balances-overview</t>
  </si>
  <si>
    <t>price of electricty taken as 12.87$cents/kWh, as average 2018 price for consumers</t>
  </si>
  <si>
    <t>US registered drivers</t>
  </si>
  <si>
    <t>US registered vehicles</t>
  </si>
  <si>
    <t>vhecile miles per driver</t>
  </si>
  <si>
    <t>Vehicles miles per vehicle</t>
  </si>
  <si>
    <t>Price of gasoline (US Units), 2018 average US price for consumers</t>
  </si>
  <si>
    <t>for 2018, in 2018 USD</t>
  </si>
  <si>
    <t xml:space="preserve">fraction of spend on original energy service </t>
  </si>
  <si>
    <t>READ ME SHEET</t>
  </si>
  <si>
    <t>A. Reproduction of external source data: terms of use</t>
  </si>
  <si>
    <t>Case study 1 - Car</t>
  </si>
  <si>
    <t>Case study 2 - LED lamp</t>
  </si>
  <si>
    <t>Case study 1 battery LCA data</t>
  </si>
  <si>
    <t xml:space="preserve">All data sourced and contained on these datasheets is in the public domain. </t>
  </si>
  <si>
    <t>Case study 1: New car.</t>
  </si>
  <si>
    <t>Case study 2: New Light Bulb</t>
  </si>
  <si>
    <t>Re_macro</t>
  </si>
  <si>
    <t xml:space="preserve"> -kRecap</t>
  </si>
  <si>
    <t>Redinc</t>
  </si>
  <si>
    <t>Reiinc</t>
  </si>
  <si>
    <t>kpEIE</t>
  </si>
  <si>
    <t>economy-wide rebound, Re_sum_3</t>
  </si>
  <si>
    <t>epilson_{q_s,p_s}</t>
  </si>
  <si>
    <t>Equation in main paper</t>
  </si>
  <si>
    <t>f_{C_o_s}</t>
  </si>
  <si>
    <t>Case study - car</t>
  </si>
  <si>
    <t>This contains the source data/references for the battery LCA energy assumed in the Hybrid car case study 1 (car) example</t>
  </si>
  <si>
    <t>macro multiplier, k</t>
  </si>
  <si>
    <t>Budget constraint check</t>
  </si>
  <si>
    <t>miles/USgallon</t>
  </si>
  <si>
    <t>$/USgallon</t>
  </si>
  <si>
    <t>Calculated Rebound (Re) values</t>
  </si>
  <si>
    <t>Tab no</t>
  </si>
  <si>
    <t>Tab name</t>
  </si>
  <si>
    <t>description of contents</t>
  </si>
  <si>
    <r>
      <t>2.</t>
    </r>
    <r>
      <rPr>
        <sz val="7"/>
        <color indexed="56"/>
        <rFont val="Times New Roman"/>
        <family val="1"/>
      </rPr>
      <t xml:space="preserve">       </t>
    </r>
    <r>
      <rPr>
        <sz val="11"/>
        <color indexed="56"/>
        <rFont val="Calibri"/>
        <family val="2"/>
      </rPr>
      <t>BEA NIPA Table 2.1</t>
    </r>
    <r>
      <rPr>
        <sz val="10.5"/>
        <color indexed="8"/>
        <rFont val="Segoe UI"/>
        <family val="2"/>
      </rPr>
      <t xml:space="preserve"> (</t>
    </r>
    <r>
      <rPr>
        <sz val="11"/>
        <color indexed="56"/>
        <rFont val="Calibri"/>
        <family val="2"/>
      </rPr>
      <t>National Income and Product Accounts - Bureau of Economic Analysis) </t>
    </r>
  </si>
  <si>
    <r>
      <t>3.</t>
    </r>
    <r>
      <rPr>
        <sz val="7"/>
        <color indexed="56"/>
        <rFont val="Times New Roman"/>
        <family val="1"/>
      </rPr>
      <t xml:space="preserve">       </t>
    </r>
    <r>
      <rPr>
        <sz val="11"/>
        <color indexed="56"/>
        <rFont val="Calibri"/>
        <family val="2"/>
      </rPr>
      <t>average US weekly fuel cost for 2018, = $2.63/gallon </t>
    </r>
  </si>
  <si>
    <r>
      <t>4.</t>
    </r>
    <r>
      <rPr>
        <sz val="7"/>
        <color indexed="56"/>
        <rFont val="Times New Roman"/>
        <family val="1"/>
      </rPr>
      <t xml:space="preserve">       </t>
    </r>
    <r>
      <rPr>
        <sz val="11"/>
        <color indexed="8"/>
        <rFont val="Calibri"/>
        <family val="2"/>
      </rPr>
      <t>US final energy use in 2018, from IEA Headlines data </t>
    </r>
  </si>
  <si>
    <r>
      <t>5.</t>
    </r>
    <r>
      <rPr>
        <sz val="7"/>
        <color indexed="8"/>
        <rFont val="Times New Roman"/>
        <family val="1"/>
      </rPr>
      <t xml:space="preserve">       </t>
    </r>
    <r>
      <rPr>
        <sz val="11"/>
        <color indexed="8"/>
        <rFont val="Calibri"/>
        <family val="2"/>
      </rPr>
      <t>Ktoe to MJ energy conversion factor from Table A.II.7, Annex 2, IPCC AR5, </t>
    </r>
  </si>
  <si>
    <r>
      <t>6.</t>
    </r>
    <r>
      <rPr>
        <sz val="7"/>
        <color indexed="56"/>
        <rFont val="Times New Roman"/>
        <family val="1"/>
      </rPr>
      <t xml:space="preserve">       </t>
    </r>
    <r>
      <rPr>
        <sz val="11"/>
        <color indexed="8"/>
        <rFont val="Calibri"/>
        <family val="2"/>
      </rPr>
      <t xml:space="preserve">US GDP, from BEA, NIPA, Table 1.1.5 </t>
    </r>
    <r>
      <rPr>
        <sz val="10.5"/>
        <color indexed="8"/>
        <rFont val="Segoe UI"/>
        <family val="2"/>
      </rPr>
      <t>(</t>
    </r>
    <r>
      <rPr>
        <sz val="11"/>
        <color indexed="56"/>
        <rFont val="Calibri"/>
        <family val="2"/>
      </rPr>
      <t>National Income and Product Accounts - Bureau of Economic Analysis) </t>
    </r>
  </si>
  <si>
    <r>
      <t>7.</t>
    </r>
    <r>
      <rPr>
        <sz val="7"/>
        <color indexed="8"/>
        <rFont val="Times New Roman"/>
        <family val="1"/>
      </rPr>
      <t xml:space="preserve">       </t>
    </r>
    <r>
      <rPr>
        <sz val="11"/>
        <color indexed="8"/>
        <rFont val="Calibri"/>
        <family val="2"/>
      </rPr>
      <t>average miles driven for passenger car in US </t>
    </r>
  </si>
  <si>
    <r>
      <t>8.</t>
    </r>
    <r>
      <rPr>
        <sz val="7"/>
        <color indexed="8"/>
        <rFont val="Times New Roman"/>
        <family val="1"/>
      </rPr>
      <t xml:space="preserve">       </t>
    </r>
    <r>
      <rPr>
        <sz val="11"/>
        <color indexed="8"/>
        <rFont val="Calibri"/>
        <family val="2"/>
      </rPr>
      <t>LCA energy use for mid-size car  </t>
    </r>
  </si>
  <si>
    <r>
      <t>9.</t>
    </r>
    <r>
      <rPr>
        <sz val="7"/>
        <color indexed="8"/>
        <rFont val="Times New Roman"/>
        <family val="1"/>
      </rPr>
      <t xml:space="preserve">       </t>
    </r>
    <r>
      <rPr>
        <sz val="11"/>
        <color indexed="8"/>
        <rFont val="Calibri"/>
        <family val="2"/>
      </rPr>
      <t>average vehicle lifespan                             </t>
    </r>
  </si>
  <si>
    <t>1. Real median personal income US, in 2018            </t>
  </si>
  <si>
    <t>Data source</t>
  </si>
  <si>
    <t>mpg (assumed)</t>
  </si>
  <si>
    <t>US Federal Reserve Bank of St Louis (2022). Available at https://fred.stlouisfed.org/series/MEPAINUSA672N          </t>
  </si>
  <si>
    <t>US Bureau of Economic Analysis  (2022). Available at https://apps.bea.gov/iTable/index_nipa.cfm</t>
  </si>
  <si>
    <t>Data set</t>
  </si>
  <si>
    <t>U.S. Energy Information Administration (Oct 2022) https://www.eia.gov/petroleum/gasdiesel/</t>
  </si>
  <si>
    <t>International Energy Agency (2021)  https://www.iea.org/reports/world-energy-balances-overview </t>
  </si>
  <si>
    <t>Intergovernmental Panel on Climate Change (IPCC) 2022 https://www.ipcc.ch/site/assets/uploads/2018/02/ipcc_wg3_ar5_annex-ii.pdf </t>
  </si>
  <si>
    <t>US Bureau of Transportation Studies (2022) https://www.bts.gov/content/us-passenger-miles </t>
  </si>
  <si>
    <t>US Federal Highways Agency (2022) https://www.fhwa.dot.gov/ohim/onh00/bar8.htm </t>
  </si>
  <si>
    <t xml:space="preserve">a.       34000MJ - from Argonne 2010 report </t>
  </si>
  <si>
    <t>Argonne National Laboratory (2022) https://greet.es.anl.gov/files/vehicle_and_components_manufacturing </t>
  </si>
  <si>
    <r>
      <t>b.</t>
    </r>
    <r>
      <rPr>
        <sz val="7"/>
        <color indexed="8"/>
        <rFont val="Times New Roman"/>
        <family val="1"/>
      </rPr>
      <t xml:space="preserve">       </t>
    </r>
    <r>
      <rPr>
        <sz val="11"/>
        <color indexed="8"/>
        <rFont val="Calibri"/>
        <family val="2"/>
      </rPr>
      <t>HEV batteries – taken as ~10% of LCA energy of vehicle manufacture from Onat et al (2015): </t>
    </r>
  </si>
  <si>
    <t>Onat et al (2015) available at https://www.sciencedirect.com/science/article/pii/S0306261915004407 </t>
  </si>
  <si>
    <t>a.       13-17 years       </t>
  </si>
  <si>
    <t>Berla Corporation (2022) https://berla.co/average-us-vehicle-lifespan/ </t>
  </si>
  <si>
    <t>U.S. Energy Information Administration (Oct 2022) https://www.eia.gov/electricity/data/state/avgprice_annual.xlsx </t>
  </si>
  <si>
    <t>US DoE Life-cycle assessment of energy and environmental impacts of LED lighting products, available at https://www1.eere.energy.gov/buildings/publications/pdfs/ssl/2012_LED_Lifecycle_Report.pdf </t>
  </si>
  <si>
    <t>Based on TCO for Massachusetts at Edmunds.com. Sum of insurance, maintenance, repairs, taxes &amp; fees (Excluding financing, depreciation, fuel)</t>
  </si>
  <si>
    <t>https://www.edmunds.com/ford/fusion/2019/cost-to-own/#style=401757616</t>
  </si>
  <si>
    <t>https://www.edmunds.com/ford/fusion-energi/2019/cost-to-own/</t>
  </si>
  <si>
    <t>10. Ford fusion car data</t>
  </si>
  <si>
    <r>
      <t>11.</t>
    </r>
    <r>
      <rPr>
        <sz val="7"/>
        <color indexed="8"/>
        <rFont val="Times New Roman"/>
        <family val="1"/>
      </rPr>
      <t xml:space="preserve">   </t>
    </r>
    <r>
      <rPr>
        <sz val="11"/>
        <color indexed="8"/>
        <rFont val="Calibri"/>
        <family val="2"/>
      </rPr>
      <t>Price of electricity (average consumer US price in 2018)  , taken as 12.87$cents/kWh, as average 2018 price for consumers </t>
    </r>
  </si>
  <si>
    <t>Edmunds.com’s True Cost to Own® (TCO®) data sourced from www.edmunds.com.  Edmunds.com has not reviewed or participated in the preparation of this case study.</t>
  </si>
  <si>
    <t xml:space="preserve">Ford fusion purchase cost, operation and maintenance costs for a. ford fusion 2020 titanium FWD 2.0L engine and b. ford fusion 2020 hybrid 2.0L engine
</t>
  </si>
  <si>
    <t>Data sources: a. https://www.edmunds.com/ford/fusion/2020/cost-to-own/#style=401757616  b. https://www.edmunds.com/ford/fusion-hybrid/2020/cost-to-own/</t>
  </si>
  <si>
    <r>
      <t>12.</t>
    </r>
    <r>
      <rPr>
        <sz val="7"/>
        <color indexed="8"/>
        <rFont val="Times New Roman"/>
        <family val="1"/>
      </rPr>
      <t xml:space="preserve">   </t>
    </r>
    <r>
      <rPr>
        <sz val="11"/>
        <color indexed="8"/>
        <rFont val="Calibri"/>
        <family val="2"/>
      </rPr>
      <t xml:space="preserve">LED light/lamp, manufacturing phase (embodied energy) data    </t>
    </r>
  </si>
  <si>
    <t>Redsub</t>
  </si>
  <si>
    <t>Reisub</t>
  </si>
  <si>
    <r>
      <t>Re</t>
    </r>
    <r>
      <rPr>
        <vertAlign val="subscript"/>
        <sz val="11"/>
        <color indexed="8"/>
        <rFont val="Calibri (Body)"/>
      </rPr>
      <t>macro</t>
    </r>
  </si>
  <si>
    <t>This file contains the following calculation data sheets for the rebound case study examples used in the journal submission to The Energy Journal titled: 
Energy, expenditure, and consumption aspects of rebound: 
Part I: A rigorous analytical framework, and 
Part II: Applications of the framework”
The calculations are also performed using R code, and these excel-based calculations were developed in parallel, to check that the R-based calculations are correct.</t>
  </si>
  <si>
    <r>
      <t>·</t>
    </r>
    <r>
      <rPr>
        <sz val="7"/>
        <color rgb="FF1F497D"/>
        <rFont val="Times New Roman"/>
        <family val="1"/>
      </rPr>
      <t xml:space="preserve">         </t>
    </r>
    <r>
      <rPr>
        <sz val="11"/>
        <color rgb="FF1F497D"/>
        <rFont val="Calibri"/>
        <family val="2"/>
      </rPr>
      <t>Vehicle life: most studies take 150,000-180,000km, and say that this equates to one battery. So they don’t allow for battery replacement. One study suggested that even if a second battery is required later, that the EV battery is improving so quickly that its not much additional energy for the 2</t>
    </r>
    <r>
      <rPr>
        <vertAlign val="superscript"/>
        <sz val="11"/>
        <color rgb="FF1F497D"/>
        <rFont val="Calibri"/>
        <family val="2"/>
      </rPr>
      <t>nd</t>
    </r>
    <r>
      <rPr>
        <sz val="11"/>
        <color rgb="FF1F497D"/>
        <rFont val="Calibri"/>
        <family val="2"/>
      </rPr>
      <t xml:space="preserve"> battery</t>
    </r>
  </si>
  <si>
    <r>
      <t>·</t>
    </r>
    <r>
      <rPr>
        <sz val="7"/>
        <color rgb="FF1F497D"/>
        <rFont val="Times New Roman"/>
        <family val="1"/>
      </rPr>
      <t xml:space="preserve">         </t>
    </r>
    <r>
      <rPr>
        <sz val="11"/>
        <color rgb="FF1F497D"/>
        <rFont val="Calibri"/>
        <family val="2"/>
      </rPr>
      <t xml:space="preserve">Energy for the battery: around 10-20% of energy for the vehicle. Our (non plug-in hybrid) car is only 1.4kWh battery size. Full EVs start at around 30kWh in size, with a Tesla up to 100kWh. So in our car, the battery is v small. For the largest EVs, the battery energy seems to be similar 100% of the vehicle manufacture, i.e. double the energy needed to make the car. But for our baby battery, we can take a lower number </t>
    </r>
  </si>
  <si>
    <r>
      <t>·</t>
    </r>
    <r>
      <rPr>
        <sz val="7"/>
        <color rgb="FF1F497D"/>
        <rFont val="Times New Roman"/>
        <family val="1"/>
      </rPr>
      <t xml:space="preserve">         </t>
    </r>
    <r>
      <rPr>
        <sz val="11"/>
        <color rgb="FF1F497D"/>
        <rFont val="Calibri"/>
        <family val="2"/>
      </rPr>
      <t xml:space="preserve">Hawkins TR, Singh B, Majeau-Bettez G, Strømman AH. Comparative Environmental Life Cycle Assessment of Conventional and Electric Vehicles. J Ind Ecol. 2013;17(1):53–64. </t>
    </r>
  </si>
  <si>
    <r>
      <t>·</t>
    </r>
    <r>
      <rPr>
        <sz val="7"/>
        <color rgb="FF1F497D"/>
        <rFont val="Times New Roman"/>
        <family val="1"/>
      </rPr>
      <t xml:space="preserve">         </t>
    </r>
    <r>
      <rPr>
        <sz val="11"/>
        <color rgb="FF1F497D"/>
        <rFont val="Calibri"/>
        <family val="2"/>
      </rPr>
      <t xml:space="preserve">Nordelöf A, Messagie M, Tillman AM, Ljunggren Söderman M, Van Mierlo J. Environmental impacts of hybrid, plug-in hybrid, and battery electric vehicles—what can we learn from life cycle assessment? Int J Life Cycle Assess. 2014;19(11):1866–90. </t>
    </r>
  </si>
  <si>
    <r>
      <t>·</t>
    </r>
    <r>
      <rPr>
        <sz val="7"/>
        <color rgb="FF1F497D"/>
        <rFont val="Times New Roman"/>
        <family val="1"/>
      </rPr>
      <t xml:space="preserve">         </t>
    </r>
    <r>
      <rPr>
        <sz val="11"/>
        <color rgb="FF1F497D"/>
        <rFont val="Calibri"/>
        <family val="2"/>
      </rPr>
      <t xml:space="preserve">Ellingsen LAW, Majeau-Bettez G, Singh B, Srivastava AK, Valøen LO, Strømman AH. Life Cycle Assessment of a Lithium-Ion Battery Vehicle Pack. J Ind Ecol. 2014;18(1):113–24. </t>
    </r>
  </si>
  <si>
    <r>
      <t>·</t>
    </r>
    <r>
      <rPr>
        <sz val="7"/>
        <color rgb="FF1F497D"/>
        <rFont val="Times New Roman"/>
        <family val="1"/>
      </rPr>
      <t xml:space="preserve">         </t>
    </r>
    <r>
      <rPr>
        <sz val="11"/>
        <color rgb="FF1F497D"/>
        <rFont val="Calibri"/>
        <family val="2"/>
      </rPr>
      <t xml:space="preserve">Onat NC, Kucukvar M, Tatari O. Conventional, hybrid, plug-in hybrid or electric vehicles? State-based comparative carbon and energy footprint analysis in the United States. Appl Energy. 2015;150:36–49. </t>
    </r>
  </si>
  <si>
    <r>
      <t>·</t>
    </r>
    <r>
      <rPr>
        <sz val="7"/>
        <color rgb="FF1F497D"/>
        <rFont val="Times New Roman"/>
        <family val="1"/>
      </rPr>
      <t xml:space="preserve">         </t>
    </r>
    <r>
      <rPr>
        <sz val="11"/>
        <color rgb="FF1F497D"/>
        <rFont val="Calibri"/>
        <family val="2"/>
      </rPr>
      <t xml:space="preserve">Ellingsen LAW, Singh B, Strømman AH. The size and range effect: Lifecycle greenhouse gas emissions of electric vehicles. Environ Res Lett. 2016;11(5). </t>
    </r>
  </si>
  <si>
    <r>
      <t>·</t>
    </r>
    <r>
      <rPr>
        <sz val="7"/>
        <color rgb="FF1F497D"/>
        <rFont val="Times New Roman"/>
        <family val="1"/>
      </rPr>
      <t xml:space="preserve">         </t>
    </r>
    <r>
      <rPr>
        <sz val="11"/>
        <color rgb="FF1F497D"/>
        <rFont val="Calibri"/>
        <family val="2"/>
      </rPr>
      <t>Cox B, Mutel CL, Bauer C, Mendoza Beltran A, Van Vuuren DP. Uncertain Environmental Footprint of Current and Future Battery Electric Vehicles. Environ Sci Technol. 2018;52(8):4989–95.</t>
    </r>
  </si>
  <si>
    <r>
      <t>1.</t>
    </r>
    <r>
      <rPr>
        <sz val="7"/>
        <color rgb="FF1F497D"/>
        <rFont val="Times New Roman"/>
        <family val="1"/>
      </rPr>
      <t xml:space="preserve">       </t>
    </r>
    <r>
      <rPr>
        <u/>
        <sz val="11"/>
        <color rgb="FF1F497D"/>
        <rFont val="Calibri"/>
        <family val="2"/>
      </rPr>
      <t>Size of batteries</t>
    </r>
  </si>
  <si>
    <r>
      <t>·</t>
    </r>
    <r>
      <rPr>
        <sz val="7"/>
        <color rgb="FF1F497D"/>
        <rFont val="Times New Roman"/>
        <family val="1"/>
      </rPr>
      <t xml:space="preserve">         </t>
    </r>
    <r>
      <rPr>
        <u/>
        <sz val="11"/>
        <color rgb="FF1F497D"/>
        <rFont val="Calibri"/>
        <family val="2"/>
      </rPr>
      <t>Onat et al 2015:</t>
    </r>
    <r>
      <rPr>
        <sz val="11"/>
        <color rgb="FF1F497D"/>
        <rFont val="Calibri"/>
        <family val="2"/>
      </rPr>
      <t xml:space="preserve"> </t>
    </r>
    <r>
      <rPr>
        <b/>
        <sz val="11"/>
        <color rgb="FF1F497D"/>
        <rFont val="Calibri"/>
        <family val="2"/>
      </rPr>
      <t>In this analysis, the battery lifetimes are assumed to be same as the vehicle lifetimes,</t>
    </r>
    <r>
      <rPr>
        <sz val="11"/>
        <color rgb="FF1F497D"/>
        <rFont val="Calibri"/>
        <family val="2"/>
      </rPr>
      <t xml:space="preserve"> meaning that it is assumed that the batteries are never replaced during the vehicles’ operation phase. If the battery is replaced in the future, the impacts from battery production may not necessarily be doubled because the battery industry is improving rapidly</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</si>
  <si>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Another important use phase parameter for EVs is battery longevity. Studies assessing the environmental impacts of Li-ion batteries have assumed total driving distances between 150 000 km and 200 000 km (Notter et al 2010,Zackrisson et al 2010, United States Environ- mental Protection Agency 2013,Li et al 2014). Battery warranties for different EV models range from 100 000 km within the first five years to unlimited km within the first eight years (The Norwegian Consumer Council 2014). As the car manufacturers themselves set the warranties, a reasonable assumption is that these warranties represent theminimumofwhat canbe expec- ted from the battery packs. In addition, some vehicle manufacturers suggest that vehicle batteries can be used for energy storage during and after vehicle life (Car- ranza 2013).</t>
    </r>
    <r>
      <rPr>
        <b/>
        <sz val="11"/>
        <color rgb="FF1F497D"/>
        <rFont val="Calibri"/>
        <family val="2"/>
      </rPr>
      <t>Therefore,we deem the assumption of a total driving distance of180 000 km to be reasonable.</t>
    </r>
  </si>
  <si>
    <r>
      <t>·</t>
    </r>
    <r>
      <rPr>
        <sz val="7"/>
        <color rgb="FF1F497D"/>
        <rFont val="Times New Roman"/>
        <family val="1"/>
      </rPr>
      <t xml:space="preserve">         </t>
    </r>
    <r>
      <rPr>
        <sz val="11"/>
        <color rgb="FF1F497D"/>
        <rFont val="Calibri"/>
        <family val="2"/>
      </rPr>
      <t>A wide range of values, from 20-75% of the energy used to make the cars</t>
    </r>
  </si>
  <si>
    <r>
      <t>·</t>
    </r>
    <r>
      <rPr>
        <sz val="7"/>
        <color rgb="FF1F497D"/>
        <rFont val="Times New Roman"/>
        <family val="1"/>
      </rPr>
      <t xml:space="preserve">         </t>
    </r>
    <r>
      <rPr>
        <sz val="11"/>
        <color rgb="FF1F497D"/>
        <rFont val="Calibri"/>
        <family val="2"/>
      </rPr>
      <t>Note: most of the studies focus on full EVs, with larger batteries than our example</t>
    </r>
  </si>
  <si>
    <r>
      <t>·</t>
    </r>
    <r>
      <rPr>
        <sz val="7"/>
        <color rgb="FF1F497D"/>
        <rFont val="Times New Roman"/>
        <family val="1"/>
      </rPr>
      <t xml:space="preserve">         </t>
    </r>
    <r>
      <rPr>
        <sz val="11"/>
        <color rgb="FF1F497D"/>
        <rFont val="Calibri"/>
        <family val="2"/>
      </rPr>
      <t>For our example, our battery is only 1.4kWh in size, vs 30kWh+ for a full EV</t>
    </r>
  </si>
  <si>
    <r>
      <t>·</t>
    </r>
    <r>
      <rPr>
        <sz val="7"/>
        <color rgb="FF1F497D"/>
        <rFont val="Times New Roman"/>
        <family val="1"/>
      </rPr>
      <t xml:space="preserve">         </t>
    </r>
    <r>
      <rPr>
        <sz val="11"/>
        <color rgb="FF1F497D"/>
        <rFont val="Calibri"/>
        <family val="2"/>
      </rPr>
      <t xml:space="preserve">Ellingsen 2013 finds the energy for the battery is related to the battery size, 2500MJ/kWh, for our example 1.4kWQh battery this is ~ 3,500MJ, about 10% fo the energy for car manufacture. </t>
    </r>
  </si>
  <si>
    <r>
      <t>·</t>
    </r>
    <r>
      <rPr>
        <sz val="7"/>
        <color rgb="FF1F497D"/>
        <rFont val="Times New Roman"/>
        <family val="1"/>
      </rPr>
      <t xml:space="preserve">         </t>
    </r>
    <r>
      <rPr>
        <sz val="11"/>
        <color rgb="FF1F497D"/>
        <rFont val="Calibri"/>
        <family val="2"/>
      </rPr>
      <t>So a lower value seems reasonable, say to take 10-20% of the vehicle energy use for battery manufactu4re for our example.</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</si>
  <si>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t>
    </r>
    <r>
      <rPr>
        <b/>
        <sz val="11"/>
        <color rgb="FF1F497D"/>
        <rFont val="Calibri"/>
        <family val="2"/>
      </rPr>
      <t>~50% energy use)</t>
    </r>
  </si>
  <si>
    <r>
      <t>·</t>
    </r>
    <r>
      <rPr>
        <sz val="7"/>
        <color rgb="FF1F4E79"/>
        <rFont val="Times New Roman"/>
        <family val="1"/>
      </rPr>
      <t xml:space="preserve">         </t>
    </r>
    <r>
      <rPr>
        <u/>
        <sz val="11"/>
        <color rgb="FF1F4E79"/>
        <rFont val="Calibri"/>
        <family val="2"/>
      </rPr>
      <t>Nordelöf et al 2014:</t>
    </r>
    <r>
      <rPr>
        <sz val="11"/>
        <color rgb="FF1F4E79"/>
        <rFont val="Calibri"/>
        <family val="2"/>
      </rPr>
      <t xml:space="preserve"> +25% of energy use. Battery is ~26,000MJ vs 94,000MJ for the car manufacture</t>
    </r>
  </si>
  <si>
    <r>
      <t>·</t>
    </r>
    <r>
      <rPr>
        <sz val="7"/>
        <color rgb="FF1F497D"/>
        <rFont val="Times New Roman"/>
        <family val="1"/>
      </rPr>
      <t xml:space="preserve">         </t>
    </r>
    <r>
      <rPr>
        <u/>
        <sz val="11"/>
        <color rgb="FF1F497D"/>
        <rFont val="Calibri"/>
        <family val="2"/>
      </rPr>
      <t>Cox et al 2018</t>
    </r>
    <r>
      <rPr>
        <sz val="11"/>
        <color rgb="FF1F497D"/>
        <rFont val="Calibri"/>
        <family val="2"/>
      </rPr>
      <t>: (</t>
    </r>
    <r>
      <rPr>
        <b/>
        <sz val="11"/>
        <color rgb="FF1F497D"/>
        <rFont val="Calibri"/>
        <family val="2"/>
      </rPr>
      <t>full EV +75% energy use)</t>
    </r>
    <r>
      <rPr>
        <sz val="11"/>
        <color rgb="FF1F497D"/>
        <rFont val="Calibri"/>
        <family val="2"/>
      </rPr>
      <t xml:space="preserve"> </t>
    </r>
  </si>
  <si>
    <r>
      <t xml:space="preserve">Onat et al 2015: battery </t>
    </r>
    <r>
      <rPr>
        <b/>
        <sz val="11"/>
        <color rgb="FF1F497D"/>
        <rFont val="Calibri"/>
        <family val="2"/>
      </rPr>
      <t>~ 20% of car manufacture</t>
    </r>
    <r>
      <rPr>
        <sz val="11"/>
        <color rgb="FF1F497D"/>
        <rFont val="Calibri"/>
        <family val="2"/>
      </rPr>
      <t xml:space="preserve"> </t>
    </r>
  </si>
  <si>
    <r>
      <t>·</t>
    </r>
    <r>
      <rPr>
        <sz val="7"/>
        <color rgb="FF1F497D"/>
        <rFont val="Times New Roman"/>
        <family val="1"/>
      </rPr>
      <t xml:space="preserve">         </t>
    </r>
    <r>
      <rPr>
        <sz val="11"/>
        <color rgb="FF1F497D"/>
        <rFont val="Calibri"/>
        <family val="2"/>
      </rPr>
      <t>Tesla battery is 60-100kWh, so could be up to 200,000MJ</t>
    </r>
  </si>
  <si>
    <r>
      <t>·</t>
    </r>
    <r>
      <rPr>
        <sz val="7"/>
        <color rgb="FF1F497D"/>
        <rFont val="Times New Roman"/>
        <family val="1"/>
      </rPr>
      <t xml:space="preserve">         </t>
    </r>
    <r>
      <rPr>
        <sz val="11"/>
        <color rgb="FF1F497D"/>
        <rFont val="Calibri"/>
        <family val="2"/>
      </rPr>
      <t>The ford focus energy (full EV) is only 9kWh</t>
    </r>
  </si>
  <si>
    <r>
      <t>·</t>
    </r>
    <r>
      <rPr>
        <sz val="7"/>
        <color rgb="FF1F497D"/>
        <rFont val="Times New Roman"/>
        <family val="1"/>
      </rPr>
      <t xml:space="preserve">         </t>
    </r>
    <r>
      <rPr>
        <sz val="11"/>
        <color rgb="FF1F497D"/>
        <rFont val="Calibri"/>
        <family val="2"/>
      </rPr>
      <t>The ford focus hybrid (our example) is only 1.4kWh. which would make the energy for battery production = 3,500MJ. This would be around 10% of the ~35,000MJ assumed for vehicle production</t>
    </r>
  </si>
  <si>
    <t>Contains the data and calculations for the Car case study in the submitted The Energy Journal paper</t>
  </si>
  <si>
    <t>Contains the data and calculations for the electric lamp case study in the submitted The Energy Journal paper.</t>
  </si>
  <si>
    <t>(1 -k)*Re_OMd</t>
  </si>
  <si>
    <t>(1-k)Re_OMd</t>
  </si>
  <si>
    <t>Re_sum = Re_emb + Re_OMd + Re_dsub + Re_isub + Re_dinc + Re_iinc+ Re_macro</t>
  </si>
  <si>
    <t>Re_OMd</t>
  </si>
  <si>
    <r>
      <t>C</t>
    </r>
    <r>
      <rPr>
        <vertAlign val="superscript"/>
        <sz val="11"/>
        <color indexed="8"/>
        <rFont val="Calibri"/>
        <family val="2"/>
      </rPr>
      <t>o</t>
    </r>
    <r>
      <rPr>
        <sz val="11"/>
        <color indexed="8"/>
        <rFont val="Calibri"/>
        <family val="2"/>
      </rPr>
      <t>_OMd</t>
    </r>
  </si>
  <si>
    <t>C*_OMd</t>
  </si>
  <si>
    <t>Ops., Maint., and disposal expenditure rate</t>
  </si>
  <si>
    <t>Cdot*_omd</t>
  </si>
  <si>
    <t>%</t>
  </si>
  <si>
    <t>Operation, maintainance &amp; disposal expenditure rate</t>
  </si>
  <si>
    <t>operation and maintenance expenditure rate</t>
  </si>
  <si>
    <t>disposal costs expenditure rate</t>
  </si>
  <si>
    <t>t⁰_life</t>
  </si>
  <si>
    <t>t*_life</t>
  </si>
  <si>
    <t>real interest rate, r</t>
  </si>
  <si>
    <t>new device, Discounting variable phi, t = start year 1</t>
  </si>
  <si>
    <t>new device, Discounting variable phi, t = end of life year</t>
  </si>
  <si>
    <t>new device, Discounting variable gamma, t = start year 1</t>
  </si>
  <si>
    <t>new device, Discounting variable gamma, t = end of life year</t>
  </si>
  <si>
    <t xml:space="preserve">new device, Discounting variable R_alpha </t>
  </si>
  <si>
    <t>new device, Discounting variable R_omega</t>
  </si>
  <si>
    <t>Phi*_t1</t>
  </si>
  <si>
    <t>Phi*_t_life</t>
  </si>
  <si>
    <t>Gamma*_t1</t>
  </si>
  <si>
    <t>Gamma*_t_life</t>
  </si>
  <si>
    <t>R*_alpha</t>
  </si>
  <si>
    <t>R*_omega</t>
  </si>
  <si>
    <t>old device, Discounting variable phi, t = start year 1</t>
  </si>
  <si>
    <t>old device, Discounting variable phi, t = end of life year</t>
  </si>
  <si>
    <t>old device, Discounting variable gamma, t = start year 1</t>
  </si>
  <si>
    <t>old device, Discounting variable gamma, t = end of life year</t>
  </si>
  <si>
    <t xml:space="preserve">old device, Discounting variable R_alpha </t>
  </si>
  <si>
    <t>old device, Discounting variable R_omega</t>
  </si>
  <si>
    <t>Phi°_t1</t>
  </si>
  <si>
    <t>Phi°_t_life</t>
  </si>
  <si>
    <t>Gamma°_t1</t>
  </si>
  <si>
    <t>Gamma°_t_life</t>
  </si>
  <si>
    <t>R°_alpha</t>
  </si>
  <si>
    <t>R°_omega</t>
  </si>
  <si>
    <t>Cdot*_om</t>
  </si>
  <si>
    <t>Cdot*_d</t>
  </si>
  <si>
    <t>lifetime of new car</t>
  </si>
  <si>
    <t>lifetime of old car</t>
  </si>
  <si>
    <t>∆C_star_omd</t>
  </si>
  <si>
    <t>∆(R_alphaC_cap)_star</t>
  </si>
  <si>
    <t>Change in discounted capital expenditure rate (after emplacement)</t>
  </si>
  <si>
    <t>DeltaR_alpha_Cdot*_cap</t>
  </si>
  <si>
    <t>original uncompensated own price elasticity of demand</t>
  </si>
  <si>
    <r>
      <t>epilson</t>
    </r>
    <r>
      <rPr>
        <sz val="11"/>
        <color theme="1"/>
        <rFont val="Calibri"/>
        <family val="2"/>
      </rPr>
      <t>°</t>
    </r>
    <r>
      <rPr>
        <sz val="11"/>
        <color theme="1"/>
        <rFont val="Calibri"/>
        <family val="2"/>
        <scheme val="minor"/>
      </rPr>
      <t>_{q_s,p_s}</t>
    </r>
  </si>
  <si>
    <t>sigma + rho</t>
  </si>
  <si>
    <t>incandescent bulb - operation and maintenance costs</t>
  </si>
  <si>
    <t>incandescent bulb - disposal costs</t>
  </si>
  <si>
    <t>LED bulb - operation and maintenance costs</t>
  </si>
  <si>
    <t>LED bulb - disposal costs</t>
  </si>
  <si>
    <t>Elasticities + discounting terms</t>
  </si>
  <si>
    <t>lifetime of old device</t>
  </si>
  <si>
    <t>lifetime of new device</t>
  </si>
  <si>
    <t xml:space="preserve">Fusion Titanium 2.0L gasoline car - av. Yearly Disposal Costs </t>
  </si>
  <si>
    <t>Change in Op. maint &amp; disposal expenditure rate (after emplacement)</t>
  </si>
  <si>
    <t>$/Yr</t>
  </si>
  <si>
    <t>Re_omd</t>
  </si>
  <si>
    <r>
      <t>E</t>
    </r>
    <r>
      <rPr>
        <vertAlign val="superscript"/>
        <sz val="11"/>
        <rFont val="Calibri"/>
        <family val="2"/>
      </rPr>
      <t>o</t>
    </r>
    <r>
      <rPr>
        <sz val="11"/>
        <rFont val="Calibri"/>
        <family val="2"/>
      </rPr>
      <t>_dot_emb</t>
    </r>
  </si>
  <si>
    <r>
      <t>C</t>
    </r>
    <r>
      <rPr>
        <sz val="11"/>
        <rFont val="Calibri"/>
        <family val="2"/>
      </rPr>
      <t>°</t>
    </r>
    <r>
      <rPr>
        <sz val="11"/>
        <rFont val="Calibri"/>
        <family val="2"/>
        <scheme val="minor"/>
      </rPr>
      <t>dot_om</t>
    </r>
  </si>
  <si>
    <r>
      <t>C</t>
    </r>
    <r>
      <rPr>
        <sz val="11"/>
        <rFont val="Calibri"/>
        <family val="2"/>
      </rPr>
      <t>°</t>
    </r>
    <r>
      <rPr>
        <sz val="11"/>
        <rFont val="Calibri"/>
        <family val="2"/>
        <scheme val="minor"/>
      </rPr>
      <t>dot_d</t>
    </r>
  </si>
  <si>
    <r>
      <t>C</t>
    </r>
    <r>
      <rPr>
        <sz val="11"/>
        <rFont val="Calibri"/>
        <family val="2"/>
      </rPr>
      <t>°</t>
    </r>
    <r>
      <rPr>
        <sz val="11"/>
        <rFont val="Calibri"/>
        <family val="2"/>
        <scheme val="minor"/>
      </rPr>
      <t>dot_omd</t>
    </r>
  </si>
  <si>
    <t>Year 8</t>
  </si>
  <si>
    <t>Year 9</t>
  </si>
  <si>
    <t>Year 10</t>
  </si>
  <si>
    <t>Year 11</t>
  </si>
  <si>
    <t>Year 12</t>
  </si>
  <si>
    <t>Year 13</t>
  </si>
  <si>
    <t>Year 14</t>
  </si>
  <si>
    <t>https://www.researchgate.net/publication/308033461_SIMULATION_BASED_LIFE-CYCLE_ANALYSIS_OF_A_VEHICLE_FLEET</t>
  </si>
  <si>
    <r>
      <t xml:space="preserve">Djokic, I., Lazic, L., Pavlovic, A. and Avdic, A., 2015. Simulation based life-cycle analysis of a vehicle fleet. In </t>
    </r>
    <r>
      <rPr>
        <i/>
        <sz val="12"/>
        <color theme="1"/>
        <rFont val="Calibri"/>
        <family val="2"/>
        <scheme val="minor"/>
      </rPr>
      <t>Proceedings of the 2nd Logistics International Conference</t>
    </r>
    <r>
      <rPr>
        <sz val="12"/>
        <color theme="1"/>
        <rFont val="Calibri"/>
        <family val="2"/>
        <scheme val="minor"/>
      </rPr>
      <t xml:space="preserve"> (pp. 216-221).</t>
    </r>
  </si>
  <si>
    <t>Disposal costs</t>
  </si>
  <si>
    <t>https://www.junkcarmedics.com/prices/</t>
  </si>
  <si>
    <t>scrap value we could take as mid size, $300, so disposal cost would be -$300</t>
  </si>
  <si>
    <t>Assume dispolal costs in year 15 = -£300 for each car, based on mid/full size car costs from website link:</t>
  </si>
  <si>
    <t xml:space="preserve">Fusion Titanium 2.0L hybrid car - av yearly disposal costs </t>
  </si>
  <si>
    <t>average year 1-14</t>
  </si>
  <si>
    <t>Fusion Titanium 2.0L gasoline car - 14 year av. Op + maintance Costs</t>
  </si>
  <si>
    <t>Fusion Titanium 2.0L hybrid car - 14 year av. Op + maintance Costs</t>
  </si>
  <si>
    <r>
      <t>E</t>
    </r>
    <r>
      <rPr>
        <vertAlign val="superscript"/>
        <sz val="11"/>
        <rFont val="Calibri"/>
        <family val="2"/>
      </rPr>
      <t>o</t>
    </r>
    <r>
      <rPr>
        <sz val="11"/>
        <rFont val="Calibri"/>
        <family val="2"/>
      </rPr>
      <t>_emb</t>
    </r>
  </si>
  <si>
    <t>E⁰_emb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</si>
</sst>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
    <numFmt numFmtId="165" formatCode="0.0%"/>
    <numFmt numFmtId="166" formatCode="0.0"/>
    <numFmt numFmtId="167" formatCode="#,##0.0"/>
    <numFmt numFmtId="168" formatCode="#,##0.000"/>
    <numFmt numFmtId="169" formatCode="0.0000%"/>
    <numFmt numFmtId="170" formatCode="0.0000"/>
    <numFmt numFmtId="171" formatCode="#,##0.00000"/>
    <numFmt numFmtId="172" formatCode="0.0000000"/>
    <numFmt numFmtId="173" formatCode="#,##0.0000000"/>
    <numFmt numFmtId="174" formatCode="0.00000"/>
    <numFmt numFmtId="175" formatCode="_-[$$-409]* #,##0_ ;_-[$$-409]* \-#,##0\ ;_-[$$-409]* &quot;-&quot;_ ;_-@_ "/>
    <numFmt numFmtId="176" formatCode="#,##0.0000"/>
    <numFmt numFmtId="177" formatCode="0.000000"/>
    <numFmt numFmtId="178" formatCode="_-[$$-409]* #,##0.00_ ;_-[$$-409]* \-#,##0.00\ ;_-[$$-409]* &quot;-&quot;??_ ;_-@_ "/>
    <numFmt numFmtId="179" formatCode="[$$-409]#,##0.00"/>
    <numFmt numFmtId="180" formatCode="[$$-409]#,##0.0"/>
    <numFmt numFmtId="181" formatCode="_-[$$-409]* #,##0_ ;_-[$$-409]* \-#,##0\ ;_-[$$-409]* &quot;-&quot;??_ ;_-@_ "/>
    <numFmt numFmtId="182" formatCode="&quot;£&quot;#,##0.00"/>
    <numFmt numFmtId="184" formatCode="_-[$$-409]* #,##0.0_ ;_-[$$-409]* \-#,##0.0\ ;_-[$$-409]* &quot;-&quot;_ ;_-@_ "/>
  </numFmts>
  <fonts count="51">
    <font>
      <sz val="12"/>
      <color theme="1"/>
      <name val="Calibri"/>
      <family val="2"/>
      <scheme val="minor"/>
    </font>
    <font>
      <sz val="10"/>
      <color indexed="8"/>
      <name val="Tahoma"/>
      <family val="2"/>
    </font>
    <font>
      <b/>
      <sz val="10"/>
      <color indexed="8"/>
      <name val="Tahoma"/>
      <family val="2"/>
    </font>
    <font>
      <sz val="11"/>
      <color indexed="8"/>
      <name val="Calibri"/>
      <family val="2"/>
    </font>
    <font>
      <vertAlign val="subscript"/>
      <sz val="11"/>
      <color indexed="8"/>
      <name val="Calibri (Body)"/>
    </font>
    <font>
      <sz val="11"/>
      <color indexed="56"/>
      <name val="Calibri"/>
      <family val="2"/>
    </font>
    <font>
      <sz val="7"/>
      <color indexed="56"/>
      <name val="Times New Roman"/>
      <family val="1"/>
    </font>
    <font>
      <vertAlign val="superscript"/>
      <sz val="11"/>
      <color indexed="8"/>
      <name val="Calibri"/>
      <family val="2"/>
    </font>
    <font>
      <sz val="10.5"/>
      <color indexed="8"/>
      <name val="Segoe UI"/>
      <family val="2"/>
    </font>
    <font>
      <sz val="7"/>
      <color indexed="8"/>
      <name val="Times New Roman"/>
      <family val="1"/>
    </font>
    <font>
      <sz val="12"/>
      <color theme="1"/>
      <name val="Calibri"/>
      <family val="2"/>
      <scheme val="minor"/>
    </font>
    <font>
      <u/>
      <sz val="12"/>
      <color theme="10"/>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u/>
      <sz val="11"/>
      <color theme="1"/>
      <name val="Calibri (Body)"/>
    </font>
    <font>
      <sz val="11"/>
      <name val="Calibri"/>
      <family val="2"/>
      <scheme val="minor"/>
    </font>
    <font>
      <u/>
      <sz val="11"/>
      <color theme="1"/>
      <name val="Calibri"/>
      <family val="2"/>
      <scheme val="minor"/>
    </font>
    <font>
      <sz val="11"/>
      <color theme="1"/>
      <name val="Calibri"/>
      <family val="2"/>
      <charset val="2"/>
      <scheme val="minor"/>
    </font>
    <font>
      <sz val="11"/>
      <color rgb="FF1F497D"/>
      <name val="Calibri"/>
      <family val="2"/>
    </font>
    <font>
      <sz val="11"/>
      <color rgb="FF1F497D"/>
      <name val="Symbol"/>
      <family val="1"/>
      <charset val="2"/>
    </font>
    <font>
      <u/>
      <sz val="11"/>
      <color rgb="FF1F497D"/>
      <name val="Calibri"/>
      <family val="2"/>
    </font>
    <font>
      <strike/>
      <sz val="11"/>
      <color theme="1"/>
      <name val="Calibri"/>
      <family val="2"/>
      <scheme val="minor"/>
    </font>
    <font>
      <sz val="11"/>
      <color theme="1"/>
      <name val="Arial"/>
      <family val="2"/>
    </font>
    <font>
      <strike/>
      <sz val="11"/>
      <color theme="1"/>
      <name val="Calibri"/>
      <family val="2"/>
      <charset val="2"/>
      <scheme val="minor"/>
    </font>
    <font>
      <b/>
      <sz val="9"/>
      <color rgb="FF000000"/>
      <name val="Calibri"/>
      <family val="2"/>
      <scheme val="minor"/>
    </font>
    <font>
      <b/>
      <sz val="10"/>
      <color rgb="FF000000"/>
      <name val="Calibri"/>
      <family val="2"/>
      <scheme val="minor"/>
    </font>
    <font>
      <sz val="10"/>
      <color rgb="FF000000"/>
      <name val="Calibri"/>
      <family val="2"/>
      <scheme val="minor"/>
    </font>
    <font>
      <b/>
      <strike/>
      <sz val="11"/>
      <color theme="1"/>
      <name val="Calibri"/>
      <family val="2"/>
      <scheme val="minor"/>
    </font>
    <font>
      <u/>
      <sz val="11"/>
      <color theme="10"/>
      <name val="Calibri"/>
      <family val="2"/>
      <scheme val="minor"/>
    </font>
    <font>
      <sz val="11"/>
      <color rgb="FF1F497D"/>
      <name val="Calibri"/>
      <family val="2"/>
      <scheme val="minor"/>
    </font>
    <font>
      <sz val="11"/>
      <color rgb="FF000000"/>
      <name val="Calibri"/>
      <family val="2"/>
      <scheme val="minor"/>
    </font>
    <font>
      <sz val="11"/>
      <color rgb="FF1F4E79"/>
      <name val="Symbol"/>
      <family val="1"/>
      <charset val="2"/>
    </font>
    <font>
      <sz val="12"/>
      <color theme="1"/>
      <name val="Times New Roman"/>
      <family val="1"/>
    </font>
    <font>
      <sz val="7"/>
      <color rgb="FF1F497D"/>
      <name val="Times New Roman"/>
      <family val="1"/>
    </font>
    <font>
      <vertAlign val="superscript"/>
      <sz val="11"/>
      <color rgb="FF1F497D"/>
      <name val="Calibri"/>
      <family val="2"/>
    </font>
    <font>
      <b/>
      <sz val="11"/>
      <color rgb="FF1F497D"/>
      <name val="Calibri"/>
      <family val="2"/>
    </font>
    <font>
      <sz val="7"/>
      <color rgb="FF1F4E79"/>
      <name val="Times New Roman"/>
      <family val="1"/>
    </font>
    <font>
      <u/>
      <sz val="11"/>
      <color rgb="FF1F4E79"/>
      <name val="Calibri"/>
      <family val="2"/>
    </font>
    <font>
      <sz val="11"/>
      <color rgb="FF1F4E79"/>
      <name val="Calibri"/>
      <family val="2"/>
    </font>
    <font>
      <sz val="11"/>
      <color rgb="FFFF0000"/>
      <name val="Calibri"/>
      <family val="2"/>
      <scheme val="minor"/>
    </font>
    <font>
      <sz val="11"/>
      <color theme="1"/>
      <name val="Calibri"/>
      <family val="2"/>
    </font>
    <font>
      <sz val="12"/>
      <color rgb="FFFF0000"/>
      <name val="Calibri"/>
      <family val="2"/>
      <scheme val="minor"/>
    </font>
    <font>
      <i/>
      <sz val="11"/>
      <color rgb="FFFF0000"/>
      <name val="Calibri"/>
      <family val="2"/>
      <scheme val="minor"/>
    </font>
    <font>
      <b/>
      <sz val="11"/>
      <name val="Calibri"/>
      <family val="2"/>
      <scheme val="minor"/>
    </font>
    <font>
      <vertAlign val="superscript"/>
      <sz val="11"/>
      <name val="Calibri"/>
      <family val="2"/>
    </font>
    <font>
      <sz val="11"/>
      <name val="Calibri"/>
      <family val="2"/>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59999389629810485"/>
        <bgColor indexed="64"/>
      </patternFill>
    </fill>
  </fills>
  <borders count="25">
    <border>
      <left/>
      <right/>
      <top/>
      <bottom/>
      <diagonal/>
    </border>
    <border>
      <left/>
      <right/>
      <top style="medium">
        <color indexed="64"/>
      </top>
      <bottom style="thin">
        <color indexed="64"/>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11" fillId="0" borderId="0" applyNumberFormat="0" applyFill="0" applyBorder="0" applyAlignment="0" applyProtection="0"/>
    <xf numFmtId="9" fontId="10" fillId="0" borderId="0" applyFont="0" applyFill="0" applyBorder="0" applyAlignment="0" applyProtection="0"/>
  </cellStyleXfs>
  <cellXfs count="254">
    <xf numFmtId="0" fontId="0" fillId="0" borderId="0" xfId="0"/>
    <xf numFmtId="0" fontId="0" fillId="0" borderId="0" xfId="0" applyFill="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4" fillId="2" borderId="0" xfId="0" applyFont="1" applyFill="1"/>
    <xf numFmtId="0" fontId="15" fillId="0" borderId="0" xfId="0" applyFont="1"/>
    <xf numFmtId="0" fontId="15" fillId="0" borderId="0" xfId="0" applyFont="1" applyAlignment="1">
      <alignment horizontal="center"/>
    </xf>
    <xf numFmtId="0" fontId="16" fillId="0" borderId="0" xfId="0" applyFont="1"/>
    <xf numFmtId="0" fontId="14" fillId="0" borderId="0" xfId="0" applyFont="1" applyFill="1"/>
    <xf numFmtId="1" fontId="14" fillId="0" borderId="0" xfId="0" applyNumberFormat="1" applyFont="1"/>
    <xf numFmtId="164" fontId="14" fillId="0" borderId="0" xfId="0" applyNumberFormat="1" applyFont="1"/>
    <xf numFmtId="0" fontId="14" fillId="0" borderId="0" xfId="0" applyFont="1" applyFill="1" applyAlignment="1">
      <alignment horizontal="center"/>
    </xf>
    <xf numFmtId="2" fontId="14" fillId="0" borderId="0" xfId="0" applyNumberFormat="1" applyFont="1" applyFill="1"/>
    <xf numFmtId="0" fontId="16" fillId="0" borderId="0" xfId="0" applyFont="1" applyFill="1"/>
    <xf numFmtId="3" fontId="14" fillId="2" borderId="0" xfId="0" applyNumberFormat="1" applyFont="1" applyFill="1" applyAlignment="1">
      <alignment horizontal="right"/>
    </xf>
    <xf numFmtId="3" fontId="14" fillId="0" borderId="0" xfId="0" applyNumberFormat="1" applyFont="1" applyAlignment="1">
      <alignment horizontal="right"/>
    </xf>
    <xf numFmtId="3" fontId="14" fillId="2" borderId="0" xfId="0" applyNumberFormat="1" applyFont="1" applyFill="1"/>
    <xf numFmtId="2" fontId="14" fillId="0" borderId="0" xfId="0" applyNumberFormat="1" applyFont="1"/>
    <xf numFmtId="0" fontId="14" fillId="0" borderId="0" xfId="0" quotePrefix="1" applyFont="1"/>
    <xf numFmtId="2" fontId="14" fillId="2" borderId="0" xfId="0" applyNumberFormat="1" applyFont="1" applyFill="1"/>
    <xf numFmtId="3" fontId="14" fillId="0" borderId="0" xfId="0" applyNumberFormat="1" applyFont="1"/>
    <xf numFmtId="3" fontId="14" fillId="0" borderId="0" xfId="0" applyNumberFormat="1" applyFont="1" applyFill="1"/>
    <xf numFmtId="0" fontId="17" fillId="0" borderId="0" xfId="0" applyFont="1" applyAlignment="1">
      <alignment horizontal="center"/>
    </xf>
    <xf numFmtId="0" fontId="16" fillId="0" borderId="0" xfId="0" applyFont="1" applyAlignment="1">
      <alignment horizontal="left"/>
    </xf>
    <xf numFmtId="0" fontId="14" fillId="0" borderId="0" xfId="0" applyFont="1" applyAlignment="1">
      <alignment horizontal="left"/>
    </xf>
    <xf numFmtId="0" fontId="18" fillId="0" borderId="0" xfId="0" applyFont="1"/>
    <xf numFmtId="0" fontId="14" fillId="0" borderId="1" xfId="0" applyFont="1" applyBorder="1" applyAlignment="1"/>
    <xf numFmtId="0" fontId="14" fillId="0" borderId="1" xfId="0" applyFont="1" applyBorder="1" applyAlignment="1">
      <alignment horizontal="center"/>
    </xf>
    <xf numFmtId="0" fontId="14" fillId="0" borderId="0" xfId="0" applyFont="1" applyAlignment="1">
      <alignment horizontal="right"/>
    </xf>
    <xf numFmtId="164" fontId="14" fillId="0" borderId="0" xfId="0" applyNumberFormat="1" applyFont="1" applyAlignment="1">
      <alignment horizontal="center"/>
    </xf>
    <xf numFmtId="1" fontId="14" fillId="0" borderId="0" xfId="0" applyNumberFormat="1" applyFont="1" applyAlignment="1">
      <alignment horizontal="center"/>
    </xf>
    <xf numFmtId="3" fontId="14" fillId="0" borderId="0" xfId="0" applyNumberFormat="1" applyFont="1" applyAlignment="1">
      <alignment horizontal="center"/>
    </xf>
    <xf numFmtId="3" fontId="14" fillId="0" borderId="0" xfId="0" applyNumberFormat="1" applyFont="1" applyFill="1" applyAlignment="1">
      <alignment horizontal="center"/>
    </xf>
    <xf numFmtId="0" fontId="14" fillId="0" borderId="2" xfId="0" applyFont="1" applyBorder="1" applyAlignment="1">
      <alignment horizontal="right"/>
    </xf>
    <xf numFmtId="0" fontId="14" fillId="0" borderId="2" xfId="0" applyFont="1" applyBorder="1" applyAlignment="1">
      <alignment horizontal="center"/>
    </xf>
    <xf numFmtId="3" fontId="14" fillId="0" borderId="2" xfId="0" applyNumberFormat="1" applyFont="1" applyFill="1" applyBorder="1" applyAlignment="1">
      <alignment horizontal="center"/>
    </xf>
    <xf numFmtId="164" fontId="14" fillId="0" borderId="0" xfId="0" applyNumberFormat="1" applyFont="1" applyFill="1" applyAlignment="1">
      <alignment horizontal="center"/>
    </xf>
    <xf numFmtId="1" fontId="14" fillId="0" borderId="0" xfId="0" applyNumberFormat="1" applyFont="1" applyFill="1" applyAlignment="1">
      <alignment horizontal="center"/>
    </xf>
    <xf numFmtId="0" fontId="14" fillId="0" borderId="2" xfId="0" applyFont="1" applyFill="1" applyBorder="1" applyAlignment="1">
      <alignment horizontal="center"/>
    </xf>
    <xf numFmtId="0" fontId="14" fillId="3" borderId="0" xfId="0" applyFont="1" applyFill="1"/>
    <xf numFmtId="165" fontId="14" fillId="3" borderId="0" xfId="2" applyNumberFormat="1" applyFont="1" applyFill="1"/>
    <xf numFmtId="0" fontId="16" fillId="0" borderId="0" xfId="0" applyFont="1" applyAlignment="1">
      <alignment horizontal="right"/>
    </xf>
    <xf numFmtId="0" fontId="16" fillId="0" borderId="0" xfId="0" applyFont="1" applyAlignment="1">
      <alignment horizontal="center"/>
    </xf>
    <xf numFmtId="165" fontId="14" fillId="0" borderId="0" xfId="2" applyNumberFormat="1" applyFont="1" applyFill="1"/>
    <xf numFmtId="9" fontId="14" fillId="0" borderId="0" xfId="2" applyFont="1" applyAlignment="1">
      <alignment horizontal="center"/>
    </xf>
    <xf numFmtId="0" fontId="14" fillId="0" borderId="1" xfId="0" applyFont="1" applyBorder="1"/>
    <xf numFmtId="165" fontId="14" fillId="0" borderId="0" xfId="0" applyNumberFormat="1" applyFont="1" applyAlignment="1">
      <alignment horizontal="center"/>
    </xf>
    <xf numFmtId="165" fontId="14" fillId="0" borderId="0" xfId="0" applyNumberFormat="1" applyFont="1"/>
    <xf numFmtId="165" fontId="14" fillId="0" borderId="0" xfId="2" applyNumberFormat="1" applyFont="1"/>
    <xf numFmtId="0" fontId="19" fillId="0" borderId="0" xfId="0" applyFont="1"/>
    <xf numFmtId="166" fontId="14" fillId="0" borderId="0" xfId="0" applyNumberFormat="1" applyFont="1"/>
    <xf numFmtId="166" fontId="14" fillId="2" borderId="0" xfId="0" applyNumberFormat="1" applyFont="1" applyFill="1" applyAlignment="1">
      <alignment horizontal="right"/>
    </xf>
    <xf numFmtId="1" fontId="14" fillId="2" borderId="0" xfId="0" applyNumberFormat="1" applyFont="1" applyFill="1"/>
    <xf numFmtId="167" fontId="14" fillId="2" borderId="0" xfId="0" applyNumberFormat="1" applyFont="1" applyFill="1"/>
    <xf numFmtId="165" fontId="14" fillId="0" borderId="2" xfId="0" applyNumberFormat="1" applyFont="1" applyBorder="1" applyAlignment="1">
      <alignment horizontal="center"/>
    </xf>
    <xf numFmtId="0" fontId="14" fillId="0" borderId="0" xfId="0" quotePrefix="1" applyFont="1" applyAlignment="1">
      <alignment horizontal="left"/>
    </xf>
    <xf numFmtId="169" fontId="14" fillId="0" borderId="0" xfId="0" applyNumberFormat="1" applyFont="1" applyFill="1" applyAlignment="1">
      <alignment horizontal="center"/>
    </xf>
    <xf numFmtId="165" fontId="14" fillId="0" borderId="0" xfId="0" applyNumberFormat="1" applyFont="1" applyFill="1"/>
    <xf numFmtId="2" fontId="14" fillId="0" borderId="0" xfId="0" applyNumberFormat="1" applyFont="1" applyAlignment="1">
      <alignment horizontal="center"/>
    </xf>
    <xf numFmtId="9" fontId="14" fillId="0" borderId="0" xfId="2" applyFont="1" applyFill="1"/>
    <xf numFmtId="170" fontId="14" fillId="0" borderId="0" xfId="0" applyNumberFormat="1" applyFont="1" applyFill="1"/>
    <xf numFmtId="0" fontId="14" fillId="0" borderId="0" xfId="0" quotePrefix="1" applyFont="1" applyFill="1"/>
    <xf numFmtId="165" fontId="14" fillId="0" borderId="0" xfId="0" applyNumberFormat="1" applyFont="1" applyBorder="1"/>
    <xf numFmtId="0" fontId="20" fillId="0" borderId="0" xfId="0" applyFont="1"/>
    <xf numFmtId="0" fontId="14" fillId="0" borderId="0" xfId="0" applyNumberFormat="1" applyFont="1" applyFill="1"/>
    <xf numFmtId="10" fontId="14" fillId="0" borderId="0" xfId="0" applyNumberFormat="1" applyFont="1" applyFill="1"/>
    <xf numFmtId="0" fontId="21" fillId="0" borderId="0" xfId="0" applyFont="1" applyFill="1" applyAlignment="1">
      <alignment horizontal="center"/>
    </xf>
    <xf numFmtId="0" fontId="17" fillId="0" borderId="0" xfId="0" applyFont="1" applyFill="1"/>
    <xf numFmtId="0" fontId="14" fillId="0" borderId="0" xfId="0" applyFont="1" applyFill="1" applyAlignment="1">
      <alignment horizontal="left"/>
    </xf>
    <xf numFmtId="4" fontId="14" fillId="0" borderId="0" xfId="0" applyNumberFormat="1" applyFont="1" applyFill="1"/>
    <xf numFmtId="0" fontId="14" fillId="0" borderId="0" xfId="0" applyNumberFormat="1" applyFont="1"/>
    <xf numFmtId="170" fontId="14" fillId="0" borderId="0" xfId="0" applyNumberFormat="1" applyFont="1"/>
    <xf numFmtId="167" fontId="14" fillId="0" borderId="0" xfId="0" applyNumberFormat="1" applyFont="1" applyFill="1"/>
    <xf numFmtId="166" fontId="14" fillId="2" borderId="0" xfId="0" applyNumberFormat="1" applyFont="1" applyFill="1"/>
    <xf numFmtId="4" fontId="14" fillId="2" borderId="0" xfId="0" applyNumberFormat="1" applyFont="1" applyFill="1"/>
    <xf numFmtId="170" fontId="14" fillId="2" borderId="0" xfId="0" applyNumberFormat="1" applyFont="1" applyFill="1"/>
    <xf numFmtId="173" fontId="14" fillId="0" borderId="0" xfId="0" applyNumberFormat="1" applyFont="1" applyFill="1" applyAlignment="1">
      <alignment horizontal="center"/>
    </xf>
    <xf numFmtId="3" fontId="14" fillId="4" borderId="0" xfId="0" applyNumberFormat="1" applyFont="1" applyFill="1"/>
    <xf numFmtId="0" fontId="14" fillId="4" borderId="0" xfId="0" applyFont="1" applyFill="1"/>
    <xf numFmtId="0" fontId="11" fillId="0" borderId="0" xfId="1"/>
    <xf numFmtId="0" fontId="22" fillId="0" borderId="0" xfId="0" applyFont="1" applyAlignment="1">
      <alignment vertical="center"/>
    </xf>
    <xf numFmtId="0" fontId="23" fillId="0" borderId="0" xfId="0" applyFont="1" applyAlignment="1">
      <alignment horizontal="left" vertical="center" indent="4"/>
    </xf>
    <xf numFmtId="0" fontId="24" fillId="0" borderId="0" xfId="0" applyFont="1" applyAlignment="1">
      <alignment vertical="center"/>
    </xf>
    <xf numFmtId="0" fontId="22" fillId="0" borderId="0" xfId="0" applyFont="1" applyAlignment="1">
      <alignment horizontal="left" vertical="center" indent="4"/>
    </xf>
    <xf numFmtId="0" fontId="0" fillId="2" borderId="0" xfId="0" applyFill="1"/>
    <xf numFmtId="166" fontId="14" fillId="0" borderId="0" xfId="0" applyNumberFormat="1" applyFont="1" applyFill="1"/>
    <xf numFmtId="172" fontId="14" fillId="0" borderId="0" xfId="0" applyNumberFormat="1" applyFont="1" applyFill="1"/>
    <xf numFmtId="0" fontId="16" fillId="0" borderId="0" xfId="0" applyFont="1" applyAlignment="1">
      <alignment wrapText="1"/>
    </xf>
    <xf numFmtId="0" fontId="14" fillId="0" borderId="0" xfId="0" applyFont="1" applyFill="1" applyAlignment="1">
      <alignment horizontal="right"/>
    </xf>
    <xf numFmtId="1" fontId="14" fillId="0" borderId="0" xfId="0" applyNumberFormat="1" applyFont="1" applyFill="1"/>
    <xf numFmtId="175" fontId="14" fillId="0" borderId="0" xfId="0" applyNumberFormat="1" applyFont="1"/>
    <xf numFmtId="175" fontId="16" fillId="0" borderId="0" xfId="0" applyNumberFormat="1" applyFont="1"/>
    <xf numFmtId="167" fontId="14" fillId="0" borderId="0" xfId="0" applyNumberFormat="1" applyFont="1" applyAlignment="1">
      <alignment horizontal="center"/>
    </xf>
    <xf numFmtId="167" fontId="14" fillId="0" borderId="0" xfId="0" applyNumberFormat="1" applyFont="1" applyFill="1" applyAlignment="1">
      <alignment horizontal="center"/>
    </xf>
    <xf numFmtId="167" fontId="14" fillId="0" borderId="2" xfId="0" applyNumberFormat="1" applyFont="1" applyFill="1" applyBorder="1" applyAlignment="1">
      <alignment horizontal="center"/>
    </xf>
    <xf numFmtId="167" fontId="14" fillId="0" borderId="2" xfId="0" applyNumberFormat="1" applyFont="1" applyBorder="1" applyAlignment="1">
      <alignment horizontal="center"/>
    </xf>
    <xf numFmtId="0" fontId="25" fillId="0" borderId="0" xfId="0" applyFont="1" applyFill="1"/>
    <xf numFmtId="177" fontId="14" fillId="0" borderId="0" xfId="0" applyNumberFormat="1" applyFont="1" applyAlignment="1">
      <alignment horizontal="center"/>
    </xf>
    <xf numFmtId="172" fontId="14" fillId="0" borderId="0" xfId="0" applyNumberFormat="1" applyFont="1" applyAlignment="1">
      <alignment horizontal="center"/>
    </xf>
    <xf numFmtId="166" fontId="14" fillId="0" borderId="0" xfId="0" applyNumberFormat="1" applyFont="1" applyAlignment="1">
      <alignment horizontal="center"/>
    </xf>
    <xf numFmtId="176" fontId="14" fillId="0" borderId="0" xfId="0" applyNumberFormat="1" applyFont="1" applyAlignment="1">
      <alignment horizontal="center"/>
    </xf>
    <xf numFmtId="174" fontId="14" fillId="0" borderId="0" xfId="0" applyNumberFormat="1" applyFont="1" applyFill="1"/>
    <xf numFmtId="164" fontId="0" fillId="0" borderId="0" xfId="0" applyNumberFormat="1" applyFill="1"/>
    <xf numFmtId="0" fontId="25" fillId="0" borderId="0" xfId="0" applyFont="1" applyFill="1" applyAlignment="1">
      <alignment horizontal="center"/>
    </xf>
    <xf numFmtId="0" fontId="27" fillId="0" borderId="0" xfId="0" applyFont="1" applyFill="1" applyAlignment="1">
      <alignment horizontal="center"/>
    </xf>
    <xf numFmtId="0" fontId="14" fillId="0" borderId="3" xfId="0" applyFont="1" applyBorder="1"/>
    <xf numFmtId="175" fontId="14" fillId="2" borderId="0" xfId="0" applyNumberFormat="1" applyFont="1" applyFill="1"/>
    <xf numFmtId="3" fontId="14" fillId="0" borderId="0" xfId="0" applyNumberFormat="1" applyFont="1" applyFill="1" applyAlignment="1">
      <alignment horizontal="right"/>
    </xf>
    <xf numFmtId="177" fontId="14" fillId="0" borderId="0" xfId="0" applyNumberFormat="1" applyFont="1" applyFill="1"/>
    <xf numFmtId="168" fontId="14" fillId="0" borderId="0" xfId="0" applyNumberFormat="1" applyFont="1" applyFill="1" applyAlignment="1">
      <alignment horizontal="center"/>
    </xf>
    <xf numFmtId="178" fontId="14" fillId="0" borderId="0" xfId="0" applyNumberFormat="1" applyFont="1"/>
    <xf numFmtId="178" fontId="14" fillId="0" borderId="0" xfId="0" applyNumberFormat="1" applyFont="1" applyAlignment="1">
      <alignment horizontal="center"/>
    </xf>
    <xf numFmtId="178" fontId="16" fillId="0" borderId="0" xfId="0" applyNumberFormat="1" applyFont="1"/>
    <xf numFmtId="178" fontId="14" fillId="0" borderId="0" xfId="0" applyNumberFormat="1" applyFont="1" applyAlignment="1">
      <alignment horizontal="right"/>
    </xf>
    <xf numFmtId="178" fontId="16" fillId="0" borderId="0" xfId="0" applyNumberFormat="1" applyFont="1" applyAlignment="1">
      <alignment horizontal="right"/>
    </xf>
    <xf numFmtId="0" fontId="28" fillId="0" borderId="4" xfId="0" applyFont="1" applyBorder="1" applyAlignment="1">
      <alignment vertical="center"/>
    </xf>
    <xf numFmtId="0" fontId="29" fillId="0" borderId="5" xfId="0" applyFont="1" applyBorder="1" applyAlignment="1">
      <alignment vertical="center"/>
    </xf>
    <xf numFmtId="0" fontId="29" fillId="0" borderId="6" xfId="0" applyFont="1" applyBorder="1" applyAlignment="1">
      <alignment horizontal="right" vertical="center"/>
    </xf>
    <xf numFmtId="0" fontId="29" fillId="0" borderId="6" xfId="0" applyFont="1" applyBorder="1" applyAlignment="1">
      <alignment horizontal="right" vertical="center" wrapText="1"/>
    </xf>
    <xf numFmtId="0" fontId="30" fillId="0" borderId="5" xfId="0" applyFont="1" applyBorder="1" applyAlignment="1">
      <alignment vertical="center"/>
    </xf>
    <xf numFmtId="10" fontId="30" fillId="0" borderId="7" xfId="0" applyNumberFormat="1" applyFont="1" applyBorder="1" applyAlignment="1">
      <alignment horizontal="right" vertical="center"/>
    </xf>
    <xf numFmtId="10" fontId="30" fillId="0" borderId="7" xfId="0" applyNumberFormat="1" applyFont="1" applyBorder="1" applyAlignment="1">
      <alignment horizontal="right" vertical="center" wrapText="1"/>
    </xf>
    <xf numFmtId="0" fontId="30" fillId="3" borderId="5" xfId="0" applyFont="1" applyFill="1" applyBorder="1" applyAlignment="1">
      <alignment vertical="center"/>
    </xf>
    <xf numFmtId="10" fontId="30" fillId="3" borderId="7" xfId="0" applyNumberFormat="1" applyFont="1" applyFill="1" applyBorder="1" applyAlignment="1">
      <alignment horizontal="right" vertical="center"/>
    </xf>
    <xf numFmtId="10" fontId="30" fillId="3" borderId="7" xfId="0" applyNumberFormat="1" applyFont="1" applyFill="1" applyBorder="1" applyAlignment="1">
      <alignment horizontal="right" vertical="center" wrapText="1"/>
    </xf>
    <xf numFmtId="10" fontId="14" fillId="3" borderId="0" xfId="2" applyNumberFormat="1" applyFont="1" applyFill="1"/>
    <xf numFmtId="165" fontId="14" fillId="3" borderId="0" xfId="0" applyNumberFormat="1" applyFont="1" applyFill="1" applyAlignment="1">
      <alignment horizontal="center"/>
    </xf>
    <xf numFmtId="179" fontId="14" fillId="0" borderId="0" xfId="0" applyNumberFormat="1" applyFont="1"/>
    <xf numFmtId="179" fontId="14" fillId="0" borderId="0" xfId="0" applyNumberFormat="1" applyFont="1" applyAlignment="1">
      <alignment horizontal="center"/>
    </xf>
    <xf numFmtId="179" fontId="16" fillId="0" borderId="0" xfId="0" applyNumberFormat="1" applyFont="1"/>
    <xf numFmtId="164" fontId="16" fillId="0" borderId="0" xfId="0" applyNumberFormat="1" applyFont="1"/>
    <xf numFmtId="0" fontId="26" fillId="0" borderId="0" xfId="0" applyFont="1" applyAlignment="1">
      <alignment horizontal="center"/>
    </xf>
    <xf numFmtId="0" fontId="25" fillId="0" borderId="0" xfId="0" applyFont="1"/>
    <xf numFmtId="175" fontId="31" fillId="0" borderId="0" xfId="0" applyNumberFormat="1" applyFont="1"/>
    <xf numFmtId="175" fontId="25" fillId="0" borderId="0" xfId="0" applyNumberFormat="1" applyFont="1"/>
    <xf numFmtId="10" fontId="14" fillId="0" borderId="0" xfId="0" applyNumberFormat="1" applyFont="1" applyFill="1" applyAlignment="1">
      <alignment horizontal="center"/>
    </xf>
    <xf numFmtId="0" fontId="11" fillId="0" borderId="0" xfId="1" applyFill="1"/>
    <xf numFmtId="174" fontId="14" fillId="2" borderId="0" xfId="0" applyNumberFormat="1" applyFont="1" applyFill="1"/>
    <xf numFmtId="0" fontId="14" fillId="0" borderId="8" xfId="0" applyFont="1" applyFill="1" applyBorder="1"/>
    <xf numFmtId="3" fontId="16" fillId="0" borderId="0" xfId="0" applyNumberFormat="1" applyFont="1"/>
    <xf numFmtId="171" fontId="14" fillId="0" borderId="0" xfId="0" applyNumberFormat="1" applyFont="1"/>
    <xf numFmtId="4" fontId="14" fillId="0" borderId="0" xfId="0" applyNumberFormat="1" applyFont="1" applyAlignment="1">
      <alignment horizontal="center"/>
    </xf>
    <xf numFmtId="177" fontId="19" fillId="0" borderId="0" xfId="0" applyNumberFormat="1" applyFont="1" applyFill="1"/>
    <xf numFmtId="0" fontId="32" fillId="0" borderId="0" xfId="1" applyFont="1"/>
    <xf numFmtId="0" fontId="14" fillId="0" borderId="9" xfId="0" applyFont="1" applyBorder="1"/>
    <xf numFmtId="0" fontId="14" fillId="0" borderId="10" xfId="0" applyFont="1" applyBorder="1"/>
    <xf numFmtId="0" fontId="14" fillId="0" borderId="11" xfId="0" applyFont="1" applyBorder="1"/>
    <xf numFmtId="0" fontId="14" fillId="0" borderId="12" xfId="0" applyFont="1" applyBorder="1"/>
    <xf numFmtId="0" fontId="14" fillId="0" borderId="0" xfId="0" applyFont="1" applyBorder="1"/>
    <xf numFmtId="0" fontId="14" fillId="0" borderId="8" xfId="0" applyFont="1" applyBorder="1"/>
    <xf numFmtId="0" fontId="14" fillId="0" borderId="12" xfId="0" applyFont="1" applyBorder="1" applyAlignment="1">
      <alignment horizontal="right"/>
    </xf>
    <xf numFmtId="174" fontId="14" fillId="2" borderId="8" xfId="0" applyNumberFormat="1" applyFont="1" applyFill="1" applyBorder="1"/>
    <xf numFmtId="0" fontId="14" fillId="0" borderId="13" xfId="0" applyFont="1" applyBorder="1" applyAlignment="1">
      <alignment horizontal="right"/>
    </xf>
    <xf numFmtId="0" fontId="14" fillId="0" borderId="2" xfId="0" applyFont="1" applyBorder="1"/>
    <xf numFmtId="174" fontId="14" fillId="2" borderId="7" xfId="0" applyNumberFormat="1" applyFont="1" applyFill="1" applyBorder="1"/>
    <xf numFmtId="0" fontId="14" fillId="0" borderId="0" xfId="0" applyFont="1" applyAlignment="1">
      <alignment vertical="top" wrapText="1"/>
    </xf>
    <xf numFmtId="0" fontId="14" fillId="0" borderId="14" xfId="0" applyFont="1" applyBorder="1" applyAlignment="1">
      <alignment vertical="top" wrapText="1"/>
    </xf>
    <xf numFmtId="180" fontId="14" fillId="0" borderId="8" xfId="0" applyNumberFormat="1" applyFont="1" applyFill="1" applyBorder="1"/>
    <xf numFmtId="0" fontId="14" fillId="0" borderId="10" xfId="0" applyFont="1" applyBorder="1" applyAlignment="1">
      <alignment horizontal="center"/>
    </xf>
    <xf numFmtId="0" fontId="14" fillId="0" borderId="0" xfId="0" applyFont="1" applyBorder="1" applyAlignment="1">
      <alignment horizontal="center"/>
    </xf>
    <xf numFmtId="164" fontId="14" fillId="0" borderId="0" xfId="0" applyNumberFormat="1" applyFont="1" applyFill="1"/>
    <xf numFmtId="0" fontId="0" fillId="0" borderId="0" xfId="0" applyAlignment="1">
      <alignment horizontal="left"/>
    </xf>
    <xf numFmtId="0" fontId="14" fillId="0" borderId="14" xfId="0" applyFont="1" applyBorder="1" applyAlignment="1">
      <alignment horizontal="left"/>
    </xf>
    <xf numFmtId="0" fontId="14" fillId="0" borderId="14" xfId="0" applyFont="1" applyBorder="1" applyAlignment="1">
      <alignment horizontal="left" vertical="top"/>
    </xf>
    <xf numFmtId="0" fontId="33" fillId="0" borderId="15" xfId="0" applyFont="1" applyBorder="1" applyAlignment="1">
      <alignment horizontal="left" vertical="center"/>
    </xf>
    <xf numFmtId="0" fontId="11" fillId="0" borderId="15" xfId="1" applyBorder="1" applyAlignment="1">
      <alignment horizontal="left" vertical="center"/>
    </xf>
    <xf numFmtId="0" fontId="0" fillId="0" borderId="15" xfId="0" applyBorder="1" applyAlignment="1">
      <alignment horizontal="left" vertical="center"/>
    </xf>
    <xf numFmtId="0" fontId="0" fillId="0" borderId="15" xfId="0" applyBorder="1" applyAlignment="1">
      <alignment horizontal="left"/>
    </xf>
    <xf numFmtId="0" fontId="34" fillId="0" borderId="15" xfId="0" applyFont="1" applyBorder="1" applyAlignment="1">
      <alignment horizontal="left" vertical="center"/>
    </xf>
    <xf numFmtId="0" fontId="0" fillId="0" borderId="16" xfId="0" applyBorder="1"/>
    <xf numFmtId="0" fontId="0" fillId="0" borderId="17" xfId="0" applyBorder="1"/>
    <xf numFmtId="0" fontId="0" fillId="0" borderId="0" xfId="0" applyBorder="1" applyAlignment="1">
      <alignment horizontal="left"/>
    </xf>
    <xf numFmtId="0" fontId="0" fillId="0" borderId="0" xfId="0" applyBorder="1"/>
    <xf numFmtId="0" fontId="0" fillId="0" borderId="0" xfId="0" applyBorder="1" applyAlignment="1">
      <alignment horizontal="left" vertical="center"/>
    </xf>
    <xf numFmtId="0" fontId="11" fillId="0" borderId="0" xfId="1" applyBorder="1"/>
    <xf numFmtId="0" fontId="0" fillId="0" borderId="18" xfId="0" applyBorder="1" applyAlignment="1">
      <alignment horizontal="left"/>
    </xf>
    <xf numFmtId="0" fontId="0" fillId="0" borderId="19" xfId="0" applyBorder="1"/>
    <xf numFmtId="0" fontId="0" fillId="0" borderId="20" xfId="0" applyBorder="1"/>
    <xf numFmtId="0" fontId="14" fillId="0" borderId="0" xfId="0" applyFont="1" applyAlignment="1">
      <alignment wrapText="1"/>
    </xf>
    <xf numFmtId="0" fontId="0" fillId="0" borderId="14"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0" xfId="0" applyAlignment="1">
      <alignment wrapText="1"/>
    </xf>
    <xf numFmtId="0" fontId="0" fillId="0" borderId="15" xfId="0" applyBorder="1" applyAlignment="1">
      <alignment horizontal="left" vertical="center" wrapText="1"/>
    </xf>
    <xf numFmtId="0" fontId="0" fillId="0" borderId="0" xfId="0" applyBorder="1" applyAlignment="1">
      <alignment wrapText="1"/>
    </xf>
    <xf numFmtId="0" fontId="0" fillId="0" borderId="15" xfId="0" applyBorder="1" applyAlignment="1">
      <alignment horizontal="left" vertical="top" wrapText="1"/>
    </xf>
    <xf numFmtId="0" fontId="0" fillId="0" borderId="0" xfId="0" applyBorder="1" applyAlignment="1">
      <alignment horizontal="left" vertical="top" wrapText="1"/>
    </xf>
    <xf numFmtId="181" fontId="16" fillId="2" borderId="0" xfId="0" applyNumberFormat="1" applyFont="1" applyFill="1" applyAlignment="1">
      <alignment horizontal="right"/>
    </xf>
    <xf numFmtId="0" fontId="14" fillId="6" borderId="0" xfId="0" applyFont="1" applyFill="1"/>
    <xf numFmtId="0" fontId="14" fillId="6" borderId="0" xfId="0" applyFont="1" applyFill="1" applyAlignment="1">
      <alignment horizontal="left"/>
    </xf>
    <xf numFmtId="0" fontId="43" fillId="0" borderId="0" xfId="0" applyFont="1"/>
    <xf numFmtId="0" fontId="43" fillId="0" borderId="0" xfId="0" applyFont="1" applyAlignment="1">
      <alignment horizontal="center"/>
    </xf>
    <xf numFmtId="0" fontId="14" fillId="6" borderId="0" xfId="0" applyFont="1" applyFill="1" applyAlignment="1">
      <alignment horizontal="center"/>
    </xf>
    <xf numFmtId="9" fontId="14" fillId="0" borderId="0" xfId="2" applyFont="1"/>
    <xf numFmtId="10" fontId="14" fillId="0" borderId="0" xfId="2" applyNumberFormat="1" applyFont="1"/>
    <xf numFmtId="2" fontId="14" fillId="0" borderId="3" xfId="0" applyNumberFormat="1" applyFont="1" applyBorder="1"/>
    <xf numFmtId="0" fontId="45" fillId="0" borderId="0" xfId="0" applyFont="1"/>
    <xf numFmtId="0" fontId="46" fillId="0" borderId="0" xfId="0" applyFont="1" applyAlignment="1">
      <alignment horizontal="center"/>
    </xf>
    <xf numFmtId="0" fontId="19" fillId="0" borderId="0" xfId="0" applyFont="1" applyFill="1"/>
    <xf numFmtId="166" fontId="19" fillId="2" borderId="0" xfId="0" applyNumberFormat="1" applyFont="1" applyFill="1"/>
    <xf numFmtId="0" fontId="47" fillId="0" borderId="0" xfId="0" applyFont="1"/>
    <xf numFmtId="4" fontId="43" fillId="0" borderId="0" xfId="0" applyNumberFormat="1" applyFont="1" applyFill="1"/>
    <xf numFmtId="0" fontId="19" fillId="0" borderId="0" xfId="0" applyFont="1" applyAlignment="1">
      <alignment horizontal="right"/>
    </xf>
    <xf numFmtId="0" fontId="19" fillId="0" borderId="0" xfId="0" applyFont="1" applyAlignment="1">
      <alignment horizontal="center"/>
    </xf>
    <xf numFmtId="171" fontId="14" fillId="2" borderId="0" xfId="0" applyNumberFormat="1" applyFont="1" applyFill="1"/>
    <xf numFmtId="0" fontId="19" fillId="6" borderId="0" xfId="0" applyFont="1" applyFill="1"/>
    <xf numFmtId="167" fontId="19" fillId="0" borderId="0" xfId="0" applyNumberFormat="1" applyFont="1"/>
    <xf numFmtId="3" fontId="19" fillId="0" borderId="0" xfId="0" applyNumberFormat="1" applyFont="1" applyFill="1"/>
    <xf numFmtId="165" fontId="14" fillId="6" borderId="0" xfId="2" applyNumberFormat="1" applyFont="1" applyFill="1"/>
    <xf numFmtId="168" fontId="19" fillId="0" borderId="0" xfId="0" applyNumberFormat="1" applyFont="1" applyFill="1"/>
    <xf numFmtId="167" fontId="19" fillId="0" borderId="0" xfId="0" applyNumberFormat="1" applyFont="1" applyFill="1"/>
    <xf numFmtId="171" fontId="19" fillId="0" borderId="0" xfId="0" applyNumberFormat="1" applyFont="1" applyFill="1"/>
    <xf numFmtId="4" fontId="19" fillId="0" borderId="0" xfId="0" applyNumberFormat="1" applyFont="1"/>
    <xf numFmtId="171" fontId="19" fillId="0" borderId="0" xfId="0" applyNumberFormat="1" applyFont="1"/>
    <xf numFmtId="0" fontId="19" fillId="0" borderId="0" xfId="0" applyFont="1" applyFill="1" applyAlignment="1">
      <alignment horizontal="center"/>
    </xf>
    <xf numFmtId="0" fontId="19" fillId="6" borderId="0" xfId="0" applyFont="1" applyFill="1" applyAlignment="1">
      <alignment horizontal="center"/>
    </xf>
    <xf numFmtId="3" fontId="19" fillId="0" borderId="0" xfId="0" applyNumberFormat="1" applyFont="1"/>
    <xf numFmtId="0" fontId="19" fillId="0" borderId="0" xfId="0" applyFont="1" applyAlignment="1">
      <alignment horizontal="left"/>
    </xf>
    <xf numFmtId="0" fontId="47" fillId="0" borderId="0" xfId="0" applyFont="1" applyAlignment="1">
      <alignment horizontal="right"/>
    </xf>
    <xf numFmtId="0" fontId="47" fillId="0" borderId="0" xfId="0" applyFont="1" applyAlignment="1">
      <alignment horizontal="center"/>
    </xf>
    <xf numFmtId="0" fontId="19" fillId="0" borderId="0" xfId="0" quotePrefix="1" applyFont="1" applyAlignment="1">
      <alignment horizontal="left"/>
    </xf>
    <xf numFmtId="0" fontId="33" fillId="0" borderId="0" xfId="0" applyFont="1" applyAlignment="1">
      <alignment vertical="center"/>
    </xf>
    <xf numFmtId="0" fontId="11" fillId="0" borderId="0" xfId="1" applyAlignment="1">
      <alignment vertical="center"/>
    </xf>
    <xf numFmtId="182" fontId="14" fillId="0" borderId="0" xfId="0" applyNumberFormat="1" applyFont="1"/>
    <xf numFmtId="179" fontId="14" fillId="2" borderId="0" xfId="0" applyNumberFormat="1" applyFont="1" applyFill="1"/>
    <xf numFmtId="0" fontId="14" fillId="5" borderId="18" xfId="0" applyFont="1" applyFill="1" applyBorder="1" applyAlignment="1">
      <alignment horizontal="left"/>
    </xf>
    <xf numFmtId="0" fontId="14" fillId="5" borderId="20" xfId="0" applyFont="1" applyFill="1" applyBorder="1" applyAlignment="1">
      <alignment horizontal="left"/>
    </xf>
    <xf numFmtId="0" fontId="14" fillId="0" borderId="14" xfId="0" applyFont="1" applyBorder="1" applyAlignment="1">
      <alignment horizontal="left" vertical="top" wrapText="1"/>
    </xf>
    <xf numFmtId="0" fontId="11" fillId="0" borderId="23" xfId="1" applyBorder="1" applyAlignment="1">
      <alignment horizontal="left" vertical="center" wrapText="1"/>
    </xf>
    <xf numFmtId="0" fontId="11" fillId="0" borderId="3" xfId="1" applyBorder="1" applyAlignment="1">
      <alignment horizontal="left" vertical="center" wrapText="1"/>
    </xf>
    <xf numFmtId="0" fontId="34" fillId="0" borderId="15" xfId="0" applyFont="1" applyBorder="1" applyAlignment="1">
      <alignment horizontal="left" vertical="center" wrapText="1"/>
    </xf>
    <xf numFmtId="0" fontId="34" fillId="0" borderId="0" xfId="0" applyFont="1" applyBorder="1" applyAlignment="1">
      <alignment horizontal="left" vertical="center" wrapText="1"/>
    </xf>
    <xf numFmtId="0" fontId="34" fillId="0" borderId="15" xfId="0" applyFont="1" applyBorder="1" applyAlignment="1">
      <alignment horizontal="center" vertical="center" wrapText="1"/>
    </xf>
    <xf numFmtId="0" fontId="34" fillId="0" borderId="0" xfId="0" applyFont="1" applyBorder="1" applyAlignment="1">
      <alignment horizontal="center" vertical="center" wrapText="1"/>
    </xf>
    <xf numFmtId="0" fontId="33" fillId="0" borderId="15" xfId="0" applyFont="1" applyBorder="1" applyAlignment="1">
      <alignment horizontal="left" vertical="center" wrapText="1"/>
    </xf>
    <xf numFmtId="0" fontId="33" fillId="0" borderId="0" xfId="0" applyFont="1" applyBorder="1" applyAlignment="1">
      <alignment horizontal="left" vertical="center" wrapText="1"/>
    </xf>
    <xf numFmtId="0" fontId="11" fillId="0" borderId="15" xfId="1" applyBorder="1" applyAlignment="1">
      <alignment horizontal="left" vertical="center" wrapText="1"/>
    </xf>
    <xf numFmtId="0" fontId="11" fillId="0" borderId="0" xfId="1" applyBorder="1" applyAlignment="1">
      <alignment horizontal="left" vertical="center" wrapText="1"/>
    </xf>
    <xf numFmtId="0" fontId="0" fillId="0" borderId="15" xfId="0" applyBorder="1" applyAlignment="1">
      <alignment horizontal="left" vertical="top" wrapText="1"/>
    </xf>
    <xf numFmtId="0" fontId="0" fillId="0" borderId="0" xfId="0" applyBorder="1" applyAlignment="1">
      <alignment horizontal="left" vertical="top" wrapText="1"/>
    </xf>
    <xf numFmtId="0" fontId="14" fillId="0" borderId="0" xfId="0" applyFont="1" applyAlignment="1">
      <alignment horizontal="left" vertical="top" wrapText="1"/>
    </xf>
    <xf numFmtId="0" fontId="23" fillId="0" borderId="24" xfId="0" applyFont="1" applyBorder="1" applyAlignment="1">
      <alignment horizontal="left" vertical="center" wrapText="1" indent="4"/>
    </xf>
    <xf numFmtId="0" fontId="23" fillId="0" borderId="5" xfId="0" applyFont="1" applyBorder="1" applyAlignment="1">
      <alignment horizontal="left" vertical="center" wrapText="1" indent="4"/>
    </xf>
    <xf numFmtId="0" fontId="35" fillId="0" borderId="24" xfId="0" applyFont="1" applyBorder="1" applyAlignment="1">
      <alignment horizontal="left" vertical="center" wrapText="1" indent="4"/>
    </xf>
    <xf numFmtId="0" fontId="35" fillId="0" borderId="5" xfId="0" applyFont="1" applyBorder="1" applyAlignment="1">
      <alignment horizontal="left" vertical="center" wrapText="1" indent="4"/>
    </xf>
    <xf numFmtId="0" fontId="22" fillId="0" borderId="24" xfId="0" applyFont="1" applyBorder="1" applyAlignment="1">
      <alignment vertical="center" wrapText="1"/>
    </xf>
    <xf numFmtId="0" fontId="22" fillId="0" borderId="5" xfId="0" applyFont="1" applyBorder="1" applyAlignment="1">
      <alignment vertical="center" wrapText="1"/>
    </xf>
    <xf numFmtId="0" fontId="22" fillId="0" borderId="24" xfId="0" applyFont="1" applyBorder="1" applyAlignment="1">
      <alignment vertical="top" wrapText="1"/>
    </xf>
    <xf numFmtId="0" fontId="22" fillId="0" borderId="5" xfId="0" applyFont="1" applyBorder="1" applyAlignment="1">
      <alignment vertical="top" wrapText="1"/>
    </xf>
    <xf numFmtId="0" fontId="36" fillId="0" borderId="24" xfId="0" applyFont="1" applyBorder="1" applyAlignment="1">
      <alignment vertical="top" wrapText="1"/>
    </xf>
    <xf numFmtId="0" fontId="36" fillId="0" borderId="5" xfId="0" applyFont="1" applyBorder="1" applyAlignment="1">
      <alignment vertical="top" wrapText="1"/>
    </xf>
    <xf numFmtId="184" fontId="14" fillId="0" borderId="0" xfId="0" applyNumberFormat="1" applyFon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Rebound components - time varying calcs</a:t>
            </a:r>
          </a:p>
        </c:rich>
      </c:tx>
      <c:layout/>
      <c:overlay val="0"/>
      <c:spPr>
        <a:noFill/>
        <a:ln>
          <a:noFill/>
        </a:ln>
        <a:effectLst/>
      </c:spPr>
    </c:title>
    <c:autoTitleDeleted val="0"/>
    <c:plotArea>
      <c:layout/>
      <c:barChart>
        <c:barDir val="col"/>
        <c:grouping val="stacked"/>
        <c:varyColors val="0"/>
        <c:ser>
          <c:idx val="0"/>
          <c:order val="0"/>
          <c:tx>
            <c:strRef>
              <c:f>'1_Case study 1 - Car'!$A$512</c:f>
              <c:strCache>
                <c:ptCount val="1"/>
                <c:pt idx="0">
                  <c:v>Re_emb</c:v>
                </c:pt>
              </c:strCache>
            </c:strRef>
          </c:tx>
          <c:spPr>
            <a:solidFill>
              <a:schemeClr val="accent1"/>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Car'!$B$512:$G$512</c:f>
              <c:numCache>
                <c:formatCode>0.00%</c:formatCode>
                <c:ptCount val="6"/>
                <c:pt idx="0">
                  <c:v>1.4E-2</c:v>
                </c:pt>
                <c:pt idx="1">
                  <c:v>1.4E-2</c:v>
                </c:pt>
                <c:pt idx="2">
                  <c:v>1.4E-2</c:v>
                </c:pt>
                <c:pt idx="3">
                  <c:v>1.4E-2</c:v>
                </c:pt>
                <c:pt idx="4">
                  <c:v>1.4E-2</c:v>
                </c:pt>
                <c:pt idx="5">
                  <c:v>1.4E-2</c:v>
                </c:pt>
              </c:numCache>
            </c:numRef>
          </c:val>
          <c:extLst>
            <c:ext xmlns:c16="http://schemas.microsoft.com/office/drawing/2014/chart" uri="{C3380CC4-5D6E-409C-BE32-E72D297353CC}">
              <c16:uniqueId val="{00000000-8EEE-4AA4-B3CB-36FB2B0AFBC5}"/>
            </c:ext>
          </c:extLst>
        </c:ser>
        <c:ser>
          <c:idx val="1"/>
          <c:order val="1"/>
          <c:tx>
            <c:strRef>
              <c:f>'1_Case study 1 - Car'!$A$513</c:f>
              <c:strCache>
                <c:ptCount val="1"/>
                <c:pt idx="0">
                  <c:v>Re_md</c:v>
                </c:pt>
              </c:strCache>
            </c:strRef>
          </c:tx>
          <c:spPr>
            <a:solidFill>
              <a:schemeClr val="accent2"/>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Car'!$B$513:$G$513</c:f>
              <c:numCache>
                <c:formatCode>0.00%</c:formatCode>
                <c:ptCount val="6"/>
                <c:pt idx="0">
                  <c:v>-7.0000000000000001E-3</c:v>
                </c:pt>
                <c:pt idx="1">
                  <c:v>2.8000000000000001E-2</c:v>
                </c:pt>
                <c:pt idx="2">
                  <c:v>1.2999999999999999E-2</c:v>
                </c:pt>
                <c:pt idx="3">
                  <c:v>1.2E-2</c:v>
                </c:pt>
                <c:pt idx="4">
                  <c:v>-8.4000000000000005E-2</c:v>
                </c:pt>
                <c:pt idx="5">
                  <c:v>-4.0000000000000001E-3</c:v>
                </c:pt>
              </c:numCache>
            </c:numRef>
          </c:val>
          <c:extLst>
            <c:ext xmlns:c16="http://schemas.microsoft.com/office/drawing/2014/chart" uri="{C3380CC4-5D6E-409C-BE32-E72D297353CC}">
              <c16:uniqueId val="{00000001-8EEE-4AA4-B3CB-36FB2B0AFBC5}"/>
            </c:ext>
          </c:extLst>
        </c:ser>
        <c:ser>
          <c:idx val="2"/>
          <c:order val="2"/>
          <c:tx>
            <c:strRef>
              <c:f>'1_Case study 1 - Car'!$A$514</c:f>
              <c:strCache>
                <c:ptCount val="1"/>
                <c:pt idx="0">
                  <c:v>Re_dsub</c:v>
                </c:pt>
              </c:strCache>
            </c:strRef>
          </c:tx>
          <c:spPr>
            <a:solidFill>
              <a:schemeClr val="accent3"/>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Car'!$B$514:$G$514</c:f>
              <c:numCache>
                <c:formatCode>0.00%</c:formatCode>
                <c:ptCount val="6"/>
                <c:pt idx="0">
                  <c:v>0.06</c:v>
                </c:pt>
                <c:pt idx="1">
                  <c:v>0.06</c:v>
                </c:pt>
                <c:pt idx="2">
                  <c:v>0.06</c:v>
                </c:pt>
                <c:pt idx="3">
                  <c:v>0.06</c:v>
                </c:pt>
                <c:pt idx="4">
                  <c:v>0.06</c:v>
                </c:pt>
                <c:pt idx="5">
                  <c:v>0.06</c:v>
                </c:pt>
              </c:numCache>
            </c:numRef>
          </c:val>
          <c:extLst>
            <c:ext xmlns:c16="http://schemas.microsoft.com/office/drawing/2014/chart" uri="{C3380CC4-5D6E-409C-BE32-E72D297353CC}">
              <c16:uniqueId val="{00000002-8EEE-4AA4-B3CB-36FB2B0AFBC5}"/>
            </c:ext>
          </c:extLst>
        </c:ser>
        <c:ser>
          <c:idx val="3"/>
          <c:order val="3"/>
          <c:tx>
            <c:strRef>
              <c:f>'1_Case study 1 - Car'!$A$515</c:f>
              <c:strCache>
                <c:ptCount val="1"/>
                <c:pt idx="0">
                  <c:v>Re_isub</c:v>
                </c:pt>
              </c:strCache>
            </c:strRef>
          </c:tx>
          <c:spPr>
            <a:solidFill>
              <a:schemeClr val="accent4"/>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Car'!$B$515:$G$515</c:f>
              <c:numCache>
                <c:formatCode>0.00%</c:formatCode>
                <c:ptCount val="6"/>
                <c:pt idx="0">
                  <c:v>-2E-3</c:v>
                </c:pt>
                <c:pt idx="1">
                  <c:v>-2E-3</c:v>
                </c:pt>
                <c:pt idx="2">
                  <c:v>-2E-3</c:v>
                </c:pt>
                <c:pt idx="3">
                  <c:v>-2E-3</c:v>
                </c:pt>
                <c:pt idx="4">
                  <c:v>-2E-3</c:v>
                </c:pt>
                <c:pt idx="5">
                  <c:v>-2E-3</c:v>
                </c:pt>
              </c:numCache>
            </c:numRef>
          </c:val>
          <c:extLst>
            <c:ext xmlns:c16="http://schemas.microsoft.com/office/drawing/2014/chart" uri="{C3380CC4-5D6E-409C-BE32-E72D297353CC}">
              <c16:uniqueId val="{00000003-8EEE-4AA4-B3CB-36FB2B0AFBC5}"/>
            </c:ext>
          </c:extLst>
        </c:ser>
        <c:ser>
          <c:idx val="4"/>
          <c:order val="4"/>
          <c:tx>
            <c:strRef>
              <c:f>'1_Case study 1 - Car'!$A$516</c:f>
              <c:strCache>
                <c:ptCount val="1"/>
                <c:pt idx="0">
                  <c:v>Re_dinc</c:v>
                </c:pt>
              </c:strCache>
            </c:strRef>
          </c:tx>
          <c:spPr>
            <a:solidFill>
              <a:schemeClr val="accent5"/>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Car'!$B$516:$G$516</c:f>
              <c:numCache>
                <c:formatCode>0.00%</c:formatCode>
                <c:ptCount val="6"/>
                <c:pt idx="0">
                  <c:v>1.9E-2</c:v>
                </c:pt>
                <c:pt idx="1">
                  <c:v>3.0000000000000001E-3</c:v>
                </c:pt>
                <c:pt idx="2">
                  <c:v>0.01</c:v>
                </c:pt>
                <c:pt idx="3">
                  <c:v>0.01</c:v>
                </c:pt>
                <c:pt idx="4">
                  <c:v>5.7000000000000002E-2</c:v>
                </c:pt>
                <c:pt idx="5">
                  <c:v>1.7999999999999999E-2</c:v>
                </c:pt>
              </c:numCache>
            </c:numRef>
          </c:val>
          <c:extLst>
            <c:ext xmlns:c16="http://schemas.microsoft.com/office/drawing/2014/chart" uri="{C3380CC4-5D6E-409C-BE32-E72D297353CC}">
              <c16:uniqueId val="{00000004-8EEE-4AA4-B3CB-36FB2B0AFBC5}"/>
            </c:ext>
          </c:extLst>
        </c:ser>
        <c:ser>
          <c:idx val="5"/>
          <c:order val="5"/>
          <c:tx>
            <c:strRef>
              <c:f>'1_Case study 1 - Car'!$A$517</c:f>
              <c:strCache>
                <c:ptCount val="1"/>
                <c:pt idx="0">
                  <c:v>Re_iinc</c:v>
                </c:pt>
              </c:strCache>
            </c:strRef>
          </c:tx>
          <c:spPr>
            <a:solidFill>
              <a:schemeClr val="accent6"/>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Car'!$B$517:$G$517</c:f>
              <c:numCache>
                <c:formatCode>0.00%</c:formatCode>
                <c:ptCount val="6"/>
                <c:pt idx="0">
                  <c:v>3.9E-2</c:v>
                </c:pt>
                <c:pt idx="1">
                  <c:v>5.0000000000000001E-3</c:v>
                </c:pt>
                <c:pt idx="2">
                  <c:v>1.9E-2</c:v>
                </c:pt>
                <c:pt idx="3">
                  <c:v>2.1000000000000001E-2</c:v>
                </c:pt>
                <c:pt idx="4">
                  <c:v>0.113</c:v>
                </c:pt>
                <c:pt idx="5">
                  <c:v>3.5999999999999997E-2</c:v>
                </c:pt>
              </c:numCache>
            </c:numRef>
          </c:val>
          <c:extLst>
            <c:ext xmlns:c16="http://schemas.microsoft.com/office/drawing/2014/chart" uri="{C3380CC4-5D6E-409C-BE32-E72D297353CC}">
              <c16:uniqueId val="{00000005-8EEE-4AA4-B3CB-36FB2B0AFBC5}"/>
            </c:ext>
          </c:extLst>
        </c:ser>
        <c:ser>
          <c:idx val="6"/>
          <c:order val="6"/>
          <c:tx>
            <c:strRef>
              <c:f>'1_Case study 1 - Car'!$A$518</c:f>
              <c:strCache>
                <c:ptCount val="1"/>
                <c:pt idx="0">
                  <c:v>Re_prod</c:v>
                </c:pt>
              </c:strCache>
            </c:strRef>
          </c:tx>
          <c:spPr>
            <a:solidFill>
              <a:schemeClr val="accent1">
                <a:lumMod val="60000"/>
              </a:schemeClr>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Car'!$B$518:$G$518</c:f>
              <c:numCache>
                <c:formatCode>0.00%</c:formatCode>
                <c:ptCount val="6"/>
                <c:pt idx="0">
                  <c:v>0.04</c:v>
                </c:pt>
                <c:pt idx="1">
                  <c:v>5.0000000000000001E-3</c:v>
                </c:pt>
                <c:pt idx="2">
                  <c:v>0.02</c:v>
                </c:pt>
                <c:pt idx="3">
                  <c:v>2.1000000000000001E-2</c:v>
                </c:pt>
                <c:pt idx="4">
                  <c:v>0.11600000000000001</c:v>
                </c:pt>
                <c:pt idx="5">
                  <c:v>3.6999999999999998E-2</c:v>
                </c:pt>
              </c:numCache>
            </c:numRef>
          </c:val>
          <c:extLst>
            <c:ext xmlns:c16="http://schemas.microsoft.com/office/drawing/2014/chart" uri="{C3380CC4-5D6E-409C-BE32-E72D297353CC}">
              <c16:uniqueId val="{00000006-8EEE-4AA4-B3CB-36FB2B0AFBC5}"/>
            </c:ext>
          </c:extLst>
        </c:ser>
        <c:dLbls>
          <c:showLegendKey val="0"/>
          <c:showVal val="0"/>
          <c:showCatName val="0"/>
          <c:showSerName val="0"/>
          <c:showPercent val="0"/>
          <c:showBubbleSize val="0"/>
        </c:dLbls>
        <c:gapWidth val="219"/>
        <c:overlap val="100"/>
        <c:axId val="362810504"/>
        <c:axId val="1"/>
      </c:barChart>
      <c:catAx>
        <c:axId val="36281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2810504"/>
        <c:crosses val="autoZero"/>
        <c:crossBetween val="between"/>
      </c:valAx>
      <c:spPr>
        <a:noFill/>
        <a:ln w="25400">
          <a:noFill/>
        </a:ln>
      </c:spPr>
    </c:plotArea>
    <c:legend>
      <c:legendPos val="b"/>
      <c:layout>
        <c:manualLayout>
          <c:xMode val="edge"/>
          <c:yMode val="edge"/>
          <c:x val="8.6821836878992364E-2"/>
          <c:y val="0.90607734806629836"/>
          <c:w val="0.82635784029469517"/>
          <c:h val="7.1823204419889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annual car O+M costs following Dokic et al 2015: yr</a:t>
            </a:r>
            <a:r>
              <a:rPr lang="en-GB" sz="1200" baseline="0"/>
              <a:t> 14 costs ~ 6x costs in yr 3</a:t>
            </a:r>
            <a:endParaRPr lang="en-GB"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'1_Case study 1 - Car'!$A$501</c:f>
              <c:strCache>
                <c:ptCount val="1"/>
                <c:pt idx="0">
                  <c:v>Hybrid Fusion</c:v>
                </c:pt>
              </c:strCache>
            </c:strRef>
          </c:tx>
          <c:spPr>
            <a:ln w="28575" cap="rnd">
              <a:solidFill>
                <a:schemeClr val="accent1"/>
              </a:solidFill>
              <a:round/>
            </a:ln>
            <a:effectLst/>
          </c:spPr>
          <c:marker>
            <c:symbol val="none"/>
          </c:marker>
          <c:cat>
            <c:strRef>
              <c:f>'1_Case study 1 - Car'!$C$501:$Q$501</c:f>
              <c:strCache>
                <c:ptCount val="14"/>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pt idx="13">
                  <c:v>Year 14</c:v>
                </c:pt>
              </c:strCache>
            </c:strRef>
          </c:cat>
          <c:val>
            <c:numRef>
              <c:f>'1_Case study 1 - Car'!$C$506:$Q$506</c:f>
              <c:numCache>
                <c:formatCode>_-[$$-409]* #,##0.00_ ;_-[$$-409]* \-#,##0.00\ ;_-[$$-409]* "-"??_ ;_-@_ </c:formatCode>
                <c:ptCount val="15"/>
                <c:pt idx="0">
                  <c:v>2917</c:v>
                </c:pt>
                <c:pt idx="1">
                  <c:v>1660</c:v>
                </c:pt>
                <c:pt idx="2">
                  <c:v>1569</c:v>
                </c:pt>
                <c:pt idx="3">
                  <c:v>2240</c:v>
                </c:pt>
                <c:pt idx="4">
                  <c:v>2833</c:v>
                </c:pt>
                <c:pt idx="5">
                  <c:v>3502.4743310497556</c:v>
                </c:pt>
                <c:pt idx="6">
                  <c:v>4246.3838469119655</c:v>
                </c:pt>
                <c:pt idx="7">
                  <c:v>4990.293362774175</c:v>
                </c:pt>
                <c:pt idx="8">
                  <c:v>5734.2028786363844</c:v>
                </c:pt>
                <c:pt idx="9">
                  <c:v>6478.1123944985939</c:v>
                </c:pt>
                <c:pt idx="10">
                  <c:v>7147.6309587745827</c:v>
                </c:pt>
                <c:pt idx="11">
                  <c:v>7649.7698819815741</c:v>
                </c:pt>
                <c:pt idx="12">
                  <c:v>7925.9462897454196</c:v>
                </c:pt>
                <c:pt idx="13">
                  <c:v>8008.799212074573</c:v>
                </c:pt>
              </c:numCache>
            </c:numRef>
          </c:val>
          <c:smooth val="0"/>
          <c:extLst>
            <c:ext xmlns:c16="http://schemas.microsoft.com/office/drawing/2014/chart" uri="{C3380CC4-5D6E-409C-BE32-E72D297353CC}">
              <c16:uniqueId val="{00000000-92AD-4FB1-BE05-9D1F5E52FD24}"/>
            </c:ext>
          </c:extLst>
        </c:ser>
        <c:ser>
          <c:idx val="1"/>
          <c:order val="1"/>
          <c:tx>
            <c:strRef>
              <c:f>'1_Case study 1 - Car'!$A$494</c:f>
              <c:strCache>
                <c:ptCount val="1"/>
                <c:pt idx="0">
                  <c:v>all-gasoline Fusion</c:v>
                </c:pt>
              </c:strCache>
            </c:strRef>
          </c:tx>
          <c:spPr>
            <a:ln w="28575" cap="rnd">
              <a:solidFill>
                <a:schemeClr val="accent2"/>
              </a:solidFill>
              <a:round/>
            </a:ln>
            <a:effectLst/>
          </c:spPr>
          <c:marker>
            <c:symbol val="none"/>
          </c:marker>
          <c:cat>
            <c:strRef>
              <c:f>'1_Case study 1 - Car'!$C$501:$Q$501</c:f>
              <c:strCache>
                <c:ptCount val="14"/>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pt idx="13">
                  <c:v>Year 14</c:v>
                </c:pt>
              </c:strCache>
            </c:strRef>
          </c:cat>
          <c:val>
            <c:numRef>
              <c:f>'1_Case study 1 - Car'!$C$499:$Q$499</c:f>
              <c:numCache>
                <c:formatCode>_-[$$-409]* #,##0.00_ ;_-[$$-409]* \-#,##0.00\ ;_-[$$-409]* "-"??_ ;_-@_ </c:formatCode>
                <c:ptCount val="15"/>
                <c:pt idx="0">
                  <c:v>2858</c:v>
                </c:pt>
                <c:pt idx="1">
                  <c:v>1573</c:v>
                </c:pt>
                <c:pt idx="2">
                  <c:v>1496</c:v>
                </c:pt>
                <c:pt idx="3">
                  <c:v>2178</c:v>
                </c:pt>
                <c:pt idx="4">
                  <c:v>2898</c:v>
                </c:pt>
                <c:pt idx="5">
                  <c:v>3642.1855218855217</c:v>
                </c:pt>
                <c:pt idx="6">
                  <c:v>4470.7542755274408</c:v>
                </c:pt>
                <c:pt idx="7">
                  <c:v>5299.3230291693599</c:v>
                </c:pt>
                <c:pt idx="8">
                  <c:v>6127.891782811279</c:v>
                </c:pt>
                <c:pt idx="9">
                  <c:v>6956.4605364531981</c:v>
                </c:pt>
                <c:pt idx="10">
                  <c:v>7702.1724147309251</c:v>
                </c:pt>
                <c:pt idx="11">
                  <c:v>8261.4563234392208</c:v>
                </c:pt>
                <c:pt idx="12">
                  <c:v>8569.0624732287833</c:v>
                </c:pt>
                <c:pt idx="13">
                  <c:v>8661.3443181656512</c:v>
                </c:pt>
              </c:numCache>
            </c:numRef>
          </c:val>
          <c:smooth val="0"/>
          <c:extLst>
            <c:ext xmlns:c16="http://schemas.microsoft.com/office/drawing/2014/chart" uri="{C3380CC4-5D6E-409C-BE32-E72D297353CC}">
              <c16:uniqueId val="{00000001-92AD-4FB1-BE05-9D1F5E52FD24}"/>
            </c:ext>
          </c:extLst>
        </c:ser>
        <c:dLbls>
          <c:showLegendKey val="0"/>
          <c:showVal val="0"/>
          <c:showCatName val="0"/>
          <c:showSerName val="0"/>
          <c:showPercent val="0"/>
          <c:showBubbleSize val="0"/>
        </c:dLbls>
        <c:smooth val="0"/>
        <c:axId val="701592432"/>
        <c:axId val="709601936"/>
      </c:lineChart>
      <c:catAx>
        <c:axId val="7015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01936"/>
        <c:crosses val="autoZero"/>
        <c:auto val="1"/>
        <c:lblAlgn val="ctr"/>
        <c:lblOffset val="100"/>
        <c:noMultiLvlLbl val="0"/>
      </c:catAx>
      <c:valAx>
        <c:axId val="70960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 op</a:t>
                </a:r>
                <a:r>
                  <a:rPr lang="en-GB" baseline="0"/>
                  <a:t> + maintenance costs</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tmp"/><Relationship Id="rId39" Type="http://schemas.openxmlformats.org/officeDocument/2006/relationships/image" Target="../media/image38.tmp"/><Relationship Id="rId21" Type="http://schemas.openxmlformats.org/officeDocument/2006/relationships/image" Target="../media/image20.tmp"/><Relationship Id="rId34" Type="http://schemas.openxmlformats.org/officeDocument/2006/relationships/image" Target="../media/image33.tmp"/><Relationship Id="rId42" Type="http://schemas.openxmlformats.org/officeDocument/2006/relationships/image" Target="../media/image41.tmp"/><Relationship Id="rId47" Type="http://schemas.openxmlformats.org/officeDocument/2006/relationships/image" Target="../media/image46.tmp"/><Relationship Id="rId50" Type="http://schemas.openxmlformats.org/officeDocument/2006/relationships/image" Target="../media/image49.tmp"/><Relationship Id="rId55" Type="http://schemas.openxmlformats.org/officeDocument/2006/relationships/image" Target="../media/image52.tmp"/><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4.tmp"/><Relationship Id="rId33" Type="http://schemas.openxmlformats.org/officeDocument/2006/relationships/image" Target="../media/image32.tmp"/><Relationship Id="rId38" Type="http://schemas.openxmlformats.org/officeDocument/2006/relationships/image" Target="../media/image37.tmp"/><Relationship Id="rId46" Type="http://schemas.openxmlformats.org/officeDocument/2006/relationships/image" Target="../media/image45.tmp"/><Relationship Id="rId2" Type="http://schemas.openxmlformats.org/officeDocument/2006/relationships/chart" Target="../charts/chart1.xml"/><Relationship Id="rId16" Type="http://schemas.openxmlformats.org/officeDocument/2006/relationships/image" Target="../media/image15.png"/><Relationship Id="rId20" Type="http://schemas.openxmlformats.org/officeDocument/2006/relationships/image" Target="../media/image19.tmp"/><Relationship Id="rId29" Type="http://schemas.openxmlformats.org/officeDocument/2006/relationships/image" Target="../media/image28.tmp"/><Relationship Id="rId41" Type="http://schemas.openxmlformats.org/officeDocument/2006/relationships/image" Target="../media/image40.tmp"/><Relationship Id="rId54" Type="http://schemas.openxmlformats.org/officeDocument/2006/relationships/image" Target="cid:image001.png@01DAA92B.7ABC7570" TargetMode="External"/><Relationship Id="rId1" Type="http://schemas.openxmlformats.org/officeDocument/2006/relationships/image" Target="../media/image1.tmp"/><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23.tmp"/><Relationship Id="rId32" Type="http://schemas.openxmlformats.org/officeDocument/2006/relationships/image" Target="../media/image31.tmp"/><Relationship Id="rId37" Type="http://schemas.openxmlformats.org/officeDocument/2006/relationships/image" Target="../media/image36.tmp"/><Relationship Id="rId40" Type="http://schemas.openxmlformats.org/officeDocument/2006/relationships/image" Target="../media/image39.tmp"/><Relationship Id="rId45" Type="http://schemas.openxmlformats.org/officeDocument/2006/relationships/image" Target="../media/image44.tmp"/><Relationship Id="rId53" Type="http://schemas.openxmlformats.org/officeDocument/2006/relationships/image" Target="../media/image51.png"/><Relationship Id="rId5" Type="http://schemas.openxmlformats.org/officeDocument/2006/relationships/image" Target="../media/image4.png"/><Relationship Id="rId15" Type="http://schemas.openxmlformats.org/officeDocument/2006/relationships/image" Target="../media/image14.png"/><Relationship Id="rId23" Type="http://schemas.openxmlformats.org/officeDocument/2006/relationships/image" Target="../media/image22.tmp"/><Relationship Id="rId28" Type="http://schemas.openxmlformats.org/officeDocument/2006/relationships/image" Target="../media/image27.tmp"/><Relationship Id="rId36" Type="http://schemas.openxmlformats.org/officeDocument/2006/relationships/image" Target="../media/image35.tmp"/><Relationship Id="rId49" Type="http://schemas.openxmlformats.org/officeDocument/2006/relationships/image" Target="../media/image48.tmp"/><Relationship Id="rId10" Type="http://schemas.openxmlformats.org/officeDocument/2006/relationships/image" Target="../media/image9.png"/><Relationship Id="rId19" Type="http://schemas.openxmlformats.org/officeDocument/2006/relationships/image" Target="../media/image18.png"/><Relationship Id="rId31" Type="http://schemas.openxmlformats.org/officeDocument/2006/relationships/image" Target="../media/image30.tmp"/><Relationship Id="rId44" Type="http://schemas.openxmlformats.org/officeDocument/2006/relationships/image" Target="../media/image43.tmp"/><Relationship Id="rId52" Type="http://schemas.openxmlformats.org/officeDocument/2006/relationships/image" Target="../media/image50.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21.tmp"/><Relationship Id="rId27" Type="http://schemas.openxmlformats.org/officeDocument/2006/relationships/image" Target="../media/image26.tmp"/><Relationship Id="rId30" Type="http://schemas.openxmlformats.org/officeDocument/2006/relationships/image" Target="../media/image29.tmp"/><Relationship Id="rId35" Type="http://schemas.openxmlformats.org/officeDocument/2006/relationships/image" Target="../media/image34.tmp"/><Relationship Id="rId43" Type="http://schemas.openxmlformats.org/officeDocument/2006/relationships/image" Target="../media/image42.tmp"/><Relationship Id="rId48" Type="http://schemas.openxmlformats.org/officeDocument/2006/relationships/image" Target="../media/image47.tmp"/><Relationship Id="rId8" Type="http://schemas.openxmlformats.org/officeDocument/2006/relationships/image" Target="../media/image7.png"/><Relationship Id="rId51" Type="http://schemas.openxmlformats.org/officeDocument/2006/relationships/chart" Target="../charts/chart2.xm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4.png"/><Relationship Id="rId18" Type="http://schemas.openxmlformats.org/officeDocument/2006/relationships/image" Target="../media/image24.tmp"/><Relationship Id="rId26" Type="http://schemas.openxmlformats.org/officeDocument/2006/relationships/image" Target="../media/image35.tmp"/><Relationship Id="rId39" Type="http://schemas.openxmlformats.org/officeDocument/2006/relationships/image" Target="../media/image31.tmp"/><Relationship Id="rId3" Type="http://schemas.openxmlformats.org/officeDocument/2006/relationships/image" Target="../media/image2.png"/><Relationship Id="rId21" Type="http://schemas.openxmlformats.org/officeDocument/2006/relationships/image" Target="../media/image48.tmp"/><Relationship Id="rId34" Type="http://schemas.openxmlformats.org/officeDocument/2006/relationships/image" Target="../media/image22.tmp"/><Relationship Id="rId42" Type="http://schemas.openxmlformats.org/officeDocument/2006/relationships/image" Target="../media/image30.tmp"/><Relationship Id="rId7" Type="http://schemas.openxmlformats.org/officeDocument/2006/relationships/image" Target="../media/image6.png"/><Relationship Id="rId12" Type="http://schemas.openxmlformats.org/officeDocument/2006/relationships/image" Target="../media/image13.png"/><Relationship Id="rId17" Type="http://schemas.openxmlformats.org/officeDocument/2006/relationships/image" Target="../media/image23.tmp"/><Relationship Id="rId25" Type="http://schemas.openxmlformats.org/officeDocument/2006/relationships/image" Target="../media/image49.tmp"/><Relationship Id="rId33" Type="http://schemas.openxmlformats.org/officeDocument/2006/relationships/image" Target="../media/image34.tmp"/><Relationship Id="rId38" Type="http://schemas.openxmlformats.org/officeDocument/2006/relationships/image" Target="../media/image28.tmp"/><Relationship Id="rId2" Type="http://schemas.openxmlformats.org/officeDocument/2006/relationships/image" Target="../media/image54.png"/><Relationship Id="rId16" Type="http://schemas.openxmlformats.org/officeDocument/2006/relationships/image" Target="../media/image21.tmp"/><Relationship Id="rId20" Type="http://schemas.openxmlformats.org/officeDocument/2006/relationships/image" Target="../media/image44.tmp"/><Relationship Id="rId29" Type="http://schemas.openxmlformats.org/officeDocument/2006/relationships/image" Target="../media/image38.tmp"/><Relationship Id="rId41" Type="http://schemas.openxmlformats.org/officeDocument/2006/relationships/image" Target="../media/image29.tmp"/><Relationship Id="rId1" Type="http://schemas.openxmlformats.org/officeDocument/2006/relationships/image" Target="../media/image53.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47.tmp"/><Relationship Id="rId32" Type="http://schemas.openxmlformats.org/officeDocument/2006/relationships/image" Target="../media/image41.tmp"/><Relationship Id="rId37" Type="http://schemas.openxmlformats.org/officeDocument/2006/relationships/image" Target="../media/image1.tmp"/><Relationship Id="rId40" Type="http://schemas.openxmlformats.org/officeDocument/2006/relationships/image" Target="../media/image32.tmp"/><Relationship Id="rId5" Type="http://schemas.openxmlformats.org/officeDocument/2006/relationships/image" Target="../media/image4.png"/><Relationship Id="rId15" Type="http://schemas.openxmlformats.org/officeDocument/2006/relationships/image" Target="../media/image20.tmp"/><Relationship Id="rId23" Type="http://schemas.openxmlformats.org/officeDocument/2006/relationships/image" Target="../media/image46.tmp"/><Relationship Id="rId28" Type="http://schemas.openxmlformats.org/officeDocument/2006/relationships/image" Target="../media/image37.tmp"/><Relationship Id="rId36" Type="http://schemas.openxmlformats.org/officeDocument/2006/relationships/image" Target="../media/image27.tmp"/><Relationship Id="rId10" Type="http://schemas.openxmlformats.org/officeDocument/2006/relationships/image" Target="../media/image9.png"/><Relationship Id="rId19" Type="http://schemas.openxmlformats.org/officeDocument/2006/relationships/image" Target="../media/image25.tmp"/><Relationship Id="rId31" Type="http://schemas.openxmlformats.org/officeDocument/2006/relationships/image" Target="../media/image40.tmp"/><Relationship Id="rId44" Type="http://schemas.openxmlformats.org/officeDocument/2006/relationships/image" Target="../media/image52.tmp"/><Relationship Id="rId4" Type="http://schemas.openxmlformats.org/officeDocument/2006/relationships/image" Target="../media/image3.png"/><Relationship Id="rId9" Type="http://schemas.openxmlformats.org/officeDocument/2006/relationships/image" Target="../media/image11.png"/><Relationship Id="rId14" Type="http://schemas.openxmlformats.org/officeDocument/2006/relationships/image" Target="../media/image19.tmp"/><Relationship Id="rId22" Type="http://schemas.openxmlformats.org/officeDocument/2006/relationships/image" Target="../media/image45.tmp"/><Relationship Id="rId27" Type="http://schemas.openxmlformats.org/officeDocument/2006/relationships/image" Target="../media/image36.tmp"/><Relationship Id="rId30" Type="http://schemas.openxmlformats.org/officeDocument/2006/relationships/image" Target="../media/image39.tmp"/><Relationship Id="rId35" Type="http://schemas.openxmlformats.org/officeDocument/2006/relationships/image" Target="../media/image26.tmp"/><Relationship Id="rId43" Type="http://schemas.openxmlformats.org/officeDocument/2006/relationships/image" Target="../media/image33.tmp"/></Relationships>
</file>

<file path=xl/drawings/_rels/drawing3.xml.rels><?xml version="1.0" encoding="UTF-8" standalone="yes"?>
<Relationships xmlns="http://schemas.openxmlformats.org/package/2006/relationships"><Relationship Id="rId8" Type="http://schemas.openxmlformats.org/officeDocument/2006/relationships/image" Target="cid:image004.png@01D67F92.5B479920" TargetMode="External"/><Relationship Id="rId3" Type="http://schemas.openxmlformats.org/officeDocument/2006/relationships/image" Target="../media/image56.png"/><Relationship Id="rId7" Type="http://schemas.openxmlformats.org/officeDocument/2006/relationships/image" Target="../media/image58.png"/><Relationship Id="rId12" Type="http://schemas.openxmlformats.org/officeDocument/2006/relationships/image" Target="cid:image009.jpg@01D67F99.B1802EE0" TargetMode="External"/><Relationship Id="rId2" Type="http://schemas.openxmlformats.org/officeDocument/2006/relationships/image" Target="cid:image002.png@01D67F99.B1802EE0" TargetMode="External"/><Relationship Id="rId1" Type="http://schemas.openxmlformats.org/officeDocument/2006/relationships/image" Target="../media/image55.png"/><Relationship Id="rId6" Type="http://schemas.openxmlformats.org/officeDocument/2006/relationships/image" Target="cid:image007.png@01D67F93.9A509260" TargetMode="External"/><Relationship Id="rId11" Type="http://schemas.openxmlformats.org/officeDocument/2006/relationships/image" Target="../media/image60.jpeg"/><Relationship Id="rId5" Type="http://schemas.openxmlformats.org/officeDocument/2006/relationships/image" Target="../media/image57.png"/><Relationship Id="rId10" Type="http://schemas.openxmlformats.org/officeDocument/2006/relationships/image" Target="cid:image005.png@01D67F92.A6EBEAC0" TargetMode="External"/><Relationship Id="rId4" Type="http://schemas.openxmlformats.org/officeDocument/2006/relationships/image" Target="cid:image006.png@01D67F92.F33A3800" TargetMode="External"/><Relationship Id="rId9"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twoCellAnchor editAs="oneCell">
    <xdr:from>
      <xdr:col>0</xdr:col>
      <xdr:colOff>314613</xdr:colOff>
      <xdr:row>250</xdr:row>
      <xdr:rowOff>119352</xdr:rowOff>
    </xdr:from>
    <xdr:to>
      <xdr:col>1</xdr:col>
      <xdr:colOff>995795</xdr:colOff>
      <xdr:row>254</xdr:row>
      <xdr:rowOff>95519</xdr:rowOff>
    </xdr:to>
    <xdr:pic>
      <xdr:nvPicPr>
        <xdr:cNvPr id="46154" name="Picture 4615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4613" y="49484252"/>
          <a:ext cx="4681682" cy="763567"/>
        </a:xfrm>
        <a:prstGeom prst="rect">
          <a:avLst/>
        </a:prstGeom>
        <a:ln>
          <a:solidFill>
            <a:srgbClr val="00B050"/>
          </a:solidFill>
        </a:ln>
      </xdr:spPr>
    </xdr:pic>
    <xdr:clientData/>
  </xdr:twoCellAnchor>
  <xdr:oneCellAnchor>
    <xdr:from>
      <xdr:col>2</xdr:col>
      <xdr:colOff>477404</xdr:colOff>
      <xdr:row>163</xdr:row>
      <xdr:rowOff>5003</xdr:rowOff>
    </xdr:from>
    <xdr:ext cx="220347" cy="105149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17446" cy="11154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165</xdr:row>
      <xdr:rowOff>5002</xdr:rowOff>
    </xdr:from>
    <xdr:ext cx="411291" cy="19415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521613" y="29705684"/>
              <a:ext cx="411291" cy="194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521613" y="29705684"/>
              <a:ext cx="411291" cy="194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421407</xdr:colOff>
      <xdr:row>166</xdr:row>
      <xdr:rowOff>0</xdr:rowOff>
    </xdr:from>
    <xdr:ext cx="362891" cy="19309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478316" y="30286903"/>
              <a:ext cx="362891" cy="193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478316" y="30286903"/>
              <a:ext cx="362891" cy="193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39645"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521613" y="3049472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521613" y="3049472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464704</xdr:colOff>
      <xdr:row>169</xdr:row>
      <xdr:rowOff>0</xdr:rowOff>
    </xdr:from>
    <xdr:ext cx="235363" cy="106604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172</xdr:row>
      <xdr:rowOff>5003</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814454" y="314480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502227</xdr:colOff>
      <xdr:row>162</xdr:row>
      <xdr:rowOff>15588</xdr:rowOff>
    </xdr:from>
    <xdr:ext cx="15804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559136" y="29118793"/>
              <a:ext cx="158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559136" y="29118793"/>
              <a:ext cx="158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578</xdr:rowOff>
    </xdr:from>
    <xdr:ext cx="200844" cy="111947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0996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544896" y="29194895"/>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544896" y="29194895"/>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15587</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514878" y="31215254"/>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514878" y="31215254"/>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206086</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814454" y="31648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172</xdr:row>
      <xdr:rowOff>15587</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514878" y="31416337"/>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514878" y="31416337"/>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157</xdr:row>
      <xdr:rowOff>111125</xdr:rowOff>
    </xdr:from>
    <xdr:ext cx="325217" cy="264560"/>
    <xdr:sp macro="" textlink="">
      <xdr:nvSpPr>
        <xdr:cNvPr id="15" name="TextBox 14">
          <a:extLst>
            <a:ext uri="{FF2B5EF4-FFF2-40B4-BE49-F238E27FC236}">
              <a16:creationId xmlns:a16="http://schemas.microsoft.com/office/drawing/2014/main" id="{00000000-0008-0000-0000-000013000000}"/>
            </a:ext>
          </a:extLst>
        </xdr:cNvPr>
        <xdr:cNvSpPr txBox="1"/>
      </xdr:nvSpPr>
      <xdr:spPr>
        <a:xfrm>
          <a:off x="10835217" y="284638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180</xdr:row>
      <xdr:rowOff>5003</xdr:rowOff>
    </xdr:from>
    <xdr:ext cx="408379" cy="1056928"/>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184</xdr:row>
      <xdr:rowOff>196561</xdr:rowOff>
    </xdr:from>
    <xdr:ext cx="404896" cy="106604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181</xdr:row>
      <xdr:rowOff>196561</xdr:rowOff>
    </xdr:from>
    <xdr:ext cx="599693" cy="112214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182</xdr:row>
      <xdr:rowOff>196561</xdr:rowOff>
    </xdr:from>
    <xdr:ext cx="551151" cy="112680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183</xdr:row>
      <xdr:rowOff>196561</xdr:rowOff>
    </xdr:from>
    <xdr:ext cx="387414"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521613" y="33897743"/>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a14:m>
              <a:endParaRPr lang="en-GB" sz="1100"/>
            </a:p>
          </xdr:txBody>
        </xdr:sp>
      </mc:Choice>
      <mc:Fallback xmlns="">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521613" y="33897743"/>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455179</xdr:colOff>
      <xdr:row>186</xdr:row>
      <xdr:rowOff>0</xdr:rowOff>
    </xdr:from>
    <xdr:ext cx="424655" cy="1066040"/>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189</xdr:row>
      <xdr:rowOff>5003</xdr:rowOff>
    </xdr:from>
    <xdr:ext cx="65" cy="172227"/>
    <xdr:sp macro="" textlink="">
      <xdr:nvSpPr>
        <xdr:cNvPr id="22" name="TextBox 21">
          <a:extLst>
            <a:ext uri="{FF2B5EF4-FFF2-40B4-BE49-F238E27FC236}">
              <a16:creationId xmlns:a16="http://schemas.microsoft.com/office/drawing/2014/main" id="{00000000-0008-0000-0000-00001A000000}"/>
            </a:ext>
          </a:extLst>
        </xdr:cNvPr>
        <xdr:cNvSpPr txBox="1"/>
      </xdr:nvSpPr>
      <xdr:spPr>
        <a:xfrm>
          <a:off x="4814454" y="348675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179</xdr:row>
      <xdr:rowOff>15587</xdr:rowOff>
    </xdr:from>
    <xdr:ext cx="398777" cy="110990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176</xdr:row>
      <xdr:rowOff>578</xdr:rowOff>
    </xdr:from>
    <xdr:ext cx="408159" cy="1119476"/>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178</xdr:row>
      <xdr:rowOff>15587</xdr:rowOff>
    </xdr:from>
    <xdr:ext cx="177452" cy="110990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188</xdr:row>
      <xdr:rowOff>15587</xdr:rowOff>
    </xdr:from>
    <xdr:ext cx="225640" cy="110590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189</xdr:row>
      <xdr:rowOff>206086</xdr:rowOff>
    </xdr:from>
    <xdr:ext cx="65" cy="172227"/>
    <xdr:sp macro="" textlink="">
      <xdr:nvSpPr>
        <xdr:cNvPr id="27" name="TextBox 26">
          <a:extLst>
            <a:ext uri="{FF2B5EF4-FFF2-40B4-BE49-F238E27FC236}">
              <a16:creationId xmlns:a16="http://schemas.microsoft.com/office/drawing/2014/main" id="{00000000-0008-0000-0000-00001F000000}"/>
            </a:ext>
          </a:extLst>
        </xdr:cNvPr>
        <xdr:cNvSpPr txBox="1"/>
      </xdr:nvSpPr>
      <xdr:spPr>
        <a:xfrm>
          <a:off x="4814454" y="35067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189</xdr:row>
      <xdr:rowOff>15587</xdr:rowOff>
    </xdr:from>
    <xdr:ext cx="213556" cy="1056928"/>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631825</xdr:colOff>
      <xdr:row>174</xdr:row>
      <xdr:rowOff>114300</xdr:rowOff>
    </xdr:from>
    <xdr:ext cx="325217" cy="264560"/>
    <xdr:sp macro="" textlink="">
      <xdr:nvSpPr>
        <xdr:cNvPr id="29" name="TextBox 28">
          <a:extLst>
            <a:ext uri="{FF2B5EF4-FFF2-40B4-BE49-F238E27FC236}">
              <a16:creationId xmlns:a16="http://schemas.microsoft.com/office/drawing/2014/main" id="{00000000-0008-0000-0000-000025000000}"/>
            </a:ext>
          </a:extLst>
        </xdr:cNvPr>
        <xdr:cNvSpPr txBox="1"/>
      </xdr:nvSpPr>
      <xdr:spPr>
        <a:xfrm>
          <a:off x="11162242" y="319278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458932</xdr:colOff>
      <xdr:row>160</xdr:row>
      <xdr:rowOff>578</xdr:rowOff>
    </xdr:from>
    <xdr:ext cx="181638"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515841" y="28705464"/>
              <a:ext cx="1816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515841" y="28705464"/>
              <a:ext cx="1816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177</xdr:row>
      <xdr:rowOff>578</xdr:rowOff>
    </xdr:from>
    <xdr:ext cx="255740" cy="1119476"/>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170</xdr:row>
      <xdr:rowOff>196561</xdr:rowOff>
    </xdr:from>
    <xdr:ext cx="65" cy="172227"/>
    <xdr:sp macro="" textlink="">
      <xdr:nvSpPr>
        <xdr:cNvPr id="36" name="TextBox 35">
          <a:extLst>
            <a:ext uri="{FF2B5EF4-FFF2-40B4-BE49-F238E27FC236}">
              <a16:creationId xmlns:a16="http://schemas.microsoft.com/office/drawing/2014/main" id="{00000000-0008-0000-0000-00002C000000}"/>
            </a:ext>
          </a:extLst>
        </xdr:cNvPr>
        <xdr:cNvSpPr txBox="1"/>
      </xdr:nvSpPr>
      <xdr:spPr>
        <a:xfrm>
          <a:off x="4814454" y="312480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170</xdr:row>
      <xdr:rowOff>6062</xdr:rowOff>
    </xdr:from>
    <xdr:ext cx="155364" cy="18114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514878" y="31004645"/>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514878" y="31004645"/>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171</xdr:row>
      <xdr:rowOff>0</xdr:rowOff>
    </xdr:from>
    <xdr:ext cx="65" cy="172227"/>
    <xdr:sp macro="" textlink="">
      <xdr:nvSpPr>
        <xdr:cNvPr id="38" name="TextBox 37">
          <a:extLst>
            <a:ext uri="{FF2B5EF4-FFF2-40B4-BE49-F238E27FC236}">
              <a16:creationId xmlns:a16="http://schemas.microsoft.com/office/drawing/2014/main" id="{00000000-0008-0000-0000-00002E000000}"/>
            </a:ext>
          </a:extLst>
        </xdr:cNvPr>
        <xdr:cNvSpPr txBox="1"/>
      </xdr:nvSpPr>
      <xdr:spPr>
        <a:xfrm>
          <a:off x="4814454" y="3125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82</xdr:row>
      <xdr:rowOff>10103</xdr:rowOff>
    </xdr:from>
    <xdr:ext cx="324692" cy="111490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83</xdr:row>
      <xdr:rowOff>6062</xdr:rowOff>
    </xdr:from>
    <xdr:ext cx="109967"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544896"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544896"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90</xdr:row>
      <xdr:rowOff>15586</xdr:rowOff>
    </xdr:from>
    <xdr:ext cx="411291" cy="110590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93</xdr:row>
      <xdr:rowOff>5003</xdr:rowOff>
    </xdr:from>
    <xdr:ext cx="355949" cy="209309"/>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̇_𝑜𝑚𝑑</a:t>
              </a:r>
              <a:endParaRPr lang="en-GB" sz="1100"/>
            </a:p>
          </xdr:txBody>
        </xdr:sp>
      </mc:Fallback>
    </mc:AlternateContent>
    <xdr:clientData/>
  </xdr:oneCellAnchor>
  <xdr:oneCellAnchor>
    <xdr:from>
      <xdr:col>2</xdr:col>
      <xdr:colOff>477404</xdr:colOff>
      <xdr:row>85</xdr:row>
      <xdr:rowOff>196561</xdr:rowOff>
    </xdr:from>
    <xdr:ext cx="217446" cy="240001"/>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533592" y="14682499"/>
              <a:ext cx="217446" cy="240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533592" y="14682499"/>
              <a:ext cx="217446" cy="240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87</xdr:row>
      <xdr:rowOff>578</xdr:rowOff>
    </xdr:from>
    <xdr:ext cx="371969" cy="213734"/>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524932" y="14883391"/>
              <a:ext cx="371969" cy="2137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524932" y="14883391"/>
              <a:ext cx="371969" cy="2137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88</xdr:row>
      <xdr:rowOff>866</xdr:rowOff>
    </xdr:from>
    <xdr:ext cx="23301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568806" y="16272741"/>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GB" sz="1100" b="0" i="1">
                      <a:latin typeface="Cambria Math" panose="02040503050406030204" pitchFamily="18" charset="0"/>
                    </a:rPr>
                    <m:t>𝑡</m:t>
                  </m:r>
                </m:oMath>
              </a14:m>
              <a:r>
                <a:rPr lang="en-GB" sz="1100"/>
                <a:t>⁰</a:t>
              </a:r>
              <a:r>
                <a:rPr lang="en-GB" sz="1100" baseline="-25000">
                  <a:solidFill>
                    <a:schemeClr val="tx1"/>
                  </a:solidFill>
                  <a:effectLst/>
                  <a:latin typeface="+mn-lt"/>
                  <a:ea typeface="+mn-ea"/>
                  <a:cs typeface="+mn-cs"/>
                </a:rPr>
                <a:t>life</a:t>
              </a:r>
              <a:endParaRPr lang="en-GB" sz="1100"/>
            </a:p>
          </xdr:txBody>
        </xdr:sp>
      </mc:Choice>
      <mc:Fallback xmlns="">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568806" y="16272741"/>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r>
                <a:rPr lang="en-GB" sz="1100"/>
                <a:t>⁰</a:t>
              </a:r>
              <a:r>
                <a:rPr lang="en-GB" sz="1100" baseline="-25000">
                  <a:solidFill>
                    <a:schemeClr val="tx1"/>
                  </a:solidFill>
                  <a:effectLst/>
                  <a:latin typeface="+mn-lt"/>
                  <a:ea typeface="+mn-ea"/>
                  <a:cs typeface="+mn-cs"/>
                </a:rPr>
                <a:t>life</a:t>
              </a:r>
              <a:endParaRPr lang="en-GB" sz="1100"/>
            </a:p>
          </xdr:txBody>
        </xdr:sp>
      </mc:Fallback>
    </mc:AlternateContent>
    <xdr:clientData/>
  </xdr:oneCellAnchor>
  <xdr:oneCellAnchor>
    <xdr:from>
      <xdr:col>2</xdr:col>
      <xdr:colOff>477404</xdr:colOff>
      <xdr:row>84</xdr:row>
      <xdr:rowOff>196561</xdr:rowOff>
    </xdr:from>
    <xdr:ext cx="220347" cy="232064"/>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533592" y="14484061"/>
              <a:ext cx="220347" cy="232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533592" y="14484061"/>
              <a:ext cx="220347" cy="232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84</xdr:row>
      <xdr:rowOff>6062</xdr:rowOff>
    </xdr:from>
    <xdr:ext cx="191531" cy="200313"/>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524932" y="14293562"/>
              <a:ext cx="191531" cy="200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524932" y="14293562"/>
              <a:ext cx="191531" cy="200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67</xdr:row>
      <xdr:rowOff>6062</xdr:rowOff>
    </xdr:from>
    <xdr:ext cx="200844" cy="1119476"/>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78</xdr:row>
      <xdr:rowOff>578</xdr:rowOff>
    </xdr:from>
    <xdr:ext cx="171826" cy="1119476"/>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120</xdr:row>
      <xdr:rowOff>5003</xdr:rowOff>
    </xdr:from>
    <xdr:ext cx="65" cy="172227"/>
    <xdr:sp macro="" textlink="">
      <xdr:nvSpPr>
        <xdr:cNvPr id="50" name="TextBox 49">
          <a:extLst>
            <a:ext uri="{FF2B5EF4-FFF2-40B4-BE49-F238E27FC236}">
              <a16:creationId xmlns:a16="http://schemas.microsoft.com/office/drawing/2014/main" id="{00000000-0008-0000-0000-00003A000000}"/>
            </a:ext>
          </a:extLst>
        </xdr:cNvPr>
        <xdr:cNvSpPr txBox="1"/>
      </xdr:nvSpPr>
      <xdr:spPr>
        <a:xfrm>
          <a:off x="5129837"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551295</xdr:colOff>
      <xdr:row>119</xdr:row>
      <xdr:rowOff>14721</xdr:rowOff>
    </xdr:from>
    <xdr:ext cx="155364"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610128"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610128"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98</xdr:row>
      <xdr:rowOff>19050</xdr:rowOff>
    </xdr:from>
    <xdr:ext cx="329023" cy="1119476"/>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96</xdr:row>
      <xdr:rowOff>15586</xdr:rowOff>
    </xdr:from>
    <xdr:ext cx="458389" cy="214602"/>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496071" y="16684336"/>
              <a:ext cx="458389" cy="214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496071" y="16684336"/>
              <a:ext cx="458389" cy="214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99</xdr:row>
      <xdr:rowOff>1731</xdr:rowOff>
    </xdr:from>
    <xdr:ext cx="354114" cy="1119476"/>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100</xdr:row>
      <xdr:rowOff>1731</xdr:rowOff>
    </xdr:from>
    <xdr:ext cx="359176" cy="1096902"/>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101</xdr:row>
      <xdr:rowOff>1731</xdr:rowOff>
    </xdr:from>
    <xdr:ext cx="330639" cy="110990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102</xdr:row>
      <xdr:rowOff>1731</xdr:rowOff>
    </xdr:from>
    <xdr:ext cx="362150" cy="1105907"/>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103</xdr:row>
      <xdr:rowOff>1731</xdr:rowOff>
    </xdr:from>
    <xdr:ext cx="367226" cy="110590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104</xdr:row>
      <xdr:rowOff>1731</xdr:rowOff>
    </xdr:from>
    <xdr:ext cx="337435" cy="1115441"/>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126</xdr:row>
      <xdr:rowOff>1731</xdr:rowOff>
    </xdr:from>
    <xdr:ext cx="371680" cy="1059669"/>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127</xdr:row>
      <xdr:rowOff>1731</xdr:rowOff>
    </xdr:from>
    <xdr:ext cx="376642" cy="1059669"/>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128</xdr:row>
      <xdr:rowOff>1731</xdr:rowOff>
    </xdr:from>
    <xdr:ext cx="346808" cy="1059669"/>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106</xdr:row>
      <xdr:rowOff>578</xdr:rowOff>
    </xdr:from>
    <xdr:ext cx="371969" cy="229609"/>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524932" y="18852141"/>
              <a:ext cx="371969" cy="22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524932" y="18852141"/>
              <a:ext cx="371969" cy="22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469321</xdr:colOff>
      <xdr:row>107</xdr:row>
      <xdr:rowOff>27707</xdr:rowOff>
    </xdr:from>
    <xdr:ext cx="372054" cy="1786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525509" y="190777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r>
                      <a:rPr lang="en-GB" sz="1100" b="0" i="1" baseline="-25000">
                        <a:latin typeface="Cambria Math" panose="02040503050406030204" pitchFamily="18" charset="0"/>
                      </a:rPr>
                      <m:t>𝑙𝑖𝑓𝑒</m:t>
                    </m:r>
                  </m:oMath>
                </m:oMathPara>
              </a14:m>
              <a:endParaRPr lang="en-GB" sz="1100" baseline="-25000"/>
            </a:p>
          </xdr:txBody>
        </xdr:sp>
      </mc:Choice>
      <mc:Fallback xmlns="">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525509" y="190777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𝑡^∗</a:t>
              </a:r>
              <a:r>
                <a:rPr lang="en-GB" sz="1100" b="0" i="0" baseline="-25000">
                  <a:latin typeface="Cambria Math" panose="02040503050406030204" pitchFamily="18" charset="0"/>
                </a:rPr>
                <a:t> 𝑙𝑖𝑓𝑒</a:t>
              </a:r>
              <a:endParaRPr lang="en-GB" sz="1100" baseline="-25000"/>
            </a:p>
          </xdr:txBody>
        </xdr:sp>
      </mc:Fallback>
    </mc:AlternateContent>
    <xdr:clientData/>
  </xdr:oneCellAnchor>
  <xdr:oneCellAnchor>
    <xdr:from>
      <xdr:col>2</xdr:col>
      <xdr:colOff>450273</xdr:colOff>
      <xdr:row>109</xdr:row>
      <xdr:rowOff>18184</xdr:rowOff>
    </xdr:from>
    <xdr:ext cx="530056" cy="235816"/>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506461" y="22044747"/>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506461" y="22044747"/>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110</xdr:row>
      <xdr:rowOff>18184</xdr:rowOff>
    </xdr:from>
    <xdr:ext cx="474278" cy="215611"/>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507182" y="19137457"/>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507182" y="19137457"/>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̇_𝑜𝑚^∗</a:t>
              </a:r>
              <a:endParaRPr lang="en-GB" sz="1100"/>
            </a:p>
          </xdr:txBody>
        </xdr:sp>
      </mc:Fallback>
    </mc:AlternateContent>
    <xdr:clientData/>
  </xdr:oneCellAnchor>
  <xdr:oneCellAnchor>
    <xdr:from>
      <xdr:col>2</xdr:col>
      <xdr:colOff>406977</xdr:colOff>
      <xdr:row>105</xdr:row>
      <xdr:rowOff>0</xdr:rowOff>
    </xdr:from>
    <xdr:ext cx="442528" cy="214313"/>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463165" y="18653125"/>
              <a:ext cx="442528" cy="214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463165" y="18653125"/>
              <a:ext cx="442528" cy="214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555047</xdr:colOff>
      <xdr:row>121</xdr:row>
      <xdr:rowOff>18185</xdr:rowOff>
    </xdr:from>
    <xdr:ext cx="126958" cy="18222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613880"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613880"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121</xdr:row>
      <xdr:rowOff>0</xdr:rowOff>
    </xdr:from>
    <xdr:ext cx="1373364" cy="1112556"/>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119</xdr:row>
      <xdr:rowOff>0</xdr:rowOff>
    </xdr:from>
    <xdr:ext cx="2384700" cy="110590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98</xdr:row>
      <xdr:rowOff>866</xdr:rowOff>
    </xdr:from>
    <xdr:ext cx="1858687" cy="1167823"/>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96</xdr:row>
      <xdr:rowOff>15586</xdr:rowOff>
    </xdr:from>
    <xdr:ext cx="1616384" cy="1058861"/>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97</xdr:row>
      <xdr:rowOff>1732</xdr:rowOff>
    </xdr:from>
    <xdr:ext cx="1051964" cy="1974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122</xdr:row>
      <xdr:rowOff>8659</xdr:rowOff>
    </xdr:from>
    <xdr:ext cx="818284" cy="19261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428529" y="24614909"/>
              <a:ext cx="81828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428529" y="24614909"/>
              <a:ext cx="81828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122</xdr:row>
      <xdr:rowOff>195696</xdr:rowOff>
    </xdr:from>
    <xdr:ext cx="766184" cy="23292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425066" y="248019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𝑅</m:t>
                            </m:r>
                            <m:r>
                              <m:rPr>
                                <m:sty m:val="p"/>
                              </m:rPr>
                              <a:rPr lang="el-GR" sz="1100" b="0" i="1" baseline="-25000">
                                <a:solidFill>
                                  <a:schemeClr val="tx1"/>
                                </a:solidFill>
                                <a:effectLst/>
                                <a:latin typeface="Cambria Math" panose="02040503050406030204" pitchFamily="18" charset="0"/>
                                <a:ea typeface="+mn-ea"/>
                                <a:cs typeface="+mn-cs"/>
                              </a:rPr>
                              <m:t>α</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r>
                          <a:rPr lang="en-GB" sz="1100" b="0" i="1">
                            <a:latin typeface="Cambria Math" panose="02040503050406030204" pitchFamily="18" charset="0"/>
                          </a:rPr>
                          <m:t>)</m:t>
                        </m:r>
                      </m:sub>
                      <m:sup/>
                    </m:sSubSup>
                    <m:r>
                      <a:rPr lang="en-GB" sz="1100" b="0" i="1">
                        <a:latin typeface="Cambria Math" panose="02040503050406030204" pitchFamily="18" charset="0"/>
                      </a:rPr>
                      <m:t>)</m:t>
                    </m:r>
                    <m:r>
                      <a:rPr lang="en-GB" sz="1100" b="0" i="1" baseline="30000">
                        <a:latin typeface="Cambria Math" panose="02040503050406030204" pitchFamily="18" charset="0"/>
                      </a:rPr>
                      <m:t>∗</m:t>
                    </m:r>
                  </m:oMath>
                </m:oMathPara>
              </a14:m>
              <a:endParaRPr lang="en-GB" sz="1100" baseline="30000"/>
            </a:p>
          </xdr:txBody>
        </xdr:sp>
      </mc:Choice>
      <mc:Fallback xmlns="">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425066" y="248019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(𝑅</a:t>
              </a:r>
              <a:r>
                <a:rPr lang="el-GR" sz="1100" b="0" i="0" baseline="-25000">
                  <a:solidFill>
                    <a:schemeClr val="tx1"/>
                  </a:solidFill>
                  <a:effectLst/>
                  <a:latin typeface="+mn-lt"/>
                  <a:ea typeface="+mn-ea"/>
                  <a:cs typeface="+mn-cs"/>
                </a:rPr>
                <a:t>α</a:t>
              </a:r>
              <a:r>
                <a:rPr lang="en-GB" sz="1100" b="0" i="0">
                  <a:latin typeface="Cambria Math" panose="02040503050406030204" pitchFamily="18" charset="0"/>
                </a:rPr>
                <a:t>𝐶) ̇〗_(𝑐𝑎𝑝))^ )</a:t>
              </a:r>
              <a:r>
                <a:rPr lang="en-GB" sz="1100" b="0" i="0" baseline="30000">
                  <a:latin typeface="Cambria Math" panose="02040503050406030204" pitchFamily="18" charset="0"/>
                </a:rPr>
                <a:t>∗</a:t>
              </a:r>
              <a:endParaRPr lang="en-GB" sz="1100" baseline="30000"/>
            </a:p>
          </xdr:txBody>
        </xdr:sp>
      </mc:Fallback>
    </mc:AlternateContent>
    <xdr:clientData/>
  </xdr:oneCellAnchor>
  <xdr:oneCellAnchor>
    <xdr:from>
      <xdr:col>6</xdr:col>
      <xdr:colOff>95250</xdr:colOff>
      <xdr:row>122</xdr:row>
      <xdr:rowOff>17319</xdr:rowOff>
    </xdr:from>
    <xdr:ext cx="2284165" cy="99230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86591</xdr:colOff>
      <xdr:row>123</xdr:row>
      <xdr:rowOff>8659</xdr:rowOff>
    </xdr:from>
    <xdr:ext cx="2248135" cy="948339"/>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132</xdr:row>
      <xdr:rowOff>8659</xdr:rowOff>
    </xdr:from>
    <xdr:ext cx="271232" cy="110590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133</xdr:row>
      <xdr:rowOff>5195</xdr:rowOff>
    </xdr:from>
    <xdr:ext cx="241426" cy="1177410"/>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131</xdr:row>
      <xdr:rowOff>35502</xdr:rowOff>
    </xdr:from>
    <xdr:ext cx="274349" cy="1050612"/>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109</xdr:row>
      <xdr:rowOff>18184</xdr:rowOff>
    </xdr:from>
    <xdr:ext cx="2335761" cy="956698"/>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2</xdr:col>
      <xdr:colOff>477982</xdr:colOff>
      <xdr:row>129</xdr:row>
      <xdr:rowOff>1731</xdr:rowOff>
    </xdr:from>
    <xdr:ext cx="393674" cy="1105907"/>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129</xdr:row>
      <xdr:rowOff>1731</xdr:rowOff>
    </xdr:from>
    <xdr:ext cx="867314" cy="1112556"/>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125</xdr:row>
      <xdr:rowOff>1731</xdr:rowOff>
    </xdr:from>
    <xdr:ext cx="299740" cy="1113308"/>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126</xdr:row>
      <xdr:rowOff>1731</xdr:rowOff>
    </xdr:from>
    <xdr:ext cx="825342" cy="1113308"/>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134</xdr:row>
      <xdr:rowOff>5195</xdr:rowOff>
    </xdr:from>
    <xdr:ext cx="299368" cy="117741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131</xdr:row>
      <xdr:rowOff>5003</xdr:rowOff>
    </xdr:from>
    <xdr:ext cx="65" cy="172227"/>
    <xdr:sp macro="" textlink="">
      <xdr:nvSpPr>
        <xdr:cNvPr id="89" name="TextBox 88">
          <a:extLst>
            <a:ext uri="{FF2B5EF4-FFF2-40B4-BE49-F238E27FC236}">
              <a16:creationId xmlns:a16="http://schemas.microsoft.com/office/drawing/2014/main" id="{00000000-0008-0000-0000-000061000000}"/>
            </a:ext>
          </a:extLst>
        </xdr:cNvPr>
        <xdr:cNvSpPr txBox="1"/>
      </xdr:nvSpPr>
      <xdr:spPr>
        <a:xfrm>
          <a:off x="5129837" y="23129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503670</xdr:colOff>
      <xdr:row>130</xdr:row>
      <xdr:rowOff>14721</xdr:rowOff>
    </xdr:from>
    <xdr:ext cx="138628" cy="110590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113</xdr:row>
      <xdr:rowOff>1732</xdr:rowOff>
    </xdr:from>
    <xdr:ext cx="1042401" cy="1974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108</xdr:row>
      <xdr:rowOff>8659</xdr:rowOff>
    </xdr:from>
    <xdr:ext cx="481070" cy="233795"/>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507182" y="18729614"/>
              <a:ext cx="481070" cy="23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507182" y="18729614"/>
              <a:ext cx="481070" cy="23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89</xdr:row>
      <xdr:rowOff>5002</xdr:rowOff>
    </xdr:from>
    <xdr:ext cx="362891" cy="225185"/>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520892" y="15284690"/>
              <a:ext cx="362891" cy="225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520892" y="15284690"/>
              <a:ext cx="362891" cy="225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421349</xdr:colOff>
      <xdr:row>38</xdr:row>
      <xdr:rowOff>4629</xdr:rowOff>
    </xdr:from>
    <xdr:ext cx="936853" cy="20174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477537" y="7942129"/>
              <a:ext cx="936853" cy="2017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477537" y="7942129"/>
              <a:ext cx="936853" cy="2017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39</xdr:row>
      <xdr:rowOff>4629</xdr:rowOff>
    </xdr:from>
    <xdr:ext cx="951606" cy="23349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477537" y="8140567"/>
              <a:ext cx="951606"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477537" y="8140567"/>
              <a:ext cx="951606"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37</xdr:row>
      <xdr:rowOff>4629</xdr:rowOff>
    </xdr:from>
    <xdr:ext cx="1253615" cy="233496"/>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477537" y="7346817"/>
              <a:ext cx="1253615"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r>
                          <a:rPr lang="el-GR" sz="1100" i="1">
                            <a:solidFill>
                              <a:schemeClr val="tx1"/>
                            </a:solidFill>
                            <a:effectLst/>
                            <a:latin typeface="Cambria Math" panose="02040503050406030204" pitchFamily="18" charset="0"/>
                            <a:ea typeface="+mn-ea"/>
                            <a:cs typeface="+mn-cs"/>
                          </a:rPr>
                          <m:t>°</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ub>
                    </m:sSub>
                  </m:oMath>
                </m:oMathPara>
              </a14:m>
              <a:endParaRPr lang="en-GB" sz="1100"/>
            </a:p>
          </xdr:txBody>
        </xdr:sp>
      </mc:Choice>
      <mc:Fallback xmlns="">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477537" y="7346817"/>
              <a:ext cx="1253615"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36</xdr:row>
      <xdr:rowOff>14154</xdr:rowOff>
    </xdr:from>
    <xdr:ext cx="736289" cy="223971"/>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477537" y="715790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𝑓</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477537" y="715790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𝑓_(𝐶 ̇_𝑠)^</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477404</xdr:colOff>
      <xdr:row>164</xdr:row>
      <xdr:rowOff>15587</xdr:rowOff>
    </xdr:from>
    <xdr:ext cx="217446" cy="209550"/>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534313" y="29517110"/>
              <a:ext cx="217446"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534313" y="29517110"/>
              <a:ext cx="217446"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477404</xdr:colOff>
      <xdr:row>181</xdr:row>
      <xdr:rowOff>6061</xdr:rowOff>
    </xdr:from>
    <xdr:ext cx="404896" cy="210416"/>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534313" y="33308925"/>
              <a:ext cx="404896" cy="21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534313" y="33308925"/>
              <a:ext cx="404896" cy="21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xdr:from>
      <xdr:col>2</xdr:col>
      <xdr:colOff>895350</xdr:colOff>
      <xdr:row>519</xdr:row>
      <xdr:rowOff>180975</xdr:rowOff>
    </xdr:from>
    <xdr:to>
      <xdr:col>7</xdr:col>
      <xdr:colOff>19050</xdr:colOff>
      <xdr:row>537</xdr:row>
      <xdr:rowOff>28575</xdr:rowOff>
    </xdr:to>
    <xdr:graphicFrame macro="">
      <xdr:nvGraphicFramePr>
        <xdr:cNvPr id="46180"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71004</xdr:colOff>
      <xdr:row>188</xdr:row>
      <xdr:rowOff>5003</xdr:rowOff>
    </xdr:from>
    <xdr:ext cx="65" cy="172227"/>
    <xdr:sp macro="" textlink="">
      <xdr:nvSpPr>
        <xdr:cNvPr id="136" name="TextBox 135">
          <a:extLst>
            <a:ext uri="{FF2B5EF4-FFF2-40B4-BE49-F238E27FC236}">
              <a16:creationId xmlns:a16="http://schemas.microsoft.com/office/drawing/2014/main" id="{00000000-0008-0000-0000-0000A0000000}"/>
            </a:ext>
          </a:extLst>
        </xdr:cNvPr>
        <xdr:cNvSpPr txBox="1"/>
      </xdr:nvSpPr>
      <xdr:spPr>
        <a:xfrm>
          <a:off x="5129837" y="346442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187</xdr:row>
      <xdr:rowOff>15587</xdr:rowOff>
    </xdr:from>
    <xdr:ext cx="335195" cy="1056928"/>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𝑀</m:t>
                        </m:r>
                      </m:e>
                    </m:acc>
                  </m:oMath>
                </m:oMathPara>
              </a14:m>
              <a:endParaRPr lang="en-GB" sz="1100"/>
            </a:p>
          </xdr:txBody>
        </xdr:sp>
      </mc:Choice>
      <mc:Fallback xmlns="">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484909</xdr:colOff>
      <xdr:row>120</xdr:row>
      <xdr:rowOff>18184</xdr:rowOff>
    </xdr:from>
    <xdr:ext cx="444358" cy="196129"/>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541097" y="24227559"/>
              <a:ext cx="444358" cy="196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541097" y="24227559"/>
              <a:ext cx="444358" cy="196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3</xdr:col>
      <xdr:colOff>1190625</xdr:colOff>
      <xdr:row>160</xdr:row>
      <xdr:rowOff>19050</xdr:rowOff>
    </xdr:from>
    <xdr:to>
      <xdr:col>4</xdr:col>
      <xdr:colOff>9525</xdr:colOff>
      <xdr:row>170</xdr:row>
      <xdr:rowOff>66675</xdr:rowOff>
    </xdr:to>
    <xdr:pic>
      <xdr:nvPicPr>
        <xdr:cNvPr id="46187" name="Picture 16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15225" y="28851225"/>
          <a:ext cx="36195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1182687</xdr:colOff>
      <xdr:row>160</xdr:row>
      <xdr:rowOff>63500</xdr:rowOff>
    </xdr:from>
    <xdr:to>
      <xdr:col>5</xdr:col>
      <xdr:colOff>134937</xdr:colOff>
      <xdr:row>170</xdr:row>
      <xdr:rowOff>15875</xdr:rowOff>
    </xdr:to>
    <xdr:pic>
      <xdr:nvPicPr>
        <xdr:cNvPr id="46188" name="Picture 16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53500" y="32043688"/>
          <a:ext cx="396875" cy="193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1133475</xdr:colOff>
      <xdr:row>161</xdr:row>
      <xdr:rowOff>171450</xdr:rowOff>
    </xdr:from>
    <xdr:to>
      <xdr:col>6</xdr:col>
      <xdr:colOff>200025</xdr:colOff>
      <xdr:row>169</xdr:row>
      <xdr:rowOff>38100</xdr:rowOff>
    </xdr:to>
    <xdr:pic>
      <xdr:nvPicPr>
        <xdr:cNvPr id="46189" name="Picture 17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53675" y="29203650"/>
          <a:ext cx="37147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173</xdr:row>
      <xdr:rowOff>152400</xdr:rowOff>
    </xdr:from>
    <xdr:to>
      <xdr:col>4</xdr:col>
      <xdr:colOff>1323975</xdr:colOff>
      <xdr:row>174</xdr:row>
      <xdr:rowOff>161925</xdr:rowOff>
    </xdr:to>
    <xdr:pic>
      <xdr:nvPicPr>
        <xdr:cNvPr id="46190" name="Picture 17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53375" y="31594425"/>
          <a:ext cx="11430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123825</xdr:colOff>
      <xdr:row>173</xdr:row>
      <xdr:rowOff>123825</xdr:rowOff>
    </xdr:from>
    <xdr:to>
      <xdr:col>5</xdr:col>
      <xdr:colOff>1219200</xdr:colOff>
      <xdr:row>174</xdr:row>
      <xdr:rowOff>152400</xdr:rowOff>
    </xdr:to>
    <xdr:pic>
      <xdr:nvPicPr>
        <xdr:cNvPr id="46191" name="Picture 17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44025" y="31565850"/>
          <a:ext cx="10953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371475</xdr:colOff>
      <xdr:row>173</xdr:row>
      <xdr:rowOff>123825</xdr:rowOff>
    </xdr:from>
    <xdr:to>
      <xdr:col>6</xdr:col>
      <xdr:colOff>1200150</xdr:colOff>
      <xdr:row>174</xdr:row>
      <xdr:rowOff>133350</xdr:rowOff>
    </xdr:to>
    <xdr:pic>
      <xdr:nvPicPr>
        <xdr:cNvPr id="46192" name="Picture 17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96600" y="31565850"/>
          <a:ext cx="828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322</xdr:row>
      <xdr:rowOff>133350</xdr:rowOff>
    </xdr:from>
    <xdr:to>
      <xdr:col>9</xdr:col>
      <xdr:colOff>390525</xdr:colOff>
      <xdr:row>332</xdr:row>
      <xdr:rowOff>1322</xdr:rowOff>
    </xdr:to>
    <xdr:pic>
      <xdr:nvPicPr>
        <xdr:cNvPr id="46194" name="Picture 196"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210800" y="61379100"/>
          <a:ext cx="449580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68</xdr:row>
      <xdr:rowOff>142875</xdr:rowOff>
    </xdr:from>
    <xdr:to>
      <xdr:col>15</xdr:col>
      <xdr:colOff>434975</xdr:colOff>
      <xdr:row>74</xdr:row>
      <xdr:rowOff>190500</xdr:rowOff>
    </xdr:to>
    <xdr:pic>
      <xdr:nvPicPr>
        <xdr:cNvPr id="46195" name="Picture 197"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b="40797"/>
        <a:stretch>
          <a:fillRect/>
        </a:stretch>
      </xdr:blipFill>
      <xdr:spPr bwMode="auto">
        <a:xfrm>
          <a:off x="12106275" y="11344275"/>
          <a:ext cx="773430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xdr:colOff>
      <xdr:row>78</xdr:row>
      <xdr:rowOff>19050</xdr:rowOff>
    </xdr:from>
    <xdr:to>
      <xdr:col>11</xdr:col>
      <xdr:colOff>22225</xdr:colOff>
      <xdr:row>83</xdr:row>
      <xdr:rowOff>171450</xdr:rowOff>
    </xdr:to>
    <xdr:pic>
      <xdr:nvPicPr>
        <xdr:cNvPr id="46196" name="Picture 198"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t="39687"/>
        <a:stretch>
          <a:fillRect/>
        </a:stretch>
      </xdr:blipFill>
      <xdr:spPr bwMode="auto">
        <a:xfrm>
          <a:off x="12172950" y="13220700"/>
          <a:ext cx="38576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371475</xdr:colOff>
      <xdr:row>15</xdr:row>
      <xdr:rowOff>9525</xdr:rowOff>
    </xdr:from>
    <xdr:to>
      <xdr:col>14</xdr:col>
      <xdr:colOff>180975</xdr:colOff>
      <xdr:row>27</xdr:row>
      <xdr:rowOff>26987</xdr:rowOff>
    </xdr:to>
    <xdr:pic>
      <xdr:nvPicPr>
        <xdr:cNvPr id="46197" name="Picture 200" descr="Screen Clippin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3849350" y="2609850"/>
          <a:ext cx="4848225"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257175</xdr:colOff>
      <xdr:row>342</xdr:row>
      <xdr:rowOff>161925</xdr:rowOff>
    </xdr:from>
    <xdr:to>
      <xdr:col>14</xdr:col>
      <xdr:colOff>695325</xdr:colOff>
      <xdr:row>354</xdr:row>
      <xdr:rowOff>66675</xdr:rowOff>
    </xdr:to>
    <xdr:pic>
      <xdr:nvPicPr>
        <xdr:cNvPr id="46198" name="Picture 202"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b="29131"/>
        <a:stretch>
          <a:fillRect/>
        </a:stretch>
      </xdr:blipFill>
      <xdr:spPr bwMode="auto">
        <a:xfrm>
          <a:off x="14573250" y="65408175"/>
          <a:ext cx="46386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257175</xdr:colOff>
      <xdr:row>173</xdr:row>
      <xdr:rowOff>133350</xdr:rowOff>
    </xdr:from>
    <xdr:to>
      <xdr:col>7</xdr:col>
      <xdr:colOff>1123950</xdr:colOff>
      <xdr:row>174</xdr:row>
      <xdr:rowOff>123825</xdr:rowOff>
    </xdr:to>
    <xdr:pic>
      <xdr:nvPicPr>
        <xdr:cNvPr id="46225" name="Picture 9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334875" y="3157537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1390650</xdr:colOff>
      <xdr:row>161</xdr:row>
      <xdr:rowOff>180975</xdr:rowOff>
    </xdr:from>
    <xdr:to>
      <xdr:col>7</xdr:col>
      <xdr:colOff>171450</xdr:colOff>
      <xdr:row>169</xdr:row>
      <xdr:rowOff>123825</xdr:rowOff>
    </xdr:to>
    <xdr:pic>
      <xdr:nvPicPr>
        <xdr:cNvPr id="46226" name="Picture 160"/>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915775" y="29213175"/>
          <a:ext cx="333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723900</xdr:colOff>
      <xdr:row>310</xdr:row>
      <xdr:rowOff>19050</xdr:rowOff>
    </xdr:from>
    <xdr:to>
      <xdr:col>2</xdr:col>
      <xdr:colOff>819150</xdr:colOff>
      <xdr:row>311</xdr:row>
      <xdr:rowOff>19050</xdr:rowOff>
    </xdr:to>
    <xdr:pic>
      <xdr:nvPicPr>
        <xdr:cNvPr id="46227" name="Picture 16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 y="58702575"/>
          <a:ext cx="1152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933450</xdr:colOff>
      <xdr:row>309</xdr:row>
      <xdr:rowOff>200025</xdr:rowOff>
    </xdr:from>
    <xdr:to>
      <xdr:col>4</xdr:col>
      <xdr:colOff>485775</xdr:colOff>
      <xdr:row>311</xdr:row>
      <xdr:rowOff>9525</xdr:rowOff>
    </xdr:to>
    <xdr:pic>
      <xdr:nvPicPr>
        <xdr:cNvPr id="46228" name="Picture 16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258050" y="58674000"/>
          <a:ext cx="10953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1019175</xdr:colOff>
      <xdr:row>310</xdr:row>
      <xdr:rowOff>9525</xdr:rowOff>
    </xdr:from>
    <xdr:to>
      <xdr:col>6</xdr:col>
      <xdr:colOff>533400</xdr:colOff>
      <xdr:row>311</xdr:row>
      <xdr:rowOff>19050</xdr:rowOff>
    </xdr:to>
    <xdr:pic>
      <xdr:nvPicPr>
        <xdr:cNvPr id="46229" name="Picture 16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239375" y="5869305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885825</xdr:colOff>
      <xdr:row>309</xdr:row>
      <xdr:rowOff>200025</xdr:rowOff>
    </xdr:from>
    <xdr:to>
      <xdr:col>8</xdr:col>
      <xdr:colOff>352425</xdr:colOff>
      <xdr:row>310</xdr:row>
      <xdr:rowOff>200025</xdr:rowOff>
    </xdr:to>
    <xdr:pic>
      <xdr:nvPicPr>
        <xdr:cNvPr id="46230" name="Picture 16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963525" y="58674000"/>
          <a:ext cx="866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333375</xdr:colOff>
      <xdr:row>412</xdr:row>
      <xdr:rowOff>66675</xdr:rowOff>
    </xdr:from>
    <xdr:to>
      <xdr:col>7</xdr:col>
      <xdr:colOff>590550</xdr:colOff>
      <xdr:row>426</xdr:row>
      <xdr:rowOff>190501</xdr:rowOff>
    </xdr:to>
    <xdr:pic>
      <xdr:nvPicPr>
        <xdr:cNvPr id="46231" name="Picture 149"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657975" y="79495650"/>
          <a:ext cx="6105525" cy="2924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371475</xdr:colOff>
      <xdr:row>430</xdr:row>
      <xdr:rowOff>152400</xdr:rowOff>
    </xdr:from>
    <xdr:to>
      <xdr:col>7</xdr:col>
      <xdr:colOff>723900</xdr:colOff>
      <xdr:row>457</xdr:row>
      <xdr:rowOff>19049</xdr:rowOff>
    </xdr:to>
    <xdr:pic>
      <xdr:nvPicPr>
        <xdr:cNvPr id="46232" name="Picture 150"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696075" y="83181825"/>
          <a:ext cx="6200775" cy="526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413</xdr:row>
      <xdr:rowOff>9525</xdr:rowOff>
    </xdr:from>
    <xdr:to>
      <xdr:col>2</xdr:col>
      <xdr:colOff>1028700</xdr:colOff>
      <xdr:row>427</xdr:row>
      <xdr:rowOff>1</xdr:rowOff>
    </xdr:to>
    <xdr:pic>
      <xdr:nvPicPr>
        <xdr:cNvPr id="46233" name="Picture 151"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3350" y="79638525"/>
          <a:ext cx="5953125" cy="2790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430</xdr:row>
      <xdr:rowOff>104775</xdr:rowOff>
    </xdr:from>
    <xdr:to>
      <xdr:col>3</xdr:col>
      <xdr:colOff>28575</xdr:colOff>
      <xdr:row>457</xdr:row>
      <xdr:rowOff>114299</xdr:rowOff>
    </xdr:to>
    <xdr:pic>
      <xdr:nvPicPr>
        <xdr:cNvPr id="46234" name="Picture 152"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4775" y="83134200"/>
          <a:ext cx="6248400" cy="5410200"/>
        </a:xfrm>
        <a:prstGeom prst="rect">
          <a:avLst/>
        </a:prstGeom>
        <a:noFill/>
        <a:ln w="9525">
          <a:solidFill>
            <a:srgbClr val="4472C4"/>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60613</xdr:colOff>
      <xdr:row>98</xdr:row>
      <xdr:rowOff>61606</xdr:rowOff>
    </xdr:from>
    <xdr:to>
      <xdr:col>11</xdr:col>
      <xdr:colOff>407477</xdr:colOff>
      <xdr:row>101</xdr:row>
      <xdr:rowOff>63321</xdr:rowOff>
    </xdr:to>
    <xdr:pic>
      <xdr:nvPicPr>
        <xdr:cNvPr id="46148" name="Picture 46147"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131386" y="16790970"/>
          <a:ext cx="4280977" cy="599192"/>
        </a:xfrm>
        <a:prstGeom prst="rect">
          <a:avLst/>
        </a:prstGeom>
        <a:ln>
          <a:solidFill>
            <a:srgbClr val="7030A0"/>
          </a:solidFill>
        </a:ln>
      </xdr:spPr>
    </xdr:pic>
    <xdr:clientData/>
  </xdr:twoCellAnchor>
  <xdr:twoCellAnchor editAs="oneCell">
    <xdr:from>
      <xdr:col>7</xdr:col>
      <xdr:colOff>138545</xdr:colOff>
      <xdr:row>101</xdr:row>
      <xdr:rowOff>77931</xdr:rowOff>
    </xdr:from>
    <xdr:to>
      <xdr:col>11</xdr:col>
      <xdr:colOff>255804</xdr:colOff>
      <xdr:row>104</xdr:row>
      <xdr:rowOff>86499</xdr:rowOff>
    </xdr:to>
    <xdr:pic>
      <xdr:nvPicPr>
        <xdr:cNvPr id="46149" name="Picture 46148"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2209318" y="17404772"/>
          <a:ext cx="4051372" cy="606045"/>
        </a:xfrm>
        <a:prstGeom prst="rect">
          <a:avLst/>
        </a:prstGeom>
        <a:ln>
          <a:solidFill>
            <a:srgbClr val="7030A0"/>
          </a:solidFill>
        </a:ln>
      </xdr:spPr>
    </xdr:pic>
    <xdr:clientData/>
  </xdr:twoCellAnchor>
  <xdr:twoCellAnchor editAs="oneCell">
    <xdr:from>
      <xdr:col>0</xdr:col>
      <xdr:colOff>337703</xdr:colOff>
      <xdr:row>191</xdr:row>
      <xdr:rowOff>77933</xdr:rowOff>
    </xdr:from>
    <xdr:to>
      <xdr:col>1</xdr:col>
      <xdr:colOff>614525</xdr:colOff>
      <xdr:row>193</xdr:row>
      <xdr:rowOff>60668</xdr:rowOff>
    </xdr:to>
    <xdr:pic>
      <xdr:nvPicPr>
        <xdr:cNvPr id="46159" name="Picture 46158"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37703" y="34982728"/>
          <a:ext cx="4277322" cy="381053"/>
        </a:xfrm>
        <a:prstGeom prst="rect">
          <a:avLst/>
        </a:prstGeom>
        <a:ln>
          <a:solidFill>
            <a:srgbClr val="7030A0"/>
          </a:solidFill>
        </a:ln>
      </xdr:spPr>
    </xdr:pic>
    <xdr:clientData/>
  </xdr:twoCellAnchor>
  <xdr:twoCellAnchor editAs="oneCell">
    <xdr:from>
      <xdr:col>0</xdr:col>
      <xdr:colOff>206953</xdr:colOff>
      <xdr:row>196</xdr:row>
      <xdr:rowOff>187903</xdr:rowOff>
    </xdr:from>
    <xdr:to>
      <xdr:col>1</xdr:col>
      <xdr:colOff>579294</xdr:colOff>
      <xdr:row>199</xdr:row>
      <xdr:rowOff>182387</xdr:rowOff>
    </xdr:to>
    <xdr:pic>
      <xdr:nvPicPr>
        <xdr:cNvPr id="46160" name="Picture 46159"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6953" y="39649978"/>
          <a:ext cx="4372841" cy="632659"/>
        </a:xfrm>
        <a:prstGeom prst="rect">
          <a:avLst/>
        </a:prstGeom>
        <a:ln>
          <a:solidFill>
            <a:srgbClr val="00B050"/>
          </a:solidFill>
        </a:ln>
      </xdr:spPr>
    </xdr:pic>
    <xdr:clientData/>
  </xdr:twoCellAnchor>
  <xdr:twoCellAnchor editAs="oneCell">
    <xdr:from>
      <xdr:col>0</xdr:col>
      <xdr:colOff>441614</xdr:colOff>
      <xdr:row>212</xdr:row>
      <xdr:rowOff>155863</xdr:rowOff>
    </xdr:from>
    <xdr:to>
      <xdr:col>1</xdr:col>
      <xdr:colOff>861331</xdr:colOff>
      <xdr:row>215</xdr:row>
      <xdr:rowOff>142961</xdr:rowOff>
    </xdr:to>
    <xdr:pic>
      <xdr:nvPicPr>
        <xdr:cNvPr id="46162" name="Picture 46161"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41614" y="39078477"/>
          <a:ext cx="4420217" cy="619211"/>
        </a:xfrm>
        <a:prstGeom prst="rect">
          <a:avLst/>
        </a:prstGeom>
        <a:ln>
          <a:solidFill>
            <a:srgbClr val="7030A0"/>
          </a:solidFill>
        </a:ln>
      </xdr:spPr>
    </xdr:pic>
    <xdr:clientData/>
  </xdr:twoCellAnchor>
  <xdr:twoCellAnchor editAs="oneCell">
    <xdr:from>
      <xdr:col>0</xdr:col>
      <xdr:colOff>95251</xdr:colOff>
      <xdr:row>221</xdr:row>
      <xdr:rowOff>43296</xdr:rowOff>
    </xdr:from>
    <xdr:to>
      <xdr:col>1</xdr:col>
      <xdr:colOff>846445</xdr:colOff>
      <xdr:row>224</xdr:row>
      <xdr:rowOff>190499</xdr:rowOff>
    </xdr:to>
    <xdr:pic>
      <xdr:nvPicPr>
        <xdr:cNvPr id="46164" name="Picture 46163" descr="Screen Clippi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5251" y="40792978"/>
          <a:ext cx="4751694" cy="796635"/>
        </a:xfrm>
        <a:prstGeom prst="rect">
          <a:avLst/>
        </a:prstGeom>
        <a:ln>
          <a:solidFill>
            <a:srgbClr val="7030A0"/>
          </a:solidFill>
        </a:ln>
      </xdr:spPr>
    </xdr:pic>
    <xdr:clientData/>
  </xdr:twoCellAnchor>
  <xdr:twoCellAnchor editAs="oneCell">
    <xdr:from>
      <xdr:col>0</xdr:col>
      <xdr:colOff>268432</xdr:colOff>
      <xdr:row>243</xdr:row>
      <xdr:rowOff>147203</xdr:rowOff>
    </xdr:from>
    <xdr:to>
      <xdr:col>1</xdr:col>
      <xdr:colOff>754833</xdr:colOff>
      <xdr:row>247</xdr:row>
      <xdr:rowOff>17410</xdr:rowOff>
    </xdr:to>
    <xdr:pic>
      <xdr:nvPicPr>
        <xdr:cNvPr id="46165" name="Picture 46164" descr="Screen Clipping"/>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68432" y="45382294"/>
          <a:ext cx="4486901" cy="666843"/>
        </a:xfrm>
        <a:prstGeom prst="rect">
          <a:avLst/>
        </a:prstGeom>
        <a:ln>
          <a:solidFill>
            <a:srgbClr val="7030A0"/>
          </a:solidFill>
        </a:ln>
      </xdr:spPr>
    </xdr:pic>
    <xdr:clientData/>
  </xdr:twoCellAnchor>
  <xdr:twoCellAnchor editAs="oneCell">
    <xdr:from>
      <xdr:col>0</xdr:col>
      <xdr:colOff>337706</xdr:colOff>
      <xdr:row>204</xdr:row>
      <xdr:rowOff>134834</xdr:rowOff>
    </xdr:from>
    <xdr:to>
      <xdr:col>1</xdr:col>
      <xdr:colOff>689097</xdr:colOff>
      <xdr:row>207</xdr:row>
      <xdr:rowOff>191474</xdr:rowOff>
    </xdr:to>
    <xdr:pic>
      <xdr:nvPicPr>
        <xdr:cNvPr id="46145" name="Picture 46144"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7706" y="37446857"/>
          <a:ext cx="4351891" cy="671435"/>
        </a:xfrm>
        <a:prstGeom prst="rect">
          <a:avLst/>
        </a:prstGeom>
        <a:ln>
          <a:solidFill>
            <a:srgbClr val="00B050"/>
          </a:solidFill>
        </a:ln>
      </xdr:spPr>
    </xdr:pic>
    <xdr:clientData/>
  </xdr:twoCellAnchor>
  <xdr:twoCellAnchor editAs="oneCell">
    <xdr:from>
      <xdr:col>0</xdr:col>
      <xdr:colOff>173183</xdr:colOff>
      <xdr:row>231</xdr:row>
      <xdr:rowOff>147204</xdr:rowOff>
    </xdr:from>
    <xdr:to>
      <xdr:col>1</xdr:col>
      <xdr:colOff>822613</xdr:colOff>
      <xdr:row>235</xdr:row>
      <xdr:rowOff>53079</xdr:rowOff>
    </xdr:to>
    <xdr:pic>
      <xdr:nvPicPr>
        <xdr:cNvPr id="46147" name="Picture 46146"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73183" y="42957749"/>
          <a:ext cx="4649930" cy="719829"/>
        </a:xfrm>
        <a:prstGeom prst="rect">
          <a:avLst/>
        </a:prstGeom>
        <a:ln>
          <a:solidFill>
            <a:srgbClr val="00B050"/>
          </a:solidFill>
        </a:ln>
      </xdr:spPr>
    </xdr:pic>
    <xdr:clientData/>
  </xdr:twoCellAnchor>
  <xdr:twoCellAnchor editAs="oneCell">
    <xdr:from>
      <xdr:col>0</xdr:col>
      <xdr:colOff>715818</xdr:colOff>
      <xdr:row>264</xdr:row>
      <xdr:rowOff>40985</xdr:rowOff>
    </xdr:from>
    <xdr:to>
      <xdr:col>1</xdr:col>
      <xdr:colOff>326159</xdr:colOff>
      <xdr:row>266</xdr:row>
      <xdr:rowOff>133836</xdr:rowOff>
    </xdr:to>
    <xdr:pic>
      <xdr:nvPicPr>
        <xdr:cNvPr id="46163" name="Picture 46162" descr="Screen Clipping"/>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15818" y="52174485"/>
          <a:ext cx="3610841" cy="486551"/>
        </a:xfrm>
        <a:prstGeom prst="rect">
          <a:avLst/>
        </a:prstGeom>
        <a:ln>
          <a:solidFill>
            <a:srgbClr val="00B050"/>
          </a:solidFill>
        </a:ln>
      </xdr:spPr>
    </xdr:pic>
    <xdr:clientData/>
  </xdr:twoCellAnchor>
  <xdr:twoCellAnchor editAs="oneCell">
    <xdr:from>
      <xdr:col>0</xdr:col>
      <xdr:colOff>164522</xdr:colOff>
      <xdr:row>290</xdr:row>
      <xdr:rowOff>98784</xdr:rowOff>
    </xdr:from>
    <xdr:to>
      <xdr:col>2</xdr:col>
      <xdr:colOff>641769</xdr:colOff>
      <xdr:row>292</xdr:row>
      <xdr:rowOff>39894</xdr:rowOff>
    </xdr:to>
    <xdr:pic>
      <xdr:nvPicPr>
        <xdr:cNvPr id="33" name="Picture 32"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4522" y="54711670"/>
          <a:ext cx="5534156" cy="339428"/>
        </a:xfrm>
        <a:prstGeom prst="rect">
          <a:avLst/>
        </a:prstGeom>
        <a:ln>
          <a:solidFill>
            <a:srgbClr val="00B050"/>
          </a:solidFill>
        </a:ln>
      </xdr:spPr>
    </xdr:pic>
    <xdr:clientData/>
  </xdr:twoCellAnchor>
  <xdr:twoCellAnchor editAs="oneCell">
    <xdr:from>
      <xdr:col>0</xdr:col>
      <xdr:colOff>181840</xdr:colOff>
      <xdr:row>307</xdr:row>
      <xdr:rowOff>86591</xdr:rowOff>
    </xdr:from>
    <xdr:to>
      <xdr:col>1</xdr:col>
      <xdr:colOff>857250</xdr:colOff>
      <xdr:row>309</xdr:row>
      <xdr:rowOff>60614</xdr:rowOff>
    </xdr:to>
    <xdr:pic>
      <xdr:nvPicPr>
        <xdr:cNvPr id="46176" name="Picture 46175"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81840" y="58085182"/>
          <a:ext cx="4675910" cy="372341"/>
        </a:xfrm>
        <a:prstGeom prst="rect">
          <a:avLst/>
        </a:prstGeom>
        <a:ln>
          <a:solidFill>
            <a:srgbClr val="00B050"/>
          </a:solidFill>
        </a:ln>
      </xdr:spPr>
    </xdr:pic>
    <xdr:clientData/>
  </xdr:twoCellAnchor>
  <xdr:twoCellAnchor editAs="oneCell">
    <xdr:from>
      <xdr:col>0</xdr:col>
      <xdr:colOff>571501</xdr:colOff>
      <xdr:row>270</xdr:row>
      <xdr:rowOff>181842</xdr:rowOff>
    </xdr:from>
    <xdr:to>
      <xdr:col>1</xdr:col>
      <xdr:colOff>190500</xdr:colOff>
      <xdr:row>273</xdr:row>
      <xdr:rowOff>114610</xdr:rowOff>
    </xdr:to>
    <xdr:pic>
      <xdr:nvPicPr>
        <xdr:cNvPr id="46177" name="Picture 46176"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71501" y="50811547"/>
          <a:ext cx="3619499" cy="530245"/>
        </a:xfrm>
        <a:prstGeom prst="rect">
          <a:avLst/>
        </a:prstGeom>
        <a:ln>
          <a:solidFill>
            <a:srgbClr val="00B050"/>
          </a:solidFill>
        </a:ln>
      </xdr:spPr>
    </xdr:pic>
    <xdr:clientData/>
  </xdr:twoCellAnchor>
  <xdr:twoCellAnchor editAs="oneCell">
    <xdr:from>
      <xdr:col>0</xdr:col>
      <xdr:colOff>649432</xdr:colOff>
      <xdr:row>279</xdr:row>
      <xdr:rowOff>193229</xdr:rowOff>
    </xdr:from>
    <xdr:to>
      <xdr:col>1</xdr:col>
      <xdr:colOff>159171</xdr:colOff>
      <xdr:row>285</xdr:row>
      <xdr:rowOff>32248</xdr:rowOff>
    </xdr:to>
    <xdr:pic>
      <xdr:nvPicPr>
        <xdr:cNvPr id="46178" name="Picture 46177"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649432" y="52615365"/>
          <a:ext cx="3510239" cy="1033973"/>
        </a:xfrm>
        <a:prstGeom prst="rect">
          <a:avLst/>
        </a:prstGeom>
        <a:ln>
          <a:solidFill>
            <a:srgbClr val="00B050"/>
          </a:solidFill>
        </a:ln>
      </xdr:spPr>
    </xdr:pic>
    <xdr:clientData/>
  </xdr:twoCellAnchor>
  <xdr:twoCellAnchor editAs="oneCell">
    <xdr:from>
      <xdr:col>0</xdr:col>
      <xdr:colOff>173181</xdr:colOff>
      <xdr:row>299</xdr:row>
      <xdr:rowOff>171408</xdr:rowOff>
    </xdr:from>
    <xdr:to>
      <xdr:col>1</xdr:col>
      <xdr:colOff>926470</xdr:colOff>
      <xdr:row>306</xdr:row>
      <xdr:rowOff>43295</xdr:rowOff>
    </xdr:to>
    <xdr:pic>
      <xdr:nvPicPr>
        <xdr:cNvPr id="46179" name="Picture 46178"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73181" y="56576726"/>
          <a:ext cx="4753789" cy="1266001"/>
        </a:xfrm>
        <a:prstGeom prst="rect">
          <a:avLst/>
        </a:prstGeom>
        <a:ln>
          <a:solidFill>
            <a:srgbClr val="00B050"/>
          </a:solidFill>
        </a:ln>
      </xdr:spPr>
    </xdr:pic>
    <xdr:clientData/>
  </xdr:twoCellAnchor>
  <xdr:twoCellAnchor editAs="oneCell">
    <xdr:from>
      <xdr:col>6</xdr:col>
      <xdr:colOff>46182</xdr:colOff>
      <xdr:row>275</xdr:row>
      <xdr:rowOff>101022</xdr:rowOff>
    </xdr:from>
    <xdr:to>
      <xdr:col>10</xdr:col>
      <xdr:colOff>86592</xdr:colOff>
      <xdr:row>277</xdr:row>
      <xdr:rowOff>75046</xdr:rowOff>
    </xdr:to>
    <xdr:pic>
      <xdr:nvPicPr>
        <xdr:cNvPr id="166" name="Picture 165"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662227" y="54422386"/>
          <a:ext cx="4658592" cy="366569"/>
        </a:xfrm>
        <a:prstGeom prst="rect">
          <a:avLst/>
        </a:prstGeom>
        <a:ln>
          <a:solidFill>
            <a:srgbClr val="00B050"/>
          </a:solidFill>
        </a:ln>
      </xdr:spPr>
    </xdr:pic>
    <xdr:clientData/>
  </xdr:twoCellAnchor>
  <xdr:twoCellAnchor editAs="oneCell">
    <xdr:from>
      <xdr:col>0</xdr:col>
      <xdr:colOff>3017683</xdr:colOff>
      <xdr:row>137</xdr:row>
      <xdr:rowOff>80606</xdr:rowOff>
    </xdr:from>
    <xdr:to>
      <xdr:col>6</xdr:col>
      <xdr:colOff>324543</xdr:colOff>
      <xdr:row>156</xdr:row>
      <xdr:rowOff>171147</xdr:rowOff>
    </xdr:to>
    <xdr:pic>
      <xdr:nvPicPr>
        <xdr:cNvPr id="46181" name="Picture 46180"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017683" y="27350970"/>
          <a:ext cx="7922905" cy="3819722"/>
        </a:xfrm>
        <a:prstGeom prst="rect">
          <a:avLst/>
        </a:prstGeom>
        <a:ln>
          <a:solidFill>
            <a:srgbClr val="FF0000"/>
          </a:solidFill>
        </a:ln>
      </xdr:spPr>
    </xdr:pic>
    <xdr:clientData/>
  </xdr:twoCellAnchor>
  <xdr:twoCellAnchor editAs="oneCell">
    <xdr:from>
      <xdr:col>7</xdr:col>
      <xdr:colOff>366569</xdr:colOff>
      <xdr:row>117</xdr:row>
      <xdr:rowOff>144996</xdr:rowOff>
    </xdr:from>
    <xdr:to>
      <xdr:col>11</xdr:col>
      <xdr:colOff>508635</xdr:colOff>
      <xdr:row>120</xdr:row>
      <xdr:rowOff>12291</xdr:rowOff>
    </xdr:to>
    <xdr:pic>
      <xdr:nvPicPr>
        <xdr:cNvPr id="46182" name="Picture 46181" descr="Screen Clipping"/>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2529705" y="23489905"/>
          <a:ext cx="4061748" cy="456113"/>
        </a:xfrm>
        <a:prstGeom prst="rect">
          <a:avLst/>
        </a:prstGeom>
        <a:ln>
          <a:solidFill>
            <a:srgbClr val="FF0000"/>
          </a:solidFill>
        </a:ln>
      </xdr:spPr>
    </xdr:pic>
    <xdr:clientData/>
  </xdr:twoCellAnchor>
  <xdr:twoCellAnchor editAs="oneCell">
    <xdr:from>
      <xdr:col>7</xdr:col>
      <xdr:colOff>392546</xdr:colOff>
      <xdr:row>120</xdr:row>
      <xdr:rowOff>164801</xdr:rowOff>
    </xdr:from>
    <xdr:to>
      <xdr:col>10</xdr:col>
      <xdr:colOff>250248</xdr:colOff>
      <xdr:row>122</xdr:row>
      <xdr:rowOff>80300</xdr:rowOff>
    </xdr:to>
    <xdr:pic>
      <xdr:nvPicPr>
        <xdr:cNvPr id="46183" name="Picture 46182"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2555682" y="24098528"/>
          <a:ext cx="2928793" cy="308045"/>
        </a:xfrm>
        <a:prstGeom prst="rect">
          <a:avLst/>
        </a:prstGeom>
        <a:ln>
          <a:solidFill>
            <a:srgbClr val="00B050"/>
          </a:solidFill>
        </a:ln>
      </xdr:spPr>
    </xdr:pic>
    <xdr:clientData/>
  </xdr:twoCellAnchor>
  <xdr:twoCellAnchor editAs="oneCell">
    <xdr:from>
      <xdr:col>7</xdr:col>
      <xdr:colOff>26699</xdr:colOff>
      <xdr:row>124</xdr:row>
      <xdr:rowOff>55087</xdr:rowOff>
    </xdr:from>
    <xdr:to>
      <xdr:col>9</xdr:col>
      <xdr:colOff>500217</xdr:colOff>
      <xdr:row>125</xdr:row>
      <xdr:rowOff>130824</xdr:rowOff>
    </xdr:to>
    <xdr:pic>
      <xdr:nvPicPr>
        <xdr:cNvPr id="46185" name="Picture 46184"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189835" y="24773905"/>
          <a:ext cx="2707564" cy="272010"/>
        </a:xfrm>
        <a:prstGeom prst="rect">
          <a:avLst/>
        </a:prstGeom>
        <a:ln>
          <a:solidFill>
            <a:srgbClr val="FF0000"/>
          </a:solidFill>
        </a:ln>
      </xdr:spPr>
    </xdr:pic>
    <xdr:clientData/>
  </xdr:twoCellAnchor>
  <xdr:twoCellAnchor editAs="oneCell">
    <xdr:from>
      <xdr:col>7</xdr:col>
      <xdr:colOff>577105</xdr:colOff>
      <xdr:row>126</xdr:row>
      <xdr:rowOff>25403</xdr:rowOff>
    </xdr:from>
    <xdr:to>
      <xdr:col>11</xdr:col>
      <xdr:colOff>508488</xdr:colOff>
      <xdr:row>128</xdr:row>
      <xdr:rowOff>144062</xdr:rowOff>
    </xdr:to>
    <xdr:pic>
      <xdr:nvPicPr>
        <xdr:cNvPr id="46186" name="Picture 46185" descr="Screen Clipping"/>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2740241" y="25136767"/>
          <a:ext cx="3851065" cy="511204"/>
        </a:xfrm>
        <a:prstGeom prst="rect">
          <a:avLst/>
        </a:prstGeom>
        <a:ln>
          <a:solidFill>
            <a:srgbClr val="FF0000"/>
          </a:solidFill>
        </a:ln>
      </xdr:spPr>
    </xdr:pic>
    <xdr:clientData/>
  </xdr:twoCellAnchor>
  <xdr:twoCellAnchor editAs="oneCell">
    <xdr:from>
      <xdr:col>7</xdr:col>
      <xdr:colOff>352538</xdr:colOff>
      <xdr:row>128</xdr:row>
      <xdr:rowOff>168278</xdr:rowOff>
    </xdr:from>
    <xdr:to>
      <xdr:col>10</xdr:col>
      <xdr:colOff>170702</xdr:colOff>
      <xdr:row>130</xdr:row>
      <xdr:rowOff>139876</xdr:rowOff>
    </xdr:to>
    <xdr:pic>
      <xdr:nvPicPr>
        <xdr:cNvPr id="46193" name="Picture 46192"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512788" y="25549228"/>
          <a:ext cx="2891564" cy="365298"/>
        </a:xfrm>
        <a:prstGeom prst="rect">
          <a:avLst/>
        </a:prstGeom>
        <a:ln>
          <a:solidFill>
            <a:srgbClr val="00B050"/>
          </a:solidFill>
        </a:ln>
      </xdr:spPr>
    </xdr:pic>
    <xdr:clientData/>
  </xdr:twoCellAnchor>
  <xdr:twoCellAnchor editAs="oneCell">
    <xdr:from>
      <xdr:col>5</xdr:col>
      <xdr:colOff>1268639</xdr:colOff>
      <xdr:row>135</xdr:row>
      <xdr:rowOff>52393</xdr:rowOff>
    </xdr:from>
    <xdr:to>
      <xdr:col>11</xdr:col>
      <xdr:colOff>565033</xdr:colOff>
      <xdr:row>138</xdr:row>
      <xdr:rowOff>28575</xdr:rowOff>
    </xdr:to>
    <xdr:pic>
      <xdr:nvPicPr>
        <xdr:cNvPr id="46199" name="Picture 46198"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584089" y="27255793"/>
          <a:ext cx="6078194" cy="576257"/>
        </a:xfrm>
        <a:prstGeom prst="rect">
          <a:avLst/>
        </a:prstGeom>
        <a:ln>
          <a:solidFill>
            <a:srgbClr val="FF0000"/>
          </a:solidFill>
        </a:ln>
      </xdr:spPr>
    </xdr:pic>
    <xdr:clientData/>
  </xdr:twoCellAnchor>
  <xdr:twoCellAnchor editAs="oneCell">
    <xdr:from>
      <xdr:col>6</xdr:col>
      <xdr:colOff>551457</xdr:colOff>
      <xdr:row>133</xdr:row>
      <xdr:rowOff>9860</xdr:rowOff>
    </xdr:from>
    <xdr:to>
      <xdr:col>9</xdr:col>
      <xdr:colOff>600509</xdr:colOff>
      <xdr:row>134</xdr:row>
      <xdr:rowOff>162480</xdr:rowOff>
    </xdr:to>
    <xdr:pic>
      <xdr:nvPicPr>
        <xdr:cNvPr id="174" name="Picture 173"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1163013" y="26665749"/>
          <a:ext cx="3837885" cy="350175"/>
        </a:xfrm>
        <a:prstGeom prst="rect">
          <a:avLst/>
        </a:prstGeom>
        <a:ln>
          <a:solidFill>
            <a:srgbClr val="FF0000"/>
          </a:solidFill>
        </a:ln>
      </xdr:spPr>
    </xdr:pic>
    <xdr:clientData/>
  </xdr:twoCellAnchor>
  <xdr:twoCellAnchor editAs="oneCell">
    <xdr:from>
      <xdr:col>7</xdr:col>
      <xdr:colOff>351493</xdr:colOff>
      <xdr:row>101</xdr:row>
      <xdr:rowOff>139827</xdr:rowOff>
    </xdr:from>
    <xdr:to>
      <xdr:col>11</xdr:col>
      <xdr:colOff>71584</xdr:colOff>
      <xdr:row>104</xdr:row>
      <xdr:rowOff>171946</xdr:rowOff>
    </xdr:to>
    <xdr:pic>
      <xdr:nvPicPr>
        <xdr:cNvPr id="46200" name="Picture 46199"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515271" y="20473938"/>
          <a:ext cx="3650035" cy="624786"/>
        </a:xfrm>
        <a:prstGeom prst="rect">
          <a:avLst/>
        </a:prstGeom>
        <a:ln>
          <a:solidFill>
            <a:srgbClr val="00B050"/>
          </a:solidFill>
        </a:ln>
      </xdr:spPr>
    </xdr:pic>
    <xdr:clientData/>
  </xdr:twoCellAnchor>
  <xdr:twoCellAnchor editAs="oneCell">
    <xdr:from>
      <xdr:col>7</xdr:col>
      <xdr:colOff>260414</xdr:colOff>
      <xdr:row>98</xdr:row>
      <xdr:rowOff>46505</xdr:rowOff>
    </xdr:from>
    <xdr:to>
      <xdr:col>10</xdr:col>
      <xdr:colOff>839356</xdr:colOff>
      <xdr:row>101</xdr:row>
      <xdr:rowOff>7547</xdr:rowOff>
    </xdr:to>
    <xdr:pic>
      <xdr:nvPicPr>
        <xdr:cNvPr id="46201" name="Picture 46200"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424192" y="19787949"/>
          <a:ext cx="3657986" cy="553709"/>
        </a:xfrm>
        <a:prstGeom prst="rect">
          <a:avLst/>
        </a:prstGeom>
        <a:ln>
          <a:solidFill>
            <a:srgbClr val="00B050"/>
          </a:solidFill>
        </a:ln>
      </xdr:spPr>
    </xdr:pic>
    <xdr:clientData/>
  </xdr:twoCellAnchor>
  <xdr:twoCellAnchor editAs="oneCell">
    <xdr:from>
      <xdr:col>6</xdr:col>
      <xdr:colOff>332890</xdr:colOff>
      <xdr:row>40</xdr:row>
      <xdr:rowOff>42718</xdr:rowOff>
    </xdr:from>
    <xdr:to>
      <xdr:col>10</xdr:col>
      <xdr:colOff>211016</xdr:colOff>
      <xdr:row>42</xdr:row>
      <xdr:rowOff>103332</xdr:rowOff>
    </xdr:to>
    <xdr:pic>
      <xdr:nvPicPr>
        <xdr:cNvPr id="46204" name="Picture 46203" descr="Screen Clipping"/>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943740" y="7904018"/>
          <a:ext cx="4500926" cy="454314"/>
        </a:xfrm>
        <a:prstGeom prst="rect">
          <a:avLst/>
        </a:prstGeom>
        <a:ln>
          <a:solidFill>
            <a:srgbClr val="00B050"/>
          </a:solidFill>
        </a:ln>
      </xdr:spPr>
    </xdr:pic>
    <xdr:clientData/>
  </xdr:twoCellAnchor>
  <xdr:twoCellAnchor editAs="oneCell">
    <xdr:from>
      <xdr:col>9</xdr:col>
      <xdr:colOff>197428</xdr:colOff>
      <xdr:row>166</xdr:row>
      <xdr:rowOff>94096</xdr:rowOff>
    </xdr:from>
    <xdr:to>
      <xdr:col>12</xdr:col>
      <xdr:colOff>539691</xdr:colOff>
      <xdr:row>168</xdr:row>
      <xdr:rowOff>64411</xdr:rowOff>
    </xdr:to>
    <xdr:pic>
      <xdr:nvPicPr>
        <xdr:cNvPr id="187" name="Picture 186"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592878" y="32974396"/>
          <a:ext cx="2869563" cy="364015"/>
        </a:xfrm>
        <a:prstGeom prst="rect">
          <a:avLst/>
        </a:prstGeom>
        <a:ln>
          <a:solidFill>
            <a:srgbClr val="00B050"/>
          </a:solidFill>
        </a:ln>
      </xdr:spPr>
    </xdr:pic>
    <xdr:clientData/>
  </xdr:twoCellAnchor>
  <xdr:twoCellAnchor editAs="oneCell">
    <xdr:from>
      <xdr:col>5</xdr:col>
      <xdr:colOff>892528</xdr:colOff>
      <xdr:row>48</xdr:row>
      <xdr:rowOff>147065</xdr:rowOff>
    </xdr:from>
    <xdr:to>
      <xdr:col>11</xdr:col>
      <xdr:colOff>313311</xdr:colOff>
      <xdr:row>50</xdr:row>
      <xdr:rowOff>88340</xdr:rowOff>
    </xdr:to>
    <xdr:pic>
      <xdr:nvPicPr>
        <xdr:cNvPr id="183" name="Picture 182" descr="Screen Clipping"/>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0198806" y="10010732"/>
          <a:ext cx="6208227" cy="336386"/>
        </a:xfrm>
        <a:prstGeom prst="rect">
          <a:avLst/>
        </a:prstGeom>
        <a:ln>
          <a:solidFill>
            <a:srgbClr val="FF0000"/>
          </a:solidFill>
        </a:ln>
      </xdr:spPr>
    </xdr:pic>
    <xdr:clientData/>
  </xdr:twoCellAnchor>
  <xdr:twoCellAnchor editAs="oneCell">
    <xdr:from>
      <xdr:col>5</xdr:col>
      <xdr:colOff>956047</xdr:colOff>
      <xdr:row>51</xdr:row>
      <xdr:rowOff>16386</xdr:rowOff>
    </xdr:from>
    <xdr:to>
      <xdr:col>7</xdr:col>
      <xdr:colOff>995928</xdr:colOff>
      <xdr:row>53</xdr:row>
      <xdr:rowOff>74451</xdr:rowOff>
    </xdr:to>
    <xdr:pic>
      <xdr:nvPicPr>
        <xdr:cNvPr id="184" name="Picture 183" descr="Screen Clipping"/>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262325" y="10472719"/>
          <a:ext cx="2897381" cy="453176"/>
        </a:xfrm>
        <a:prstGeom prst="rect">
          <a:avLst/>
        </a:prstGeom>
        <a:ln>
          <a:solidFill>
            <a:srgbClr val="FF0000"/>
          </a:solidFill>
        </a:ln>
      </xdr:spPr>
    </xdr:pic>
    <xdr:clientData/>
  </xdr:twoCellAnchor>
  <xdr:oneCellAnchor>
    <xdr:from>
      <xdr:col>2</xdr:col>
      <xdr:colOff>464704</xdr:colOff>
      <xdr:row>91</xdr:row>
      <xdr:rowOff>5003</xdr:rowOff>
    </xdr:from>
    <xdr:ext cx="355949" cy="209309"/>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00000000-0008-0000-0000-000032000000}"/>
                </a:ext>
              </a:extLst>
            </xdr:cNvPr>
            <xdr:cNvSpPr txBox="1"/>
          </xdr:nvSpPr>
          <xdr:spPr>
            <a:xfrm>
              <a:off x="5520892" y="16078441"/>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m:t>
                        </m:r>
                      </m:sub>
                    </m:sSub>
                  </m:oMath>
                </m:oMathPara>
              </a14:m>
              <a:endParaRPr lang="en-GB" sz="1100"/>
            </a:p>
          </xdr:txBody>
        </xdr:sp>
      </mc:Choice>
      <mc:Fallback xmlns="">
        <xdr:sp macro="" textlink="">
          <xdr:nvSpPr>
            <xdr:cNvPr id="185" name="TextBox 184">
              <a:extLst>
                <a:ext uri="{FF2B5EF4-FFF2-40B4-BE49-F238E27FC236}">
                  <a16:creationId xmlns:a16="http://schemas.microsoft.com/office/drawing/2014/main" id="{00000000-0008-0000-0000-000032000000}"/>
                </a:ext>
              </a:extLst>
            </xdr:cNvPr>
            <xdr:cNvSpPr txBox="1"/>
          </xdr:nvSpPr>
          <xdr:spPr>
            <a:xfrm>
              <a:off x="5520892" y="16078441"/>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a:t>
              </a:r>
              <a:endParaRPr lang="en-GB" sz="1100"/>
            </a:p>
          </xdr:txBody>
        </xdr:sp>
      </mc:Fallback>
    </mc:AlternateContent>
    <xdr:clientData/>
  </xdr:oneCellAnchor>
  <xdr:oneCellAnchor>
    <xdr:from>
      <xdr:col>2</xdr:col>
      <xdr:colOff>464704</xdr:colOff>
      <xdr:row>92</xdr:row>
      <xdr:rowOff>5003</xdr:rowOff>
    </xdr:from>
    <xdr:ext cx="355949" cy="209309"/>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191" name="TextBox 190">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̇_𝑑</a:t>
              </a:r>
              <a:endParaRPr lang="en-GB" sz="1100"/>
            </a:p>
          </xdr:txBody>
        </xdr:sp>
      </mc:Fallback>
    </mc:AlternateContent>
    <xdr:clientData/>
  </xdr:oneCellAnchor>
  <xdr:oneCellAnchor>
    <xdr:from>
      <xdr:col>2</xdr:col>
      <xdr:colOff>303874</xdr:colOff>
      <xdr:row>41</xdr:row>
      <xdr:rowOff>182429</xdr:rowOff>
    </xdr:from>
    <xdr:ext cx="736289" cy="223971"/>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42</xdr:row>
      <xdr:rowOff>182429</xdr:rowOff>
    </xdr:from>
    <xdr:ext cx="736289" cy="223971"/>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oneCellAnchor>
    <xdr:from>
      <xdr:col>2</xdr:col>
      <xdr:colOff>303874</xdr:colOff>
      <xdr:row>43</xdr:row>
      <xdr:rowOff>182429</xdr:rowOff>
    </xdr:from>
    <xdr:ext cx="736289" cy="223971"/>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44</xdr:row>
      <xdr:rowOff>182429</xdr:rowOff>
    </xdr:from>
    <xdr:ext cx="736289" cy="223971"/>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twoCellAnchor editAs="oneCell">
    <xdr:from>
      <xdr:col>5</xdr:col>
      <xdr:colOff>903111</xdr:colOff>
      <xdr:row>45</xdr:row>
      <xdr:rowOff>105954</xdr:rowOff>
    </xdr:from>
    <xdr:to>
      <xdr:col>11</xdr:col>
      <xdr:colOff>434454</xdr:colOff>
      <xdr:row>48</xdr:row>
      <xdr:rowOff>66287</xdr:rowOff>
    </xdr:to>
    <xdr:pic>
      <xdr:nvPicPr>
        <xdr:cNvPr id="182" name="Picture 181" descr="Screen Clipping"/>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0209389" y="9376954"/>
          <a:ext cx="6318787" cy="553000"/>
        </a:xfrm>
        <a:prstGeom prst="rect">
          <a:avLst/>
        </a:prstGeom>
        <a:ln>
          <a:solidFill>
            <a:srgbClr val="FF0000"/>
          </a:solidFill>
        </a:ln>
      </xdr:spPr>
    </xdr:pic>
    <xdr:clientData/>
  </xdr:twoCellAnchor>
  <xdr:oneCellAnchor>
    <xdr:from>
      <xdr:col>2</xdr:col>
      <xdr:colOff>303874</xdr:colOff>
      <xdr:row>45</xdr:row>
      <xdr:rowOff>182429</xdr:rowOff>
    </xdr:from>
    <xdr:ext cx="736289" cy="223971"/>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46</xdr:row>
      <xdr:rowOff>182429</xdr:rowOff>
    </xdr:from>
    <xdr:ext cx="736289" cy="223971"/>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47</xdr:row>
      <xdr:rowOff>182429</xdr:rowOff>
    </xdr:from>
    <xdr:ext cx="736289" cy="223971"/>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48</xdr:row>
      <xdr:rowOff>182429</xdr:rowOff>
    </xdr:from>
    <xdr:ext cx="736289" cy="223971"/>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49</xdr:row>
      <xdr:rowOff>182429</xdr:rowOff>
    </xdr:from>
    <xdr:ext cx="736289" cy="223971"/>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50</xdr:row>
      <xdr:rowOff>182429</xdr:rowOff>
    </xdr:from>
    <xdr:ext cx="736289" cy="223971"/>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201" name="TextBox 200">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51</xdr:row>
      <xdr:rowOff>182429</xdr:rowOff>
    </xdr:from>
    <xdr:ext cx="736289" cy="223971"/>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0000000-0008-0000-0000-000082000000}"/>
                </a:ext>
              </a:extLst>
            </xdr:cNvPr>
            <xdr:cNvSpPr txBox="1"/>
          </xdr:nvSpPr>
          <xdr:spPr>
            <a:xfrm>
              <a:off x="5360062" y="950899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2" name="TextBox 201">
              <a:extLst>
                <a:ext uri="{FF2B5EF4-FFF2-40B4-BE49-F238E27FC236}">
                  <a16:creationId xmlns:a16="http://schemas.microsoft.com/office/drawing/2014/main" id="{00000000-0008-0000-0000-000082000000}"/>
                </a:ext>
              </a:extLst>
            </xdr:cNvPr>
            <xdr:cNvSpPr txBox="1"/>
          </xdr:nvSpPr>
          <xdr:spPr>
            <a:xfrm>
              <a:off x="5360062" y="950899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52</xdr:row>
      <xdr:rowOff>182429</xdr:rowOff>
    </xdr:from>
    <xdr:ext cx="736289" cy="223971"/>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00000000-0008-0000-0000-000082000000}"/>
                </a:ext>
              </a:extLst>
            </xdr:cNvPr>
            <xdr:cNvSpPr txBox="1"/>
          </xdr:nvSpPr>
          <xdr:spPr>
            <a:xfrm>
              <a:off x="5360062" y="970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3" name="TextBox 202">
              <a:extLst>
                <a:ext uri="{FF2B5EF4-FFF2-40B4-BE49-F238E27FC236}">
                  <a16:creationId xmlns:a16="http://schemas.microsoft.com/office/drawing/2014/main" id="{00000000-0008-0000-0000-000082000000}"/>
                </a:ext>
              </a:extLst>
            </xdr:cNvPr>
            <xdr:cNvSpPr txBox="1"/>
          </xdr:nvSpPr>
          <xdr:spPr>
            <a:xfrm>
              <a:off x="5360062" y="970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6</xdr:col>
      <xdr:colOff>94672</xdr:colOff>
      <xdr:row>111</xdr:row>
      <xdr:rowOff>176211</xdr:rowOff>
    </xdr:from>
    <xdr:ext cx="1391227" cy="167354"/>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00000000-0008-0000-0000-00005B000000}"/>
                </a:ext>
              </a:extLst>
            </xdr:cNvPr>
            <xdr:cNvSpPr txBox="1"/>
          </xdr:nvSpPr>
          <xdr:spPr>
            <a:xfrm>
              <a:off x="10611860" y="22599649"/>
              <a:ext cx="139122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𝑂𝑀𝑑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204" name="TextBox 203">
              <a:extLst>
                <a:ext uri="{FF2B5EF4-FFF2-40B4-BE49-F238E27FC236}">
                  <a16:creationId xmlns:a16="http://schemas.microsoft.com/office/drawing/2014/main" id="{00000000-0008-0000-0000-00005B000000}"/>
                </a:ext>
              </a:extLst>
            </xdr:cNvPr>
            <xdr:cNvSpPr txBox="1"/>
          </xdr:nvSpPr>
          <xdr:spPr>
            <a:xfrm>
              <a:off x="10611860" y="22599649"/>
              <a:ext cx="139122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endParaRPr lang="en-GB" sz="1000"/>
            </a:p>
          </xdr:txBody>
        </xdr:sp>
      </mc:Fallback>
    </mc:AlternateContent>
    <xdr:clientData/>
  </xdr:oneCellAnchor>
  <xdr:oneCellAnchor>
    <xdr:from>
      <xdr:col>2</xdr:col>
      <xdr:colOff>464704</xdr:colOff>
      <xdr:row>112</xdr:row>
      <xdr:rowOff>5003</xdr:rowOff>
    </xdr:from>
    <xdr:ext cx="456046" cy="19819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00000000-0008-0000-0000-000032000000}"/>
                </a:ext>
              </a:extLst>
            </xdr:cNvPr>
            <xdr:cNvSpPr txBox="1"/>
          </xdr:nvSpPr>
          <xdr:spPr>
            <a:xfrm>
              <a:off x="5519304" y="22236353"/>
              <a:ext cx="456046" cy="198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205" name="TextBox 204">
              <a:extLst>
                <a:ext uri="{FF2B5EF4-FFF2-40B4-BE49-F238E27FC236}">
                  <a16:creationId xmlns:a16="http://schemas.microsoft.com/office/drawing/2014/main" id="{00000000-0008-0000-0000-000032000000}"/>
                </a:ext>
              </a:extLst>
            </xdr:cNvPr>
            <xdr:cNvSpPr txBox="1"/>
          </xdr:nvSpPr>
          <xdr:spPr>
            <a:xfrm>
              <a:off x="5519304" y="22236353"/>
              <a:ext cx="456046" cy="198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𝑜𝑚𝑑</a:t>
              </a:r>
              <a:endParaRPr lang="en-GB" sz="1100"/>
            </a:p>
          </xdr:txBody>
        </xdr:sp>
      </mc:Fallback>
    </mc:AlternateContent>
    <xdr:clientData/>
  </xdr:oneCellAnchor>
  <xdr:oneCellAnchor>
    <xdr:from>
      <xdr:col>2</xdr:col>
      <xdr:colOff>464704</xdr:colOff>
      <xdr:row>111</xdr:row>
      <xdr:rowOff>5003</xdr:rowOff>
    </xdr:from>
    <xdr:ext cx="355949" cy="209309"/>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00000000-0008-0000-0000-000032000000}"/>
                </a:ext>
              </a:extLst>
            </xdr:cNvPr>
            <xdr:cNvSpPr txBox="1"/>
          </xdr:nvSpPr>
          <xdr:spPr>
            <a:xfrm>
              <a:off x="5520892" y="18658128"/>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207" name="TextBox 206">
              <a:extLst>
                <a:ext uri="{FF2B5EF4-FFF2-40B4-BE49-F238E27FC236}">
                  <a16:creationId xmlns:a16="http://schemas.microsoft.com/office/drawing/2014/main" id="{00000000-0008-0000-0000-000032000000}"/>
                </a:ext>
              </a:extLst>
            </xdr:cNvPr>
            <xdr:cNvSpPr txBox="1"/>
          </xdr:nvSpPr>
          <xdr:spPr>
            <a:xfrm>
              <a:off x="5520892" y="18658128"/>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𝑑</a:t>
              </a:r>
              <a:endParaRPr lang="en-GB" sz="1100"/>
            </a:p>
          </xdr:txBody>
        </xdr:sp>
      </mc:Fallback>
    </mc:AlternateContent>
    <xdr:clientData/>
  </xdr:oneCellAnchor>
  <xdr:oneCellAnchor>
    <xdr:from>
      <xdr:col>2</xdr:col>
      <xdr:colOff>368878</xdr:colOff>
      <xdr:row>123</xdr:row>
      <xdr:rowOff>195696</xdr:rowOff>
    </xdr:from>
    <xdr:ext cx="697434" cy="232929"/>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00000000-0008-0000-0000-000054000000}"/>
                </a:ext>
              </a:extLst>
            </xdr:cNvPr>
            <xdr:cNvSpPr txBox="1"/>
          </xdr:nvSpPr>
          <xdr:spPr>
            <a:xfrm>
              <a:off x="5425066" y="24801946"/>
              <a:ext cx="69743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208" name="TextBox 207">
              <a:extLst>
                <a:ext uri="{FF2B5EF4-FFF2-40B4-BE49-F238E27FC236}">
                  <a16:creationId xmlns:a16="http://schemas.microsoft.com/office/drawing/2014/main" id="{00000000-0008-0000-0000-000054000000}"/>
                </a:ext>
              </a:extLst>
            </xdr:cNvPr>
            <xdr:cNvSpPr txBox="1"/>
          </xdr:nvSpPr>
          <xdr:spPr>
            <a:xfrm>
              <a:off x="5425066" y="24801946"/>
              <a:ext cx="69743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̇〗_𝑜𝑚𝑑^∗</a:t>
              </a:r>
              <a:endParaRPr lang="en-GB" sz="1100"/>
            </a:p>
          </xdr:txBody>
        </xdr:sp>
      </mc:Fallback>
    </mc:AlternateContent>
    <xdr:clientData/>
  </xdr:oneCellAnchor>
  <xdr:twoCellAnchor editAs="oneCell">
    <xdr:from>
      <xdr:col>6</xdr:col>
      <xdr:colOff>580143</xdr:colOff>
      <xdr:row>36</xdr:row>
      <xdr:rowOff>23650</xdr:rowOff>
    </xdr:from>
    <xdr:to>
      <xdr:col>10</xdr:col>
      <xdr:colOff>11275</xdr:colOff>
      <xdr:row>38</xdr:row>
      <xdr:rowOff>180359</xdr:rowOff>
    </xdr:to>
    <xdr:pic>
      <xdr:nvPicPr>
        <xdr:cNvPr id="46166" name="Picture 46165" descr="Screen Clipping"/>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1190993" y="7097550"/>
          <a:ext cx="4053932" cy="550409"/>
        </a:xfrm>
        <a:prstGeom prst="rect">
          <a:avLst/>
        </a:prstGeom>
        <a:ln>
          <a:solidFill>
            <a:srgbClr val="FF0000"/>
          </a:solidFill>
        </a:ln>
      </xdr:spPr>
    </xdr:pic>
    <xdr:clientData/>
  </xdr:twoCellAnchor>
  <xdr:twoCellAnchor editAs="oneCell">
    <xdr:from>
      <xdr:col>6</xdr:col>
      <xdr:colOff>444499</xdr:colOff>
      <xdr:row>88</xdr:row>
      <xdr:rowOff>35280</xdr:rowOff>
    </xdr:from>
    <xdr:to>
      <xdr:col>10</xdr:col>
      <xdr:colOff>759177</xdr:colOff>
      <xdr:row>89</xdr:row>
      <xdr:rowOff>183447</xdr:rowOff>
    </xdr:to>
    <xdr:pic>
      <xdr:nvPicPr>
        <xdr:cNvPr id="206" name="Picture 205" descr="Screen Clipping"/>
        <xdr:cNvPicPr>
          <a:picLocks noChangeAspect="1"/>
        </xdr:cNvPicPr>
      </xdr:nvPicPr>
      <xdr:blipFill rotWithShape="1">
        <a:blip xmlns:r="http://schemas.openxmlformats.org/officeDocument/2006/relationships" r:embed="rId50">
          <a:extLst>
            <a:ext uri="{28A0092B-C50C-407E-A947-70E740481C1C}">
              <a14:useLocalDpi xmlns:a14="http://schemas.microsoft.com/office/drawing/2010/main" val="0"/>
            </a:ext>
          </a:extLst>
        </a:blip>
        <a:srcRect t="51730" r="32832" b="-4539"/>
        <a:stretch/>
      </xdr:blipFill>
      <xdr:spPr>
        <a:xfrm>
          <a:off x="11056055" y="17801169"/>
          <a:ext cx="4945944" cy="345722"/>
        </a:xfrm>
        <a:prstGeom prst="rect">
          <a:avLst/>
        </a:prstGeom>
        <a:ln>
          <a:solidFill>
            <a:srgbClr val="FF0000"/>
          </a:solidFill>
        </a:ln>
      </xdr:spPr>
    </xdr:pic>
    <xdr:clientData/>
  </xdr:twoCellAnchor>
  <xdr:twoCellAnchor editAs="oneCell">
    <xdr:from>
      <xdr:col>7</xdr:col>
      <xdr:colOff>0</xdr:colOff>
      <xdr:row>108</xdr:row>
      <xdr:rowOff>0</xdr:rowOff>
    </xdr:from>
    <xdr:to>
      <xdr:col>12</xdr:col>
      <xdr:colOff>176389</xdr:colOff>
      <xdr:row>109</xdr:row>
      <xdr:rowOff>148166</xdr:rowOff>
    </xdr:to>
    <xdr:pic>
      <xdr:nvPicPr>
        <xdr:cNvPr id="211" name="Picture 210" descr="Screen Clipping"/>
        <xdr:cNvPicPr>
          <a:picLocks noChangeAspect="1"/>
        </xdr:cNvPicPr>
      </xdr:nvPicPr>
      <xdr:blipFill rotWithShape="1">
        <a:blip xmlns:r="http://schemas.openxmlformats.org/officeDocument/2006/relationships" r:embed="rId50">
          <a:extLst>
            <a:ext uri="{28A0092B-C50C-407E-A947-70E740481C1C}">
              <a14:useLocalDpi xmlns:a14="http://schemas.microsoft.com/office/drawing/2010/main" val="0"/>
            </a:ext>
          </a:extLst>
        </a:blip>
        <a:srcRect t="51730" r="32832" b="-4539"/>
        <a:stretch/>
      </xdr:blipFill>
      <xdr:spPr>
        <a:xfrm>
          <a:off x="12163778" y="21717000"/>
          <a:ext cx="4945944" cy="345722"/>
        </a:xfrm>
        <a:prstGeom prst="rect">
          <a:avLst/>
        </a:prstGeom>
        <a:ln>
          <a:solidFill>
            <a:srgbClr val="FF0000"/>
          </a:solidFill>
        </a:ln>
      </xdr:spPr>
    </xdr:pic>
    <xdr:clientData/>
  </xdr:twoCellAnchor>
  <xdr:twoCellAnchor>
    <xdr:from>
      <xdr:col>2</xdr:col>
      <xdr:colOff>508000</xdr:colOff>
      <xdr:row>480</xdr:row>
      <xdr:rowOff>38100</xdr:rowOff>
    </xdr:from>
    <xdr:to>
      <xdr:col>6</xdr:col>
      <xdr:colOff>1447800</xdr:colOff>
      <xdr:row>491</xdr:row>
      <xdr:rowOff>139700</xdr:rowOff>
    </xdr:to>
    <xdr:graphicFrame macro="">
      <xdr:nvGraphicFramePr>
        <xdr:cNvPr id="212" name="Chart 2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314614</xdr:colOff>
      <xdr:row>480</xdr:row>
      <xdr:rowOff>6350</xdr:rowOff>
    </xdr:from>
    <xdr:to>
      <xdr:col>0</xdr:col>
      <xdr:colOff>3930650</xdr:colOff>
      <xdr:row>492</xdr:row>
      <xdr:rowOff>71559</xdr:rowOff>
    </xdr:to>
    <xdr:pic>
      <xdr:nvPicPr>
        <xdr:cNvPr id="213" name="Picture 1" descr="image005"/>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314614" y="94869000"/>
          <a:ext cx="3616036" cy="24274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545</xdr:row>
      <xdr:rowOff>0</xdr:rowOff>
    </xdr:from>
    <xdr:to>
      <xdr:col>2</xdr:col>
      <xdr:colOff>146050</xdr:colOff>
      <xdr:row>557</xdr:row>
      <xdr:rowOff>57150</xdr:rowOff>
    </xdr:to>
    <xdr:pic>
      <xdr:nvPicPr>
        <xdr:cNvPr id="214" name="Picture 213" descr="cid:image001.png@01DAA92B.7ABC7570"/>
        <xdr:cNvPicPr>
          <a:picLocks noChangeAspect="1" noChangeArrowheads="1"/>
        </xdr:cNvPicPr>
      </xdr:nvPicPr>
      <xdr:blipFill>
        <a:blip xmlns:r="http://schemas.openxmlformats.org/officeDocument/2006/relationships" r:embed="rId53" r:link="rId54">
          <a:extLst>
            <a:ext uri="{28A0092B-C50C-407E-A947-70E740481C1C}">
              <a14:useLocalDpi xmlns:a14="http://schemas.microsoft.com/office/drawing/2010/main" val="0"/>
            </a:ext>
          </a:extLst>
        </a:blip>
        <a:srcRect/>
        <a:stretch>
          <a:fillRect/>
        </a:stretch>
      </xdr:blipFill>
      <xdr:spPr bwMode="auto">
        <a:xfrm>
          <a:off x="0" y="107727750"/>
          <a:ext cx="52006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400050</xdr:colOff>
      <xdr:row>90</xdr:row>
      <xdr:rowOff>114300</xdr:rowOff>
    </xdr:from>
    <xdr:to>
      <xdr:col>13</xdr:col>
      <xdr:colOff>201079</xdr:colOff>
      <xdr:row>94</xdr:row>
      <xdr:rowOff>198718</xdr:rowOff>
    </xdr:to>
    <xdr:pic>
      <xdr:nvPicPr>
        <xdr:cNvPr id="178" name="Picture 177" descr="Screen Clipping"/>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1020425" y="18316575"/>
          <a:ext cx="6944779" cy="884518"/>
        </a:xfrm>
        <a:prstGeom prst="rect">
          <a:avLst/>
        </a:prstGeom>
        <a:ln>
          <a:solidFill>
            <a:srgbClr val="FF0000"/>
          </a:solidFill>
        </a:ln>
      </xdr:spPr>
    </xdr:pic>
    <xdr:clientData/>
  </xdr:twoCellAnchor>
  <xdr:twoCellAnchor editAs="oneCell">
    <xdr:from>
      <xdr:col>7</xdr:col>
      <xdr:colOff>9525</xdr:colOff>
      <xdr:row>110</xdr:row>
      <xdr:rowOff>57150</xdr:rowOff>
    </xdr:from>
    <xdr:to>
      <xdr:col>14</xdr:col>
      <xdr:colOff>524929</xdr:colOff>
      <xdr:row>114</xdr:row>
      <xdr:rowOff>141568</xdr:rowOff>
    </xdr:to>
    <xdr:pic>
      <xdr:nvPicPr>
        <xdr:cNvPr id="179" name="Picture 178" descr="Screen Clipping"/>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2182475" y="22259925"/>
          <a:ext cx="6944779" cy="884518"/>
        </a:xfrm>
        <a:prstGeom prst="rect">
          <a:avLst/>
        </a:prstGeom>
        <a:ln>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477404</xdr:colOff>
      <xdr:row>162</xdr:row>
      <xdr:rowOff>196561</xdr:rowOff>
    </xdr:from>
    <xdr:ext cx="208105" cy="111947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17446" cy="11154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165</xdr:row>
      <xdr:rowOff>5003</xdr:rowOff>
    </xdr:from>
    <xdr:ext cx="411291" cy="11059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166</xdr:row>
      <xdr:rowOff>5003</xdr:rowOff>
    </xdr:from>
    <xdr:ext cx="362891" cy="106398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167</xdr:row>
      <xdr:rowOff>5002</xdr:rowOff>
    </xdr:from>
    <xdr:ext cx="339645"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75648" y="3318728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75648" y="3318728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464704</xdr:colOff>
      <xdr:row>169</xdr:row>
      <xdr:rowOff>0</xdr:rowOff>
    </xdr:from>
    <xdr:ext cx="222975" cy="112214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61479</xdr:colOff>
      <xdr:row>171</xdr:row>
      <xdr:rowOff>196561</xdr:rowOff>
    </xdr:from>
    <xdr:ext cx="65" cy="181795"/>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147704" y="291811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162</xdr:row>
      <xdr:rowOff>6062</xdr:rowOff>
    </xdr:from>
    <xdr:ext cx="203501" cy="111947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159</xdr:row>
      <xdr:rowOff>10103</xdr:rowOff>
    </xdr:from>
    <xdr:ext cx="212002" cy="111947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476538</xdr:colOff>
      <xdr:row>161</xdr:row>
      <xdr:rowOff>6062</xdr:rowOff>
    </xdr:from>
    <xdr:ext cx="10996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794538" y="2917372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794538" y="2917372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774045" y="31184562"/>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774045" y="31184562"/>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61479</xdr:colOff>
      <xdr:row>172</xdr:row>
      <xdr:rowOff>196561</xdr:rowOff>
    </xdr:from>
    <xdr:ext cx="65" cy="181292"/>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147704" y="293811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172</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774045" y="3138564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774045" y="3138564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157</xdr:row>
      <xdr:rowOff>111125</xdr:rowOff>
    </xdr:from>
    <xdr:ext cx="325217"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9935633" y="284638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180</xdr:row>
      <xdr:rowOff>5002</xdr:rowOff>
    </xdr:from>
    <xdr:ext cx="408379" cy="1056928"/>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184</xdr:row>
      <xdr:rowOff>196561</xdr:rowOff>
    </xdr:from>
    <xdr:ext cx="404896" cy="112214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182</xdr:row>
      <xdr:rowOff>5003</xdr:rowOff>
    </xdr:from>
    <xdr:ext cx="599693" cy="1056928"/>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183</xdr:row>
      <xdr:rowOff>5002</xdr:rowOff>
    </xdr:from>
    <xdr:ext cx="551151" cy="1063980"/>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183</xdr:row>
      <xdr:rowOff>196561</xdr:rowOff>
    </xdr:from>
    <xdr:ext cx="387414" cy="18222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775648" y="36553839"/>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a14:m>
              <a:endParaRPr lang="en-GB" sz="1100"/>
            </a:p>
          </xdr:txBody>
        </xdr:sp>
      </mc:Choice>
      <mc:Fallback xmlns="">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775648" y="36553839"/>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464704</xdr:colOff>
      <xdr:row>186</xdr:row>
      <xdr:rowOff>0</xdr:rowOff>
    </xdr:from>
    <xdr:ext cx="424655" cy="106604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61479</xdr:colOff>
      <xdr:row>188</xdr:row>
      <xdr:rowOff>196561</xdr:rowOff>
    </xdr:from>
    <xdr:ext cx="65" cy="181292"/>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4147704" y="326006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179</xdr:row>
      <xdr:rowOff>6062</xdr:rowOff>
    </xdr:from>
    <xdr:ext cx="398777" cy="1119476"/>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176</xdr:row>
      <xdr:rowOff>10103</xdr:rowOff>
    </xdr:from>
    <xdr:ext cx="408159" cy="1119476"/>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476538</xdr:colOff>
      <xdr:row>178</xdr:row>
      <xdr:rowOff>6062</xdr:rowOff>
    </xdr:from>
    <xdr:ext cx="177452" cy="1119476"/>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188</xdr:row>
      <xdr:rowOff>6062</xdr:rowOff>
    </xdr:from>
    <xdr:ext cx="214358" cy="1115441"/>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61479</xdr:colOff>
      <xdr:row>189</xdr:row>
      <xdr:rowOff>206086</xdr:rowOff>
    </xdr:from>
    <xdr:ext cx="65" cy="172227"/>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47704" y="32800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189</xdr:row>
      <xdr:rowOff>15587</xdr:rowOff>
    </xdr:from>
    <xdr:ext cx="213556" cy="1056928"/>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631825</xdr:colOff>
      <xdr:row>174</xdr:row>
      <xdr:rowOff>114300</xdr:rowOff>
    </xdr:from>
    <xdr:ext cx="325217"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0262658" y="31906633"/>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459219</xdr:colOff>
      <xdr:row>160</xdr:row>
      <xdr:rowOff>10103</xdr:rowOff>
    </xdr:from>
    <xdr:ext cx="171826" cy="1119476"/>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459219</xdr:colOff>
      <xdr:row>177</xdr:row>
      <xdr:rowOff>578</xdr:rowOff>
    </xdr:from>
    <xdr:ext cx="266396" cy="1119476"/>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61479</xdr:colOff>
      <xdr:row>170</xdr:row>
      <xdr:rowOff>196561</xdr:rowOff>
    </xdr:from>
    <xdr:ext cx="65" cy="172227"/>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147704" y="28981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170</xdr:row>
      <xdr:rowOff>6062</xdr:rowOff>
    </xdr:from>
    <xdr:ext cx="155364" cy="181140"/>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774045" y="30983479"/>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774045" y="30983479"/>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61479</xdr:colOff>
      <xdr:row>171</xdr:row>
      <xdr:rowOff>0</xdr:rowOff>
    </xdr:from>
    <xdr:ext cx="65" cy="172227"/>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4147704" y="2898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82</xdr:row>
      <xdr:rowOff>10103</xdr:rowOff>
    </xdr:from>
    <xdr:ext cx="335515" cy="111490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476538</xdr:colOff>
      <xdr:row>83</xdr:row>
      <xdr:rowOff>6062</xdr:rowOff>
    </xdr:from>
    <xdr:ext cx="109967"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794538"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794538"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90</xdr:row>
      <xdr:rowOff>15586</xdr:rowOff>
    </xdr:from>
    <xdr:ext cx="411291" cy="110590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477404</xdr:colOff>
      <xdr:row>85</xdr:row>
      <xdr:rowOff>196562</xdr:rowOff>
    </xdr:from>
    <xdr:ext cx="214041"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788348" y="17172229"/>
              <a:ext cx="2140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788348" y="17172229"/>
              <a:ext cx="2140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459219</xdr:colOff>
      <xdr:row>87</xdr:row>
      <xdr:rowOff>578</xdr:rowOff>
    </xdr:from>
    <xdr:ext cx="382597" cy="218144"/>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770163" y="17371356"/>
              <a:ext cx="382597" cy="2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770163" y="17371356"/>
              <a:ext cx="382597" cy="2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477404</xdr:colOff>
      <xdr:row>84</xdr:row>
      <xdr:rowOff>196561</xdr:rowOff>
    </xdr:from>
    <xdr:ext cx="214041"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788348" y="16974672"/>
              <a:ext cx="2140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788348" y="16974672"/>
              <a:ext cx="2140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459220</xdr:colOff>
      <xdr:row>84</xdr:row>
      <xdr:rowOff>6062</xdr:rowOff>
    </xdr:from>
    <xdr:ext cx="168726"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770164" y="16784173"/>
              <a:ext cx="1687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770164" y="16784173"/>
              <a:ext cx="1687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59</xdr:row>
      <xdr:rowOff>6062</xdr:rowOff>
    </xdr:from>
    <xdr:ext cx="212002" cy="1119476"/>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459219</xdr:colOff>
      <xdr:row>78</xdr:row>
      <xdr:rowOff>578</xdr:rowOff>
    </xdr:from>
    <xdr:ext cx="171826" cy="1119476"/>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61479</xdr:colOff>
      <xdr:row>120</xdr:row>
      <xdr:rowOff>5003</xdr:rowOff>
    </xdr:from>
    <xdr:ext cx="65" cy="172227"/>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379479"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551295</xdr:colOff>
      <xdr:row>119</xdr:row>
      <xdr:rowOff>14721</xdr:rowOff>
    </xdr:from>
    <xdr:ext cx="155364"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869295"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869295"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477118</xdr:colOff>
      <xdr:row>98</xdr:row>
      <xdr:rowOff>19050</xdr:rowOff>
    </xdr:from>
    <xdr:ext cx="348378" cy="1119476"/>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96</xdr:row>
      <xdr:rowOff>15586</xdr:rowOff>
    </xdr:from>
    <xdr:ext cx="444065" cy="1068292"/>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99</xdr:row>
      <xdr:rowOff>1731</xdr:rowOff>
    </xdr:from>
    <xdr:ext cx="354114" cy="1119476"/>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100</xdr:row>
      <xdr:rowOff>1731</xdr:rowOff>
    </xdr:from>
    <xdr:ext cx="359176" cy="1096902"/>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101</xdr:row>
      <xdr:rowOff>1731</xdr:rowOff>
    </xdr:from>
    <xdr:ext cx="330639" cy="110990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102</xdr:row>
      <xdr:rowOff>1731</xdr:rowOff>
    </xdr:from>
    <xdr:ext cx="312241" cy="181140"/>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788926" y="20533398"/>
              <a:ext cx="3122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788926" y="20533398"/>
              <a:ext cx="3122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103</xdr:row>
      <xdr:rowOff>1732</xdr:rowOff>
    </xdr:from>
    <xdr:ext cx="291074"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788926" y="20730954"/>
              <a:ext cx="29107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788926" y="20730954"/>
              <a:ext cx="29107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477983</xdr:colOff>
      <xdr:row>104</xdr:row>
      <xdr:rowOff>1732</xdr:rowOff>
    </xdr:from>
    <xdr:ext cx="319296" cy="181140"/>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788927" y="20928510"/>
              <a:ext cx="31929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788927" y="20928510"/>
              <a:ext cx="31929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126</xdr:row>
      <xdr:rowOff>1731</xdr:rowOff>
    </xdr:from>
    <xdr:ext cx="353096" cy="1059669"/>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127</xdr:row>
      <xdr:rowOff>1731</xdr:rowOff>
    </xdr:from>
    <xdr:ext cx="376642" cy="105966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128</xdr:row>
      <xdr:rowOff>1731</xdr:rowOff>
    </xdr:from>
    <xdr:ext cx="346808" cy="1059669"/>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459219</xdr:colOff>
      <xdr:row>106</xdr:row>
      <xdr:rowOff>578</xdr:rowOff>
    </xdr:from>
    <xdr:ext cx="345115" cy="172227"/>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770163" y="21322467"/>
              <a:ext cx="3451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770163" y="21322467"/>
              <a:ext cx="3451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440748</xdr:colOff>
      <xdr:row>109</xdr:row>
      <xdr:rowOff>18184</xdr:rowOff>
    </xdr:from>
    <xdr:ext cx="545200" cy="1050612"/>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406978</xdr:colOff>
      <xdr:row>105</xdr:row>
      <xdr:rowOff>0</xdr:rowOff>
    </xdr:from>
    <xdr:ext cx="383246" cy="19466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717922" y="21124333"/>
              <a:ext cx="383246"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717922" y="21124333"/>
              <a:ext cx="383246"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121</xdr:row>
      <xdr:rowOff>18185</xdr:rowOff>
    </xdr:from>
    <xdr:ext cx="126958" cy="182229"/>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863522"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863522"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121</xdr:row>
      <xdr:rowOff>0</xdr:rowOff>
    </xdr:from>
    <xdr:ext cx="1373364" cy="1112556"/>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119</xdr:row>
      <xdr:rowOff>0</xdr:rowOff>
    </xdr:from>
    <xdr:ext cx="2384700" cy="110590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98</xdr:row>
      <xdr:rowOff>866</xdr:rowOff>
    </xdr:from>
    <xdr:ext cx="1841477" cy="1167823"/>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96</xdr:row>
      <xdr:rowOff>15586</xdr:rowOff>
    </xdr:from>
    <xdr:ext cx="1602569" cy="10588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97</xdr:row>
      <xdr:rowOff>1732</xdr:rowOff>
    </xdr:from>
    <xdr:ext cx="1051964" cy="1974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362816</xdr:colOff>
      <xdr:row>122</xdr:row>
      <xdr:rowOff>8659</xdr:rowOff>
    </xdr:from>
    <xdr:ext cx="721223" cy="1063980"/>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375933</xdr:colOff>
      <xdr:row>123</xdr:row>
      <xdr:rowOff>174529</xdr:rowOff>
    </xdr:from>
    <xdr:ext cx="569511" cy="182229"/>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686877" y="24657307"/>
              <a:ext cx="569511"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686877" y="24657307"/>
              <a:ext cx="569511"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6</xdr:col>
      <xdr:colOff>95250</xdr:colOff>
      <xdr:row>122</xdr:row>
      <xdr:rowOff>17319</xdr:rowOff>
    </xdr:from>
    <xdr:ext cx="2284165" cy="99230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97174</xdr:colOff>
      <xdr:row>124</xdr:row>
      <xdr:rowOff>8659</xdr:rowOff>
    </xdr:from>
    <xdr:ext cx="2231231" cy="948339"/>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132</xdr:row>
      <xdr:rowOff>8659</xdr:rowOff>
    </xdr:from>
    <xdr:ext cx="271232" cy="1105907"/>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133</xdr:row>
      <xdr:rowOff>5195</xdr:rowOff>
    </xdr:from>
    <xdr:ext cx="241426" cy="117741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131</xdr:row>
      <xdr:rowOff>35502</xdr:rowOff>
    </xdr:from>
    <xdr:ext cx="261879" cy="105061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109</xdr:row>
      <xdr:rowOff>18185</xdr:rowOff>
    </xdr:from>
    <xdr:ext cx="1342158" cy="167354"/>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112</xdr:row>
      <xdr:rowOff>0</xdr:rowOff>
    </xdr:from>
    <xdr:ext cx="2056862" cy="1004124"/>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endParaRPr lang="en-GB" sz="1000"/>
            </a:p>
          </xdr:txBody>
        </xdr:sp>
      </mc:Fallback>
    </mc:AlternateContent>
    <xdr:clientData/>
  </xdr:oneCellAnchor>
  <xdr:oneCellAnchor>
    <xdr:from>
      <xdr:col>2</xdr:col>
      <xdr:colOff>477982</xdr:colOff>
      <xdr:row>129</xdr:row>
      <xdr:rowOff>1731</xdr:rowOff>
    </xdr:from>
    <xdr:ext cx="393674" cy="110590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129</xdr:row>
      <xdr:rowOff>1731</xdr:rowOff>
    </xdr:from>
    <xdr:ext cx="852614" cy="1112556"/>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125</xdr:row>
      <xdr:rowOff>1731</xdr:rowOff>
    </xdr:from>
    <xdr:ext cx="299740" cy="1113308"/>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126</xdr:row>
      <xdr:rowOff>1731</xdr:rowOff>
    </xdr:from>
    <xdr:ext cx="811353" cy="1113308"/>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134</xdr:row>
      <xdr:rowOff>5195</xdr:rowOff>
    </xdr:from>
    <xdr:ext cx="299368" cy="117741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61479</xdr:colOff>
      <xdr:row>131</xdr:row>
      <xdr:rowOff>5003</xdr:rowOff>
    </xdr:from>
    <xdr:ext cx="65" cy="172227"/>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4379479" y="23129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503670</xdr:colOff>
      <xdr:row>130</xdr:row>
      <xdr:rowOff>14721</xdr:rowOff>
    </xdr:from>
    <xdr:ext cx="138628" cy="181140"/>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821670" y="22938221"/>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821670" y="22938221"/>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113</xdr:row>
      <xdr:rowOff>1732</xdr:rowOff>
    </xdr:from>
    <xdr:ext cx="1042401" cy="1974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440748</xdr:colOff>
      <xdr:row>108</xdr:row>
      <xdr:rowOff>8659</xdr:rowOff>
    </xdr:from>
    <xdr:ext cx="448252" cy="19261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751692" y="21725659"/>
              <a:ext cx="448252"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751692" y="21725659"/>
              <a:ext cx="448252"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89</xdr:row>
      <xdr:rowOff>5002</xdr:rowOff>
    </xdr:from>
    <xdr:ext cx="381963" cy="199609"/>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775648" y="17770891"/>
              <a:ext cx="381963" cy="19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775648" y="17770891"/>
              <a:ext cx="381963" cy="19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4</xdr:col>
      <xdr:colOff>66675</xdr:colOff>
      <xdr:row>346</xdr:row>
      <xdr:rowOff>57150</xdr:rowOff>
    </xdr:from>
    <xdr:to>
      <xdr:col>7</xdr:col>
      <xdr:colOff>1285875</xdr:colOff>
      <xdr:row>364</xdr:row>
      <xdr:rowOff>104775</xdr:rowOff>
    </xdr:to>
    <xdr:pic>
      <xdr:nvPicPr>
        <xdr:cNvPr id="34914" name="Picture 1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3725" y="66227325"/>
          <a:ext cx="5524500" cy="3648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346</xdr:row>
      <xdr:rowOff>190500</xdr:rowOff>
    </xdr:from>
    <xdr:to>
      <xdr:col>3</xdr:col>
      <xdr:colOff>828675</xdr:colOff>
      <xdr:row>365</xdr:row>
      <xdr:rowOff>76201</xdr:rowOff>
    </xdr:to>
    <xdr:pic>
      <xdr:nvPicPr>
        <xdr:cNvPr id="34915" name="Picture 1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66360675"/>
          <a:ext cx="6400800" cy="3686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421349</xdr:colOff>
      <xdr:row>38</xdr:row>
      <xdr:rowOff>4629</xdr:rowOff>
    </xdr:from>
    <xdr:ext cx="918577" cy="1117450"/>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39</xdr:row>
      <xdr:rowOff>4629</xdr:rowOff>
    </xdr:from>
    <xdr:ext cx="932947" cy="1084734"/>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37</xdr:row>
      <xdr:rowOff>4629</xdr:rowOff>
    </xdr:from>
    <xdr:ext cx="972164" cy="199982"/>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732293" y="7695185"/>
              <a:ext cx="972164" cy="199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732293" y="7695185"/>
              <a:ext cx="972164" cy="199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36</xdr:row>
      <xdr:rowOff>14154</xdr:rowOff>
    </xdr:from>
    <xdr:ext cx="679837" cy="211624"/>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2293" y="7507154"/>
              <a:ext cx="679837" cy="21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n-GB" sz="1100" b="0" i="1">
                            <a:solidFill>
                              <a:schemeClr val="tx1"/>
                            </a:solidFill>
                            <a:effectLst/>
                            <a:latin typeface="+mn-lt"/>
                            <a:ea typeface="+mn-ea"/>
                            <a:cs typeface="+mn-cs"/>
                          </a:rPr>
                          <m:t>f</m:t>
                        </m:r>
                        <m:r>
                          <m:rPr>
                            <m:nor/>
                          </m:rPr>
                          <a:rPr lang="en-GB" sz="1100" b="0" i="1" baseline="30000">
                            <a:solidFill>
                              <a:schemeClr val="tx1"/>
                            </a:solidFill>
                            <a:effectLst/>
                            <a:latin typeface="+mn-lt"/>
                            <a:ea typeface="+mn-ea"/>
                            <a:cs typeface="+mn-cs"/>
                          </a:rPr>
                          <m:t>o</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2293" y="7507154"/>
              <a:ext cx="679837" cy="21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mn-lt"/>
                  <a:ea typeface="+mn-ea"/>
                  <a:cs typeface="+mn-cs"/>
                </a:rPr>
                <a:t>"f</a:t>
              </a:r>
              <a:r>
                <a:rPr lang="en-GB" sz="1100" b="0" i="0" baseline="30000">
                  <a:solidFill>
                    <a:schemeClr val="tx1"/>
                  </a:solidFill>
                  <a:effectLst/>
                  <a:latin typeface="+mn-lt"/>
                  <a:ea typeface="+mn-ea"/>
                  <a:cs typeface="+mn-cs"/>
                </a:rPr>
                <a:t>o</a:t>
              </a:r>
              <a:r>
                <a:rPr lang="en-GB" sz="1100" b="0" i="0" baseline="30000">
                  <a:solidFill>
                    <a:schemeClr val="tx1"/>
                  </a:solidFill>
                  <a:effectLst/>
                  <a:latin typeface="Cambria Math" panose="02040503050406030204" pitchFamily="18" charset="0"/>
                  <a:ea typeface="+mn-ea"/>
                  <a:cs typeface="+mn-cs"/>
                </a:rPr>
                <a:t>" 〗_(</a:t>
              </a:r>
              <a:r>
                <a:rPr lang="en-GB" sz="1100" b="0" i="0">
                  <a:solidFill>
                    <a:schemeClr val="tx1"/>
                  </a:solidFill>
                  <a:effectLst/>
                  <a:latin typeface="Cambria Math" panose="02040503050406030204" pitchFamily="18" charset="0"/>
                  <a:ea typeface="+mn-ea"/>
                  <a:cs typeface="+mn-cs"/>
                </a:rPr>
                <a:t>𝐶 ̇_𝑠 )</a:t>
              </a:r>
              <a:endParaRPr lang="en-GB" sz="1100"/>
            </a:p>
          </xdr:txBody>
        </xdr:sp>
      </mc:Fallback>
    </mc:AlternateContent>
    <xdr:clientData/>
  </xdr:oneCellAnchor>
  <xdr:oneCellAnchor>
    <xdr:from>
      <xdr:col>2</xdr:col>
      <xdr:colOff>477404</xdr:colOff>
      <xdr:row>164</xdr:row>
      <xdr:rowOff>15587</xdr:rowOff>
    </xdr:from>
    <xdr:ext cx="178763" cy="181140"/>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788348" y="32605198"/>
              <a:ext cx="17876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788348" y="32605198"/>
              <a:ext cx="17876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501217</xdr:colOff>
      <xdr:row>181</xdr:row>
      <xdr:rowOff>17967</xdr:rowOff>
    </xdr:from>
    <xdr:ext cx="416006" cy="182229"/>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812161" y="35980134"/>
              <a:ext cx="41600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812161" y="35980134"/>
              <a:ext cx="41600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61479</xdr:colOff>
      <xdr:row>187</xdr:row>
      <xdr:rowOff>196561</xdr:rowOff>
    </xdr:from>
    <xdr:ext cx="65" cy="172227"/>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4147704" y="3240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187</xdr:row>
      <xdr:rowOff>6062</xdr:rowOff>
    </xdr:from>
    <xdr:ext cx="240066" cy="1115441"/>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a14:m>
              <a:endParaRPr lang="en-GB" sz="1100"/>
            </a:p>
          </xdr:txBody>
        </xdr:sp>
      </mc:Choice>
      <mc:Fallback xmlns="">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61479</xdr:colOff>
      <xdr:row>120</xdr:row>
      <xdr:rowOff>5003</xdr:rowOff>
    </xdr:from>
    <xdr:ext cx="65" cy="172227"/>
    <xdr:sp macro="" textlink="">
      <xdr:nvSpPr>
        <xdr:cNvPr id="162" name="TextBox 161">
          <a:extLst>
            <a:ext uri="{FF2B5EF4-FFF2-40B4-BE49-F238E27FC236}">
              <a16:creationId xmlns:a16="http://schemas.microsoft.com/office/drawing/2014/main" id="{00000000-0008-0000-0100-0000A2000000}"/>
            </a:ext>
          </a:extLst>
        </xdr:cNvPr>
        <xdr:cNvSpPr txBox="1"/>
      </xdr:nvSpPr>
      <xdr:spPr>
        <a:xfrm>
          <a:off x="4379479"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484909</xdr:colOff>
      <xdr:row>120</xdr:row>
      <xdr:rowOff>18184</xdr:rowOff>
    </xdr:from>
    <xdr:ext cx="375869" cy="195118"/>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795853" y="23908295"/>
              <a:ext cx="37586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795853" y="23908295"/>
              <a:ext cx="37586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oneCellAnchor>
    <xdr:from>
      <xdr:col>2</xdr:col>
      <xdr:colOff>421349</xdr:colOff>
      <xdr:row>39</xdr:row>
      <xdr:rowOff>4629</xdr:rowOff>
    </xdr:from>
    <xdr:ext cx="932947" cy="1084734"/>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twoCellAnchor editAs="oneCell">
    <xdr:from>
      <xdr:col>3</xdr:col>
      <xdr:colOff>1133475</xdr:colOff>
      <xdr:row>160</xdr:row>
      <xdr:rowOff>38100</xdr:rowOff>
    </xdr:from>
    <xdr:to>
      <xdr:col>4</xdr:col>
      <xdr:colOff>200025</xdr:colOff>
      <xdr:row>170</xdr:row>
      <xdr:rowOff>85726</xdr:rowOff>
    </xdr:to>
    <xdr:pic>
      <xdr:nvPicPr>
        <xdr:cNvPr id="34929" name="Picture 18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15125" y="28851225"/>
          <a:ext cx="36195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1323975</xdr:colOff>
      <xdr:row>160</xdr:row>
      <xdr:rowOff>104775</xdr:rowOff>
    </xdr:from>
    <xdr:to>
      <xdr:col>5</xdr:col>
      <xdr:colOff>276225</xdr:colOff>
      <xdr:row>170</xdr:row>
      <xdr:rowOff>66676</xdr:rowOff>
    </xdr:to>
    <xdr:pic>
      <xdr:nvPicPr>
        <xdr:cNvPr id="34930" name="Picture 1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01025" y="28917900"/>
          <a:ext cx="400050" cy="196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1228725</xdr:colOff>
      <xdr:row>161</xdr:row>
      <xdr:rowOff>190500</xdr:rowOff>
    </xdr:from>
    <xdr:to>
      <xdr:col>6</xdr:col>
      <xdr:colOff>295275</xdr:colOff>
      <xdr:row>169</xdr:row>
      <xdr:rowOff>57149</xdr:rowOff>
    </xdr:to>
    <xdr:pic>
      <xdr:nvPicPr>
        <xdr:cNvPr id="34931" name="Picture 18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53575" y="29203650"/>
          <a:ext cx="37147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174</xdr:row>
      <xdr:rowOff>0</xdr:rowOff>
    </xdr:from>
    <xdr:to>
      <xdr:col>4</xdr:col>
      <xdr:colOff>1304925</xdr:colOff>
      <xdr:row>175</xdr:row>
      <xdr:rowOff>0</xdr:rowOff>
    </xdr:to>
    <xdr:pic>
      <xdr:nvPicPr>
        <xdr:cNvPr id="34932" name="Picture 19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38975" y="31623000"/>
          <a:ext cx="11430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173</xdr:row>
      <xdr:rowOff>180975</xdr:rowOff>
    </xdr:from>
    <xdr:to>
      <xdr:col>5</xdr:col>
      <xdr:colOff>1200150</xdr:colOff>
      <xdr:row>174</xdr:row>
      <xdr:rowOff>200026</xdr:rowOff>
    </xdr:to>
    <xdr:pic>
      <xdr:nvPicPr>
        <xdr:cNvPr id="34933" name="Picture 19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20100" y="31603950"/>
          <a:ext cx="11049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352425</xdr:colOff>
      <xdr:row>173</xdr:row>
      <xdr:rowOff>180975</xdr:rowOff>
    </xdr:from>
    <xdr:to>
      <xdr:col>6</xdr:col>
      <xdr:colOff>1181100</xdr:colOff>
      <xdr:row>174</xdr:row>
      <xdr:rowOff>200026</xdr:rowOff>
    </xdr:to>
    <xdr:pic>
      <xdr:nvPicPr>
        <xdr:cNvPr id="34934" name="Picture 19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82200" y="31603950"/>
          <a:ext cx="828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114300</xdr:colOff>
      <xdr:row>17</xdr:row>
      <xdr:rowOff>26988</xdr:rowOff>
    </xdr:from>
    <xdr:to>
      <xdr:col>15</xdr:col>
      <xdr:colOff>658812</xdr:colOff>
      <xdr:row>29</xdr:row>
      <xdr:rowOff>30163</xdr:rowOff>
    </xdr:to>
    <xdr:pic>
      <xdr:nvPicPr>
        <xdr:cNvPr id="34935" name="Picture 198"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544550" y="2805113"/>
          <a:ext cx="4854575"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47625</xdr:colOff>
      <xdr:row>68</xdr:row>
      <xdr:rowOff>152400</xdr:rowOff>
    </xdr:from>
    <xdr:to>
      <xdr:col>16</xdr:col>
      <xdr:colOff>419100</xdr:colOff>
      <xdr:row>74</xdr:row>
      <xdr:rowOff>193674</xdr:rowOff>
    </xdr:to>
    <xdr:pic>
      <xdr:nvPicPr>
        <xdr:cNvPr id="34936" name="Picture 204"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b="40797"/>
        <a:stretch>
          <a:fillRect/>
        </a:stretch>
      </xdr:blipFill>
      <xdr:spPr bwMode="auto">
        <a:xfrm>
          <a:off x="11229975" y="11353800"/>
          <a:ext cx="77914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xdr:colOff>
      <xdr:row>78</xdr:row>
      <xdr:rowOff>0</xdr:rowOff>
    </xdr:from>
    <xdr:to>
      <xdr:col>11</xdr:col>
      <xdr:colOff>161925</xdr:colOff>
      <xdr:row>83</xdr:row>
      <xdr:rowOff>142874</xdr:rowOff>
    </xdr:to>
    <xdr:pic>
      <xdr:nvPicPr>
        <xdr:cNvPr id="34937" name="Picture 209"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t="39687"/>
        <a:stretch>
          <a:fillRect/>
        </a:stretch>
      </xdr:blipFill>
      <xdr:spPr bwMode="auto">
        <a:xfrm>
          <a:off x="11191875" y="13201650"/>
          <a:ext cx="38576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238125</xdr:colOff>
      <xdr:row>174</xdr:row>
      <xdr:rowOff>9525</xdr:rowOff>
    </xdr:from>
    <xdr:to>
      <xdr:col>7</xdr:col>
      <xdr:colOff>1104900</xdr:colOff>
      <xdr:row>174</xdr:row>
      <xdr:rowOff>203200</xdr:rowOff>
    </xdr:to>
    <xdr:pic>
      <xdr:nvPicPr>
        <xdr:cNvPr id="34968" name="Picture 15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420475" y="31632525"/>
          <a:ext cx="866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1381125</xdr:colOff>
      <xdr:row>161</xdr:row>
      <xdr:rowOff>180975</xdr:rowOff>
    </xdr:from>
    <xdr:to>
      <xdr:col>7</xdr:col>
      <xdr:colOff>161925</xdr:colOff>
      <xdr:row>169</xdr:row>
      <xdr:rowOff>123824</xdr:rowOff>
    </xdr:to>
    <xdr:pic>
      <xdr:nvPicPr>
        <xdr:cNvPr id="34969" name="Picture 155"/>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010900" y="29194125"/>
          <a:ext cx="333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523875</xdr:colOff>
      <xdr:row>312</xdr:row>
      <xdr:rowOff>19050</xdr:rowOff>
    </xdr:from>
    <xdr:to>
      <xdr:col>2</xdr:col>
      <xdr:colOff>609600</xdr:colOff>
      <xdr:row>313</xdr:row>
      <xdr:rowOff>19051</xdr:rowOff>
    </xdr:to>
    <xdr:pic>
      <xdr:nvPicPr>
        <xdr:cNvPr id="34971" name="Picture 15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81425" y="5922645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723900</xdr:colOff>
      <xdr:row>311</xdr:row>
      <xdr:rowOff>200025</xdr:rowOff>
    </xdr:from>
    <xdr:to>
      <xdr:col>4</xdr:col>
      <xdr:colOff>523875</xdr:colOff>
      <xdr:row>313</xdr:row>
      <xdr:rowOff>19051</xdr:rowOff>
    </xdr:to>
    <xdr:pic>
      <xdr:nvPicPr>
        <xdr:cNvPr id="34972" name="Picture 15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05550" y="59197875"/>
          <a:ext cx="10953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962025</xdr:colOff>
      <xdr:row>312</xdr:row>
      <xdr:rowOff>9525</xdr:rowOff>
    </xdr:from>
    <xdr:to>
      <xdr:col>6</xdr:col>
      <xdr:colOff>476250</xdr:colOff>
      <xdr:row>313</xdr:row>
      <xdr:rowOff>19051</xdr:rowOff>
    </xdr:to>
    <xdr:pic>
      <xdr:nvPicPr>
        <xdr:cNvPr id="34973" name="Picture 16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86875" y="5921692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828675</xdr:colOff>
      <xdr:row>312</xdr:row>
      <xdr:rowOff>19050</xdr:rowOff>
    </xdr:from>
    <xdr:to>
      <xdr:col>8</xdr:col>
      <xdr:colOff>257175</xdr:colOff>
      <xdr:row>313</xdr:row>
      <xdr:rowOff>1</xdr:rowOff>
    </xdr:to>
    <xdr:pic>
      <xdr:nvPicPr>
        <xdr:cNvPr id="34974" name="Picture 17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011025" y="59226450"/>
          <a:ext cx="857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341071</xdr:colOff>
      <xdr:row>98</xdr:row>
      <xdr:rowOff>148004</xdr:rowOff>
    </xdr:from>
    <xdr:to>
      <xdr:col>12</xdr:col>
      <xdr:colOff>78335</xdr:colOff>
      <xdr:row>101</xdr:row>
      <xdr:rowOff>146543</xdr:rowOff>
    </xdr:to>
    <xdr:pic>
      <xdr:nvPicPr>
        <xdr:cNvPr id="158" name="Picture 157"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527654" y="17039004"/>
          <a:ext cx="4277514" cy="601790"/>
        </a:xfrm>
        <a:prstGeom prst="rect">
          <a:avLst/>
        </a:prstGeom>
        <a:ln>
          <a:solidFill>
            <a:srgbClr val="7030A0"/>
          </a:solidFill>
        </a:ln>
      </xdr:spPr>
    </xdr:pic>
    <xdr:clientData/>
  </xdr:twoCellAnchor>
  <xdr:twoCellAnchor editAs="oneCell">
    <xdr:from>
      <xdr:col>7</xdr:col>
      <xdr:colOff>419003</xdr:colOff>
      <xdr:row>101</xdr:row>
      <xdr:rowOff>161154</xdr:rowOff>
    </xdr:from>
    <xdr:to>
      <xdr:col>11</xdr:col>
      <xdr:colOff>762745</xdr:colOff>
      <xdr:row>104</xdr:row>
      <xdr:rowOff>166548</xdr:rowOff>
    </xdr:to>
    <xdr:pic>
      <xdr:nvPicPr>
        <xdr:cNvPr id="159" name="Picture 158"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605586" y="17655404"/>
          <a:ext cx="4047909" cy="608643"/>
        </a:xfrm>
        <a:prstGeom prst="rect">
          <a:avLst/>
        </a:prstGeom>
        <a:ln>
          <a:solidFill>
            <a:srgbClr val="7030A0"/>
          </a:solidFill>
        </a:ln>
      </xdr:spPr>
    </xdr:pic>
    <xdr:clientData/>
  </xdr:twoCellAnchor>
  <xdr:twoCellAnchor editAs="oneCell">
    <xdr:from>
      <xdr:col>0</xdr:col>
      <xdr:colOff>1012632</xdr:colOff>
      <xdr:row>192</xdr:row>
      <xdr:rowOff>74083</xdr:rowOff>
    </xdr:from>
    <xdr:to>
      <xdr:col>2</xdr:col>
      <xdr:colOff>971954</xdr:colOff>
      <xdr:row>194</xdr:row>
      <xdr:rowOff>54700</xdr:rowOff>
    </xdr:to>
    <xdr:pic>
      <xdr:nvPicPr>
        <xdr:cNvPr id="173" name="Picture 172"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012632" y="35507083"/>
          <a:ext cx="4277322" cy="382784"/>
        </a:xfrm>
        <a:prstGeom prst="rect">
          <a:avLst/>
        </a:prstGeom>
        <a:ln>
          <a:solidFill>
            <a:srgbClr val="7030A0"/>
          </a:solidFill>
        </a:ln>
      </xdr:spPr>
    </xdr:pic>
    <xdr:clientData/>
  </xdr:twoCellAnchor>
  <xdr:twoCellAnchor editAs="oneCell">
    <xdr:from>
      <xdr:col>0</xdr:col>
      <xdr:colOff>481543</xdr:colOff>
      <xdr:row>212</xdr:row>
      <xdr:rowOff>116029</xdr:rowOff>
    </xdr:from>
    <xdr:to>
      <xdr:col>2</xdr:col>
      <xdr:colOff>583760</xdr:colOff>
      <xdr:row>215</xdr:row>
      <xdr:rowOff>116885</xdr:rowOff>
    </xdr:to>
    <xdr:pic>
      <xdr:nvPicPr>
        <xdr:cNvPr id="176" name="Picture 175"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81543" y="39411946"/>
          <a:ext cx="4420217" cy="625273"/>
        </a:xfrm>
        <a:prstGeom prst="rect">
          <a:avLst/>
        </a:prstGeom>
        <a:ln>
          <a:solidFill>
            <a:srgbClr val="7030A0"/>
          </a:solidFill>
        </a:ln>
      </xdr:spPr>
    </xdr:pic>
    <xdr:clientData/>
  </xdr:twoCellAnchor>
  <xdr:twoCellAnchor editAs="oneCell">
    <xdr:from>
      <xdr:col>0</xdr:col>
      <xdr:colOff>338188</xdr:colOff>
      <xdr:row>222</xdr:row>
      <xdr:rowOff>12892</xdr:rowOff>
    </xdr:from>
    <xdr:to>
      <xdr:col>2</xdr:col>
      <xdr:colOff>772748</xdr:colOff>
      <xdr:row>225</xdr:row>
      <xdr:rowOff>172602</xdr:rowOff>
    </xdr:to>
    <xdr:pic>
      <xdr:nvPicPr>
        <xdr:cNvPr id="177" name="Picture 176"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38188" y="41361975"/>
          <a:ext cx="4752560" cy="805294"/>
        </a:xfrm>
        <a:prstGeom prst="rect">
          <a:avLst/>
        </a:prstGeom>
        <a:ln>
          <a:solidFill>
            <a:srgbClr val="7030A0"/>
          </a:solidFill>
        </a:ln>
      </xdr:spPr>
    </xdr:pic>
    <xdr:clientData/>
  </xdr:twoCellAnchor>
  <xdr:twoCellAnchor editAs="oneCell">
    <xdr:from>
      <xdr:col>0</xdr:col>
      <xdr:colOff>578717</xdr:colOff>
      <xdr:row>244</xdr:row>
      <xdr:rowOff>86491</xdr:rowOff>
    </xdr:from>
    <xdr:to>
      <xdr:col>2</xdr:col>
      <xdr:colOff>748484</xdr:colOff>
      <xdr:row>247</xdr:row>
      <xdr:rowOff>152683</xdr:rowOff>
    </xdr:to>
    <xdr:pic>
      <xdr:nvPicPr>
        <xdr:cNvPr id="178" name="Picture 177"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8717" y="45944074"/>
          <a:ext cx="4487767" cy="669441"/>
        </a:xfrm>
        <a:prstGeom prst="rect">
          <a:avLst/>
        </a:prstGeom>
        <a:ln>
          <a:solidFill>
            <a:srgbClr val="7030A0"/>
          </a:solidFill>
        </a:ln>
      </xdr:spPr>
    </xdr:pic>
    <xdr:clientData/>
  </xdr:twoCellAnchor>
  <xdr:twoCellAnchor editAs="oneCell">
    <xdr:from>
      <xdr:col>6</xdr:col>
      <xdr:colOff>0</xdr:colOff>
      <xdr:row>41</xdr:row>
      <xdr:rowOff>16246</xdr:rowOff>
    </xdr:from>
    <xdr:to>
      <xdr:col>9</xdr:col>
      <xdr:colOff>676815</xdr:colOff>
      <xdr:row>43</xdr:row>
      <xdr:rowOff>75449</xdr:rowOff>
    </xdr:to>
    <xdr:pic>
      <xdr:nvPicPr>
        <xdr:cNvPr id="186" name="Picture 185"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623778" y="8497024"/>
          <a:ext cx="4500926" cy="454314"/>
        </a:xfrm>
        <a:prstGeom prst="rect">
          <a:avLst/>
        </a:prstGeom>
        <a:ln>
          <a:solidFill>
            <a:srgbClr val="00B050"/>
          </a:solidFill>
        </a:ln>
      </xdr:spPr>
    </xdr:pic>
    <xdr:clientData/>
  </xdr:twoCellAnchor>
  <xdr:twoCellAnchor editAs="oneCell">
    <xdr:from>
      <xdr:col>6</xdr:col>
      <xdr:colOff>247253</xdr:colOff>
      <xdr:row>37</xdr:row>
      <xdr:rowOff>0</xdr:rowOff>
    </xdr:from>
    <xdr:to>
      <xdr:col>9</xdr:col>
      <xdr:colOff>477074</xdr:colOff>
      <xdr:row>39</xdr:row>
      <xdr:rowOff>155298</xdr:rowOff>
    </xdr:to>
    <xdr:pic>
      <xdr:nvPicPr>
        <xdr:cNvPr id="188" name="Picture 187"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871031" y="7690556"/>
          <a:ext cx="4053932" cy="550409"/>
        </a:xfrm>
        <a:prstGeom prst="rect">
          <a:avLst/>
        </a:prstGeom>
        <a:ln>
          <a:solidFill>
            <a:srgbClr val="FF0000"/>
          </a:solidFill>
        </a:ln>
      </xdr:spPr>
    </xdr:pic>
    <xdr:clientData/>
  </xdr:twoCellAnchor>
  <xdr:oneCellAnchor>
    <xdr:from>
      <xdr:col>2</xdr:col>
      <xdr:colOff>303874</xdr:colOff>
      <xdr:row>41</xdr:row>
      <xdr:rowOff>182429</xdr:rowOff>
    </xdr:from>
    <xdr:ext cx="736289" cy="223971"/>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0000000-0008-0000-0000-000082000000}"/>
                </a:ext>
              </a:extLst>
            </xdr:cNvPr>
            <xdr:cNvSpPr txBox="1"/>
          </xdr:nvSpPr>
          <xdr:spPr>
            <a:xfrm>
              <a:off x="5358474" y="843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89" name="TextBox 188">
              <a:extLst>
                <a:ext uri="{FF2B5EF4-FFF2-40B4-BE49-F238E27FC236}">
                  <a16:creationId xmlns:a16="http://schemas.microsoft.com/office/drawing/2014/main" id="{00000000-0008-0000-0000-000082000000}"/>
                </a:ext>
              </a:extLst>
            </xdr:cNvPr>
            <xdr:cNvSpPr txBox="1"/>
          </xdr:nvSpPr>
          <xdr:spPr>
            <a:xfrm>
              <a:off x="5358474" y="843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42</xdr:row>
      <xdr:rowOff>182429</xdr:rowOff>
    </xdr:from>
    <xdr:ext cx="736289" cy="223971"/>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00000000-0008-0000-0000-000082000000}"/>
                </a:ext>
              </a:extLst>
            </xdr:cNvPr>
            <xdr:cNvSpPr txBox="1"/>
          </xdr:nvSpPr>
          <xdr:spPr>
            <a:xfrm>
              <a:off x="5358474" y="86342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0" name="TextBox 189">
              <a:extLst>
                <a:ext uri="{FF2B5EF4-FFF2-40B4-BE49-F238E27FC236}">
                  <a16:creationId xmlns:a16="http://schemas.microsoft.com/office/drawing/2014/main" id="{00000000-0008-0000-0000-000082000000}"/>
                </a:ext>
              </a:extLst>
            </xdr:cNvPr>
            <xdr:cNvSpPr txBox="1"/>
          </xdr:nvSpPr>
          <xdr:spPr>
            <a:xfrm>
              <a:off x="5358474" y="86342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oneCellAnchor>
    <xdr:from>
      <xdr:col>2</xdr:col>
      <xdr:colOff>303874</xdr:colOff>
      <xdr:row>43</xdr:row>
      <xdr:rowOff>182429</xdr:rowOff>
    </xdr:from>
    <xdr:ext cx="736289" cy="223971"/>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00000000-0008-0000-0000-000082000000}"/>
                </a:ext>
              </a:extLst>
            </xdr:cNvPr>
            <xdr:cNvSpPr txBox="1"/>
          </xdr:nvSpPr>
          <xdr:spPr>
            <a:xfrm>
              <a:off x="5358474" y="88311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1" name="TextBox 190">
              <a:extLst>
                <a:ext uri="{FF2B5EF4-FFF2-40B4-BE49-F238E27FC236}">
                  <a16:creationId xmlns:a16="http://schemas.microsoft.com/office/drawing/2014/main" id="{00000000-0008-0000-0000-000082000000}"/>
                </a:ext>
              </a:extLst>
            </xdr:cNvPr>
            <xdr:cNvSpPr txBox="1"/>
          </xdr:nvSpPr>
          <xdr:spPr>
            <a:xfrm>
              <a:off x="5358474" y="88311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_1𝑦𝑒𝑎𝑟^°〗_</a:t>
              </a:r>
              <a:endParaRPr lang="en-GB" sz="1100"/>
            </a:p>
          </xdr:txBody>
        </xdr:sp>
      </mc:Fallback>
    </mc:AlternateContent>
    <xdr:clientData/>
  </xdr:oneCellAnchor>
  <xdr:oneCellAnchor>
    <xdr:from>
      <xdr:col>2</xdr:col>
      <xdr:colOff>303874</xdr:colOff>
      <xdr:row>44</xdr:row>
      <xdr:rowOff>182429</xdr:rowOff>
    </xdr:from>
    <xdr:ext cx="736289" cy="223971"/>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58474" y="90279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58474" y="90279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oneCellAnchor>
    <xdr:from>
      <xdr:col>2</xdr:col>
      <xdr:colOff>303874</xdr:colOff>
      <xdr:row>45</xdr:row>
      <xdr:rowOff>182429</xdr:rowOff>
    </xdr:from>
    <xdr:ext cx="736289" cy="223971"/>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58474" y="92248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58474" y="92248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46</xdr:row>
      <xdr:rowOff>182429</xdr:rowOff>
    </xdr:from>
    <xdr:ext cx="736289" cy="223971"/>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58474" y="9421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58474" y="9421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47</xdr:row>
      <xdr:rowOff>182429</xdr:rowOff>
    </xdr:from>
    <xdr:ext cx="736289" cy="223971"/>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58474" y="96185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58474" y="96185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48</xdr:row>
      <xdr:rowOff>182429</xdr:rowOff>
    </xdr:from>
    <xdr:ext cx="736289" cy="223971"/>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58474" y="98153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58474" y="98153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49</xdr:row>
      <xdr:rowOff>182429</xdr:rowOff>
    </xdr:from>
    <xdr:ext cx="736289" cy="223971"/>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58474" y="100122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58474" y="100122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50</xdr:row>
      <xdr:rowOff>182429</xdr:rowOff>
    </xdr:from>
    <xdr:ext cx="736289" cy="223971"/>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58474" y="102090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58474" y="102090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51</xdr:row>
      <xdr:rowOff>182429</xdr:rowOff>
    </xdr:from>
    <xdr:ext cx="736289" cy="223971"/>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58474" y="104059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58474" y="104059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52</xdr:row>
      <xdr:rowOff>182429</xdr:rowOff>
    </xdr:from>
    <xdr:ext cx="736289" cy="223971"/>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58474" y="106027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58474" y="106027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twoCellAnchor editAs="oneCell">
    <xdr:from>
      <xdr:col>6</xdr:col>
      <xdr:colOff>0</xdr:colOff>
      <xdr:row>48</xdr:row>
      <xdr:rowOff>38994</xdr:rowOff>
    </xdr:from>
    <xdr:to>
      <xdr:col>12</xdr:col>
      <xdr:colOff>93178</xdr:colOff>
      <xdr:row>49</xdr:row>
      <xdr:rowOff>176413</xdr:rowOff>
    </xdr:to>
    <xdr:pic>
      <xdr:nvPicPr>
        <xdr:cNvPr id="201" name="Picture 200"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623778" y="9705105"/>
          <a:ext cx="6196233" cy="334975"/>
        </a:xfrm>
        <a:prstGeom prst="rect">
          <a:avLst/>
        </a:prstGeom>
        <a:ln>
          <a:solidFill>
            <a:srgbClr val="FF0000"/>
          </a:solidFill>
        </a:ln>
      </xdr:spPr>
    </xdr:pic>
    <xdr:clientData/>
  </xdr:twoCellAnchor>
  <xdr:twoCellAnchor editAs="oneCell">
    <xdr:from>
      <xdr:col>6</xdr:col>
      <xdr:colOff>63519</xdr:colOff>
      <xdr:row>50</xdr:row>
      <xdr:rowOff>103754</xdr:rowOff>
    </xdr:from>
    <xdr:to>
      <xdr:col>7</xdr:col>
      <xdr:colOff>1402328</xdr:colOff>
      <xdr:row>52</xdr:row>
      <xdr:rowOff>160408</xdr:rowOff>
    </xdr:to>
    <xdr:pic>
      <xdr:nvPicPr>
        <xdr:cNvPr id="202" name="Picture 201"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687297" y="10164976"/>
          <a:ext cx="2891031" cy="451765"/>
        </a:xfrm>
        <a:prstGeom prst="rect">
          <a:avLst/>
        </a:prstGeom>
        <a:ln>
          <a:solidFill>
            <a:srgbClr val="FF0000"/>
          </a:solidFill>
        </a:ln>
      </xdr:spPr>
    </xdr:pic>
    <xdr:clientData/>
  </xdr:twoCellAnchor>
  <xdr:twoCellAnchor editAs="oneCell">
    <xdr:from>
      <xdr:col>6</xdr:col>
      <xdr:colOff>10583</xdr:colOff>
      <xdr:row>45</xdr:row>
      <xdr:rowOff>0</xdr:rowOff>
    </xdr:from>
    <xdr:to>
      <xdr:col>12</xdr:col>
      <xdr:colOff>214321</xdr:colOff>
      <xdr:row>47</xdr:row>
      <xdr:rowOff>155771</xdr:rowOff>
    </xdr:to>
    <xdr:pic>
      <xdr:nvPicPr>
        <xdr:cNvPr id="203" name="Picture 202"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634361" y="9073444"/>
          <a:ext cx="6306793" cy="550883"/>
        </a:xfrm>
        <a:prstGeom prst="rect">
          <a:avLst/>
        </a:prstGeom>
        <a:ln>
          <a:solidFill>
            <a:srgbClr val="FF0000"/>
          </a:solidFill>
        </a:ln>
      </xdr:spPr>
    </xdr:pic>
    <xdr:clientData/>
  </xdr:twoCellAnchor>
  <xdr:oneCellAnchor>
    <xdr:from>
      <xdr:col>2</xdr:col>
      <xdr:colOff>512618</xdr:colOff>
      <xdr:row>88</xdr:row>
      <xdr:rowOff>866</xdr:rowOff>
    </xdr:from>
    <xdr:ext cx="233013"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00000000-0008-0000-0000-000035000000}"/>
                </a:ext>
              </a:extLst>
            </xdr:cNvPr>
            <xdr:cNvSpPr txBox="1"/>
          </xdr:nvSpPr>
          <xdr:spPr>
            <a:xfrm>
              <a:off x="5567218" y="17507816"/>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GB" sz="1100" b="0" i="1">
                      <a:latin typeface="Cambria Math" panose="02040503050406030204" pitchFamily="18" charset="0"/>
                    </a:rPr>
                    <m:t>𝑡</m:t>
                  </m:r>
                </m:oMath>
              </a14:m>
              <a:r>
                <a:rPr lang="en-GB" sz="1100"/>
                <a:t>⁰</a:t>
              </a:r>
              <a:r>
                <a:rPr lang="en-GB" sz="1100" baseline="-25000">
                  <a:solidFill>
                    <a:schemeClr val="tx1"/>
                  </a:solidFill>
                  <a:effectLst/>
                  <a:latin typeface="+mn-lt"/>
                  <a:ea typeface="+mn-ea"/>
                  <a:cs typeface="+mn-cs"/>
                </a:rPr>
                <a:t>life</a:t>
              </a:r>
              <a:endParaRPr lang="en-GB" sz="1100"/>
            </a:p>
          </xdr:txBody>
        </xdr:sp>
      </mc:Choice>
      <mc:Fallback xmlns="">
        <xdr:sp macro="" textlink="">
          <xdr:nvSpPr>
            <xdr:cNvPr id="207" name="TextBox 206">
              <a:extLst>
                <a:ext uri="{FF2B5EF4-FFF2-40B4-BE49-F238E27FC236}">
                  <a16:creationId xmlns:a16="http://schemas.microsoft.com/office/drawing/2014/main" id="{00000000-0008-0000-0000-000035000000}"/>
                </a:ext>
              </a:extLst>
            </xdr:cNvPr>
            <xdr:cNvSpPr txBox="1"/>
          </xdr:nvSpPr>
          <xdr:spPr>
            <a:xfrm>
              <a:off x="5567218" y="17507816"/>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𝑡</a:t>
              </a:r>
              <a:r>
                <a:rPr lang="en-GB" sz="1100"/>
                <a:t>⁰</a:t>
              </a:r>
              <a:r>
                <a:rPr lang="en-GB" sz="1100" baseline="-25000">
                  <a:solidFill>
                    <a:schemeClr val="tx1"/>
                  </a:solidFill>
                  <a:effectLst/>
                  <a:latin typeface="+mn-lt"/>
                  <a:ea typeface="+mn-ea"/>
                  <a:cs typeface="+mn-cs"/>
                </a:rPr>
                <a:t>life</a:t>
              </a:r>
              <a:endParaRPr lang="en-GB" sz="1100"/>
            </a:p>
          </xdr:txBody>
        </xdr:sp>
      </mc:Fallback>
    </mc:AlternateContent>
    <xdr:clientData/>
  </xdr:oneCellAnchor>
  <xdr:oneCellAnchor>
    <xdr:from>
      <xdr:col>2</xdr:col>
      <xdr:colOff>464704</xdr:colOff>
      <xdr:row>91</xdr:row>
      <xdr:rowOff>5003</xdr:rowOff>
    </xdr:from>
    <xdr:ext cx="355949" cy="209309"/>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00000000-0008-0000-0000-000032000000}"/>
                </a:ext>
              </a:extLst>
            </xdr:cNvPr>
            <xdr:cNvSpPr txBox="1"/>
          </xdr:nvSpPr>
          <xdr:spPr>
            <a:xfrm>
              <a:off x="5519304" y="18102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m:t>
                        </m:r>
                      </m:sub>
                    </m:sSub>
                  </m:oMath>
                </m:oMathPara>
              </a14:m>
              <a:endParaRPr lang="en-GB" sz="1100"/>
            </a:p>
          </xdr:txBody>
        </xdr:sp>
      </mc:Choice>
      <mc:Fallback xmlns="">
        <xdr:sp macro="" textlink="">
          <xdr:nvSpPr>
            <xdr:cNvPr id="209" name="TextBox 208">
              <a:extLst>
                <a:ext uri="{FF2B5EF4-FFF2-40B4-BE49-F238E27FC236}">
                  <a16:creationId xmlns:a16="http://schemas.microsoft.com/office/drawing/2014/main" id="{00000000-0008-0000-0000-000032000000}"/>
                </a:ext>
              </a:extLst>
            </xdr:cNvPr>
            <xdr:cNvSpPr txBox="1"/>
          </xdr:nvSpPr>
          <xdr:spPr>
            <a:xfrm>
              <a:off x="5519304" y="18102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a:t>
              </a:r>
              <a:endParaRPr lang="en-GB" sz="1100"/>
            </a:p>
          </xdr:txBody>
        </xdr:sp>
      </mc:Fallback>
    </mc:AlternateContent>
    <xdr:clientData/>
  </xdr:oneCellAnchor>
  <xdr:oneCellAnchor>
    <xdr:from>
      <xdr:col>2</xdr:col>
      <xdr:colOff>464704</xdr:colOff>
      <xdr:row>92</xdr:row>
      <xdr:rowOff>5003</xdr:rowOff>
    </xdr:from>
    <xdr:ext cx="355949" cy="209309"/>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00000000-0008-0000-0000-000032000000}"/>
                </a:ext>
              </a:extLst>
            </xdr:cNvPr>
            <xdr:cNvSpPr txBox="1"/>
          </xdr:nvSpPr>
          <xdr:spPr>
            <a:xfrm>
              <a:off x="5519304" y="1829935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210" name="TextBox 209">
              <a:extLst>
                <a:ext uri="{FF2B5EF4-FFF2-40B4-BE49-F238E27FC236}">
                  <a16:creationId xmlns:a16="http://schemas.microsoft.com/office/drawing/2014/main" id="{00000000-0008-0000-0000-000032000000}"/>
                </a:ext>
              </a:extLst>
            </xdr:cNvPr>
            <xdr:cNvSpPr txBox="1"/>
          </xdr:nvSpPr>
          <xdr:spPr>
            <a:xfrm>
              <a:off x="5519304" y="1829935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̇_𝑑</a:t>
              </a:r>
              <a:endParaRPr lang="en-GB" sz="1100"/>
            </a:p>
          </xdr:txBody>
        </xdr:sp>
      </mc:Fallback>
    </mc:AlternateContent>
    <xdr:clientData/>
  </xdr:oneCellAnchor>
  <xdr:twoCellAnchor editAs="oneCell">
    <xdr:from>
      <xdr:col>6</xdr:col>
      <xdr:colOff>14111</xdr:colOff>
      <xdr:row>85</xdr:row>
      <xdr:rowOff>98778</xdr:rowOff>
    </xdr:from>
    <xdr:to>
      <xdr:col>10</xdr:col>
      <xdr:colOff>287867</xdr:colOff>
      <xdr:row>87</xdr:row>
      <xdr:rowOff>48684</xdr:rowOff>
    </xdr:to>
    <xdr:pic>
      <xdr:nvPicPr>
        <xdr:cNvPr id="212" name="Picture 211" descr="Screen Clipping"/>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t="51730" r="32832" b="-4539"/>
        <a:stretch/>
      </xdr:blipFill>
      <xdr:spPr>
        <a:xfrm>
          <a:off x="9637889" y="17074445"/>
          <a:ext cx="4937478" cy="345017"/>
        </a:xfrm>
        <a:prstGeom prst="rect">
          <a:avLst/>
        </a:prstGeom>
        <a:ln>
          <a:solidFill>
            <a:srgbClr val="FF0000"/>
          </a:solidFill>
        </a:ln>
      </xdr:spPr>
    </xdr:pic>
    <xdr:clientData/>
  </xdr:twoCellAnchor>
  <xdr:oneCellAnchor>
    <xdr:from>
      <xdr:col>2</xdr:col>
      <xdr:colOff>469321</xdr:colOff>
      <xdr:row>107</xdr:row>
      <xdr:rowOff>27707</xdr:rowOff>
    </xdr:from>
    <xdr:ext cx="372054" cy="17866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00000000-0008-0000-0000-000049000000}"/>
                </a:ext>
              </a:extLst>
            </xdr:cNvPr>
            <xdr:cNvSpPr txBox="1"/>
          </xdr:nvSpPr>
          <xdr:spPr>
            <a:xfrm>
              <a:off x="5523921" y="212748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r>
                      <a:rPr lang="en-GB" sz="1100" b="0" i="1" baseline="-25000">
                        <a:latin typeface="Cambria Math" panose="02040503050406030204" pitchFamily="18" charset="0"/>
                      </a:rPr>
                      <m:t>𝑙𝑖𝑓𝑒</m:t>
                    </m:r>
                  </m:oMath>
                </m:oMathPara>
              </a14:m>
              <a:endParaRPr lang="en-GB" sz="1100" baseline="-25000"/>
            </a:p>
          </xdr:txBody>
        </xdr:sp>
      </mc:Choice>
      <mc:Fallback xmlns="">
        <xdr:sp macro="" textlink="">
          <xdr:nvSpPr>
            <xdr:cNvPr id="214" name="TextBox 213">
              <a:extLst>
                <a:ext uri="{FF2B5EF4-FFF2-40B4-BE49-F238E27FC236}">
                  <a16:creationId xmlns:a16="http://schemas.microsoft.com/office/drawing/2014/main" id="{00000000-0008-0000-0000-000049000000}"/>
                </a:ext>
              </a:extLst>
            </xdr:cNvPr>
            <xdr:cNvSpPr txBox="1"/>
          </xdr:nvSpPr>
          <xdr:spPr>
            <a:xfrm>
              <a:off x="5523921" y="212748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𝑡^∗</a:t>
              </a:r>
              <a:r>
                <a:rPr lang="en-GB" sz="1100" b="0" i="0" baseline="-25000">
                  <a:latin typeface="Cambria Math" panose="02040503050406030204" pitchFamily="18" charset="0"/>
                </a:rPr>
                <a:t> 𝑙𝑖𝑓𝑒</a:t>
              </a:r>
              <a:endParaRPr lang="en-GB" sz="1100" baseline="-25000"/>
            </a:p>
          </xdr:txBody>
        </xdr:sp>
      </mc:Fallback>
    </mc:AlternateContent>
    <xdr:clientData/>
  </xdr:oneCellAnchor>
  <xdr:oneCellAnchor>
    <xdr:from>
      <xdr:col>2</xdr:col>
      <xdr:colOff>450273</xdr:colOff>
      <xdr:row>109</xdr:row>
      <xdr:rowOff>18184</xdr:rowOff>
    </xdr:from>
    <xdr:ext cx="530056" cy="23581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00000000-0008-0000-0000-00004A000000}"/>
                </a:ext>
              </a:extLst>
            </xdr:cNvPr>
            <xdr:cNvSpPr txBox="1"/>
          </xdr:nvSpPr>
          <xdr:spPr>
            <a:xfrm>
              <a:off x="5504873" y="21658984"/>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215" name="TextBox 214">
              <a:extLst>
                <a:ext uri="{FF2B5EF4-FFF2-40B4-BE49-F238E27FC236}">
                  <a16:creationId xmlns:a16="http://schemas.microsoft.com/office/drawing/2014/main" id="{00000000-0008-0000-0000-00004A000000}"/>
                </a:ext>
              </a:extLst>
            </xdr:cNvPr>
            <xdr:cNvSpPr txBox="1"/>
          </xdr:nvSpPr>
          <xdr:spPr>
            <a:xfrm>
              <a:off x="5504873" y="21658984"/>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110</xdr:row>
      <xdr:rowOff>18184</xdr:rowOff>
    </xdr:from>
    <xdr:ext cx="474278" cy="215611"/>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00000000-0008-0000-0000-00004B000000}"/>
                </a:ext>
              </a:extLst>
            </xdr:cNvPr>
            <xdr:cNvSpPr txBox="1"/>
          </xdr:nvSpPr>
          <xdr:spPr>
            <a:xfrm>
              <a:off x="5504873" y="21855834"/>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216" name="TextBox 215">
              <a:extLst>
                <a:ext uri="{FF2B5EF4-FFF2-40B4-BE49-F238E27FC236}">
                  <a16:creationId xmlns:a16="http://schemas.microsoft.com/office/drawing/2014/main" id="{00000000-0008-0000-0000-00004B000000}"/>
                </a:ext>
              </a:extLst>
            </xdr:cNvPr>
            <xdr:cNvSpPr txBox="1"/>
          </xdr:nvSpPr>
          <xdr:spPr>
            <a:xfrm>
              <a:off x="5504873" y="21855834"/>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̇_𝑜𝑚^∗</a:t>
              </a:r>
              <a:endParaRPr lang="en-GB" sz="1100"/>
            </a:p>
          </xdr:txBody>
        </xdr:sp>
      </mc:Fallback>
    </mc:AlternateContent>
    <xdr:clientData/>
  </xdr:oneCellAnchor>
  <xdr:oneCellAnchor>
    <xdr:from>
      <xdr:col>2</xdr:col>
      <xdr:colOff>464704</xdr:colOff>
      <xdr:row>112</xdr:row>
      <xdr:rowOff>5003</xdr:rowOff>
    </xdr:from>
    <xdr:ext cx="537185" cy="178441"/>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00000000-0008-0000-0000-000032000000}"/>
                </a:ext>
              </a:extLst>
            </xdr:cNvPr>
            <xdr:cNvSpPr txBox="1"/>
          </xdr:nvSpPr>
          <xdr:spPr>
            <a:xfrm>
              <a:off x="4775648" y="22314670"/>
              <a:ext cx="537185" cy="178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217" name="TextBox 216">
              <a:extLst>
                <a:ext uri="{FF2B5EF4-FFF2-40B4-BE49-F238E27FC236}">
                  <a16:creationId xmlns:a16="http://schemas.microsoft.com/office/drawing/2014/main" id="{00000000-0008-0000-0000-000032000000}"/>
                </a:ext>
              </a:extLst>
            </xdr:cNvPr>
            <xdr:cNvSpPr txBox="1"/>
          </xdr:nvSpPr>
          <xdr:spPr>
            <a:xfrm>
              <a:off x="4775648" y="22314670"/>
              <a:ext cx="537185" cy="178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𝑜𝑚𝑑</a:t>
              </a:r>
              <a:endParaRPr lang="en-GB" sz="1100"/>
            </a:p>
          </xdr:txBody>
        </xdr:sp>
      </mc:Fallback>
    </mc:AlternateContent>
    <xdr:clientData/>
  </xdr:oneCellAnchor>
  <xdr:oneCellAnchor>
    <xdr:from>
      <xdr:col>2</xdr:col>
      <xdr:colOff>464704</xdr:colOff>
      <xdr:row>111</xdr:row>
      <xdr:rowOff>5003</xdr:rowOff>
    </xdr:from>
    <xdr:ext cx="355949" cy="209309"/>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00000000-0008-0000-0000-000032000000}"/>
                </a:ext>
              </a:extLst>
            </xdr:cNvPr>
            <xdr:cNvSpPr txBox="1"/>
          </xdr:nvSpPr>
          <xdr:spPr>
            <a:xfrm>
              <a:off x="5519304" y="22039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218" name="TextBox 217">
              <a:extLst>
                <a:ext uri="{FF2B5EF4-FFF2-40B4-BE49-F238E27FC236}">
                  <a16:creationId xmlns:a16="http://schemas.microsoft.com/office/drawing/2014/main" id="{00000000-0008-0000-0000-000032000000}"/>
                </a:ext>
              </a:extLst>
            </xdr:cNvPr>
            <xdr:cNvSpPr txBox="1"/>
          </xdr:nvSpPr>
          <xdr:spPr>
            <a:xfrm>
              <a:off x="5519304" y="22039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𝑑</a:t>
              </a:r>
              <a:endParaRPr lang="en-GB" sz="1100"/>
            </a:p>
          </xdr:txBody>
        </xdr:sp>
      </mc:Fallback>
    </mc:AlternateContent>
    <xdr:clientData/>
  </xdr:oneCellAnchor>
  <xdr:oneCellAnchor>
    <xdr:from>
      <xdr:col>2</xdr:col>
      <xdr:colOff>464704</xdr:colOff>
      <xdr:row>93</xdr:row>
      <xdr:rowOff>5003</xdr:rowOff>
    </xdr:from>
    <xdr:ext cx="355949" cy="209309"/>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00000000-0008-0000-0000-000032000000}"/>
                </a:ext>
              </a:extLst>
            </xdr:cNvPr>
            <xdr:cNvSpPr txBox="1"/>
          </xdr:nvSpPr>
          <xdr:spPr>
            <a:xfrm>
              <a:off x="4775648" y="18758670"/>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219" name="TextBox 218">
              <a:extLst>
                <a:ext uri="{FF2B5EF4-FFF2-40B4-BE49-F238E27FC236}">
                  <a16:creationId xmlns:a16="http://schemas.microsoft.com/office/drawing/2014/main" id="{00000000-0008-0000-0000-000032000000}"/>
                </a:ext>
              </a:extLst>
            </xdr:cNvPr>
            <xdr:cNvSpPr txBox="1"/>
          </xdr:nvSpPr>
          <xdr:spPr>
            <a:xfrm>
              <a:off x="4775648" y="18758670"/>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̇_𝑜𝑚𝑑</a:t>
              </a:r>
              <a:endParaRPr lang="en-GB" sz="1100"/>
            </a:p>
          </xdr:txBody>
        </xdr:sp>
      </mc:Fallback>
    </mc:AlternateContent>
    <xdr:clientData/>
  </xdr:oneCellAnchor>
  <xdr:twoCellAnchor editAs="oneCell">
    <xdr:from>
      <xdr:col>7</xdr:col>
      <xdr:colOff>0</xdr:colOff>
      <xdr:row>106</xdr:row>
      <xdr:rowOff>0</xdr:rowOff>
    </xdr:from>
    <xdr:to>
      <xdr:col>12</xdr:col>
      <xdr:colOff>386645</xdr:colOff>
      <xdr:row>107</xdr:row>
      <xdr:rowOff>147461</xdr:rowOff>
    </xdr:to>
    <xdr:pic>
      <xdr:nvPicPr>
        <xdr:cNvPr id="221" name="Picture 220" descr="Screen Clipping"/>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t="51730" r="32832" b="-4539"/>
        <a:stretch/>
      </xdr:blipFill>
      <xdr:spPr>
        <a:xfrm>
          <a:off x="11176000" y="21124333"/>
          <a:ext cx="4937478" cy="345017"/>
        </a:xfrm>
        <a:prstGeom prst="rect">
          <a:avLst/>
        </a:prstGeom>
        <a:ln>
          <a:solidFill>
            <a:srgbClr val="FF0000"/>
          </a:solidFill>
        </a:ln>
      </xdr:spPr>
    </xdr:pic>
    <xdr:clientData/>
  </xdr:twoCellAnchor>
  <xdr:twoCellAnchor editAs="oneCell">
    <xdr:from>
      <xdr:col>7</xdr:col>
      <xdr:colOff>342900</xdr:colOff>
      <xdr:row>116</xdr:row>
      <xdr:rowOff>64909</xdr:rowOff>
    </xdr:from>
    <xdr:to>
      <xdr:col>13</xdr:col>
      <xdr:colOff>836773</xdr:colOff>
      <xdr:row>119</xdr:row>
      <xdr:rowOff>108216</xdr:rowOff>
    </xdr:to>
    <xdr:pic>
      <xdr:nvPicPr>
        <xdr:cNvPr id="222" name="Picture 221" descr="Screen Clipping"/>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1525250" y="23467834"/>
          <a:ext cx="5637373" cy="643382"/>
        </a:xfrm>
        <a:prstGeom prst="rect">
          <a:avLst/>
        </a:prstGeom>
        <a:ln>
          <a:solidFill>
            <a:srgbClr val="FF0000"/>
          </a:solidFill>
        </a:ln>
      </xdr:spPr>
    </xdr:pic>
    <xdr:clientData/>
  </xdr:twoCellAnchor>
  <xdr:twoCellAnchor editAs="oneCell">
    <xdr:from>
      <xdr:col>8</xdr:col>
      <xdr:colOff>85211</xdr:colOff>
      <xdr:row>120</xdr:row>
      <xdr:rowOff>67077</xdr:rowOff>
    </xdr:from>
    <xdr:to>
      <xdr:col>11</xdr:col>
      <xdr:colOff>737369</xdr:colOff>
      <xdr:row>121</xdr:row>
      <xdr:rowOff>178720</xdr:rowOff>
    </xdr:to>
    <xdr:pic>
      <xdr:nvPicPr>
        <xdr:cNvPr id="223" name="Picture 222"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2693489" y="24549855"/>
          <a:ext cx="2931102" cy="309199"/>
        </a:xfrm>
        <a:prstGeom prst="rect">
          <a:avLst/>
        </a:prstGeom>
        <a:ln>
          <a:solidFill>
            <a:srgbClr val="00B050"/>
          </a:solidFill>
        </a:ln>
      </xdr:spPr>
    </xdr:pic>
    <xdr:clientData/>
  </xdr:twoCellAnchor>
  <xdr:twoCellAnchor editAs="oneCell">
    <xdr:from>
      <xdr:col>5</xdr:col>
      <xdr:colOff>566031</xdr:colOff>
      <xdr:row>125</xdr:row>
      <xdr:rowOff>25097</xdr:rowOff>
    </xdr:from>
    <xdr:to>
      <xdr:col>7</xdr:col>
      <xdr:colOff>417249</xdr:colOff>
      <xdr:row>126</xdr:row>
      <xdr:rowOff>100129</xdr:rowOff>
    </xdr:to>
    <xdr:pic>
      <xdr:nvPicPr>
        <xdr:cNvPr id="224" name="Picture 223"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884531" y="24902986"/>
          <a:ext cx="2708718" cy="272587"/>
        </a:xfrm>
        <a:prstGeom prst="rect">
          <a:avLst/>
        </a:prstGeom>
        <a:ln>
          <a:solidFill>
            <a:srgbClr val="FF0000"/>
          </a:solidFill>
        </a:ln>
      </xdr:spPr>
    </xdr:pic>
    <xdr:clientData/>
  </xdr:twoCellAnchor>
  <xdr:twoCellAnchor editAs="oneCell">
    <xdr:from>
      <xdr:col>8</xdr:col>
      <xdr:colOff>453215</xdr:colOff>
      <xdr:row>126</xdr:row>
      <xdr:rowOff>50445</xdr:rowOff>
    </xdr:from>
    <xdr:to>
      <xdr:col>13</xdr:col>
      <xdr:colOff>590620</xdr:colOff>
      <xdr:row>128</xdr:row>
      <xdr:rowOff>167692</xdr:rowOff>
    </xdr:to>
    <xdr:pic>
      <xdr:nvPicPr>
        <xdr:cNvPr id="225" name="Picture 224" descr="Screen Clipping"/>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061493" y="25521001"/>
          <a:ext cx="3855683" cy="512359"/>
        </a:xfrm>
        <a:prstGeom prst="rect">
          <a:avLst/>
        </a:prstGeom>
        <a:ln>
          <a:solidFill>
            <a:srgbClr val="FF0000"/>
          </a:solidFill>
        </a:ln>
      </xdr:spPr>
    </xdr:pic>
    <xdr:clientData/>
  </xdr:twoCellAnchor>
  <xdr:twoCellAnchor editAs="oneCell">
    <xdr:from>
      <xdr:col>8</xdr:col>
      <xdr:colOff>256870</xdr:colOff>
      <xdr:row>128</xdr:row>
      <xdr:rowOff>191910</xdr:rowOff>
    </xdr:from>
    <xdr:to>
      <xdr:col>12</xdr:col>
      <xdr:colOff>29879</xdr:colOff>
      <xdr:row>130</xdr:row>
      <xdr:rowOff>162097</xdr:rowOff>
    </xdr:to>
    <xdr:pic>
      <xdr:nvPicPr>
        <xdr:cNvPr id="226" name="Picture 225"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865148" y="26057577"/>
          <a:ext cx="2891564" cy="365298"/>
        </a:xfrm>
        <a:prstGeom prst="rect">
          <a:avLst/>
        </a:prstGeom>
        <a:ln>
          <a:solidFill>
            <a:srgbClr val="00B050"/>
          </a:solidFill>
        </a:ln>
      </xdr:spPr>
    </xdr:pic>
    <xdr:clientData/>
  </xdr:twoCellAnchor>
  <xdr:twoCellAnchor editAs="oneCell">
    <xdr:from>
      <xdr:col>7</xdr:col>
      <xdr:colOff>353468</xdr:colOff>
      <xdr:row>130</xdr:row>
      <xdr:rowOff>82728</xdr:rowOff>
    </xdr:from>
    <xdr:to>
      <xdr:col>11</xdr:col>
      <xdr:colOff>809447</xdr:colOff>
      <xdr:row>132</xdr:row>
      <xdr:rowOff>76950</xdr:rowOff>
    </xdr:to>
    <xdr:pic>
      <xdr:nvPicPr>
        <xdr:cNvPr id="227" name="Picture 226"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1529468" y="26343506"/>
          <a:ext cx="4167201" cy="389333"/>
        </a:xfrm>
        <a:prstGeom prst="rect">
          <a:avLst/>
        </a:prstGeom>
        <a:ln>
          <a:solidFill>
            <a:srgbClr val="FF0000"/>
          </a:solidFill>
        </a:ln>
      </xdr:spPr>
    </xdr:pic>
    <xdr:clientData/>
  </xdr:twoCellAnchor>
  <xdr:twoCellAnchor editAs="oneCell">
    <xdr:from>
      <xdr:col>7</xdr:col>
      <xdr:colOff>317500</xdr:colOff>
      <xdr:row>132</xdr:row>
      <xdr:rowOff>178131</xdr:rowOff>
    </xdr:from>
    <xdr:to>
      <xdr:col>11</xdr:col>
      <xdr:colOff>439930</xdr:colOff>
      <xdr:row>134</xdr:row>
      <xdr:rowOff>132490</xdr:rowOff>
    </xdr:to>
    <xdr:pic>
      <xdr:nvPicPr>
        <xdr:cNvPr id="228" name="Picture 227"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1493500" y="26834020"/>
          <a:ext cx="3833652" cy="349470"/>
        </a:xfrm>
        <a:prstGeom prst="rect">
          <a:avLst/>
        </a:prstGeom>
        <a:ln>
          <a:solidFill>
            <a:srgbClr val="FF0000"/>
          </a:solidFill>
        </a:ln>
      </xdr:spPr>
    </xdr:pic>
    <xdr:clientData/>
  </xdr:twoCellAnchor>
  <xdr:oneCellAnchor>
    <xdr:from>
      <xdr:col>2</xdr:col>
      <xdr:colOff>368878</xdr:colOff>
      <xdr:row>122</xdr:row>
      <xdr:rowOff>195696</xdr:rowOff>
    </xdr:from>
    <xdr:ext cx="766184" cy="232929"/>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00000000-0008-0000-0000-000054000000}"/>
                </a:ext>
              </a:extLst>
            </xdr:cNvPr>
            <xdr:cNvSpPr txBox="1"/>
          </xdr:nvSpPr>
          <xdr:spPr>
            <a:xfrm>
              <a:off x="5423478" y="243955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𝑅</m:t>
                            </m:r>
                            <m:r>
                              <m:rPr>
                                <m:sty m:val="p"/>
                              </m:rPr>
                              <a:rPr lang="el-GR" sz="1100" b="0" i="1" baseline="-25000">
                                <a:solidFill>
                                  <a:schemeClr val="tx1"/>
                                </a:solidFill>
                                <a:effectLst/>
                                <a:latin typeface="Cambria Math" panose="02040503050406030204" pitchFamily="18" charset="0"/>
                                <a:ea typeface="+mn-ea"/>
                                <a:cs typeface="+mn-cs"/>
                              </a:rPr>
                              <m:t>α</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r>
                          <a:rPr lang="en-GB" sz="1100" b="0" i="1">
                            <a:latin typeface="Cambria Math" panose="02040503050406030204" pitchFamily="18" charset="0"/>
                          </a:rPr>
                          <m:t>)</m:t>
                        </m:r>
                      </m:sub>
                      <m:sup/>
                    </m:sSubSup>
                    <m:r>
                      <a:rPr lang="en-GB" sz="1100" b="0" i="1">
                        <a:latin typeface="Cambria Math" panose="02040503050406030204" pitchFamily="18" charset="0"/>
                      </a:rPr>
                      <m:t>)</m:t>
                    </m:r>
                    <m:r>
                      <a:rPr lang="en-GB" sz="1100" b="0" i="1" baseline="30000">
                        <a:latin typeface="Cambria Math" panose="02040503050406030204" pitchFamily="18" charset="0"/>
                      </a:rPr>
                      <m:t>∗</m:t>
                    </m:r>
                  </m:oMath>
                </m:oMathPara>
              </a14:m>
              <a:endParaRPr lang="en-GB" sz="1100" baseline="30000"/>
            </a:p>
          </xdr:txBody>
        </xdr:sp>
      </mc:Choice>
      <mc:Fallback xmlns="">
        <xdr:sp macro="" textlink="">
          <xdr:nvSpPr>
            <xdr:cNvPr id="230" name="TextBox 229">
              <a:extLst>
                <a:ext uri="{FF2B5EF4-FFF2-40B4-BE49-F238E27FC236}">
                  <a16:creationId xmlns:a16="http://schemas.microsoft.com/office/drawing/2014/main" id="{00000000-0008-0000-0000-000054000000}"/>
                </a:ext>
              </a:extLst>
            </xdr:cNvPr>
            <xdr:cNvSpPr txBox="1"/>
          </xdr:nvSpPr>
          <xdr:spPr>
            <a:xfrm>
              <a:off x="5423478" y="243955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(𝑅</a:t>
              </a:r>
              <a:r>
                <a:rPr lang="el-GR" sz="1100" b="0" i="0" baseline="-25000">
                  <a:solidFill>
                    <a:schemeClr val="tx1"/>
                  </a:solidFill>
                  <a:effectLst/>
                  <a:latin typeface="Cambria Math" panose="02040503050406030204" pitchFamily="18" charset="0"/>
                  <a:ea typeface="+mn-ea"/>
                  <a:cs typeface="+mn-cs"/>
                </a:rPr>
                <a:t>α</a:t>
              </a:r>
              <a:r>
                <a:rPr lang="en-GB" sz="1100" b="0" i="0">
                  <a:latin typeface="Cambria Math" panose="02040503050406030204" pitchFamily="18" charset="0"/>
                </a:rPr>
                <a:t>𝐶) ̇〗_(𝑐𝑎𝑝))^ )</a:t>
              </a:r>
              <a:r>
                <a:rPr lang="en-GB" sz="1100" b="0" i="0" baseline="30000">
                  <a:latin typeface="Cambria Math" panose="02040503050406030204" pitchFamily="18" charset="0"/>
                </a:rPr>
                <a:t>∗</a:t>
              </a:r>
              <a:endParaRPr lang="en-GB" sz="1100" baseline="30000"/>
            </a:p>
          </xdr:txBody>
        </xdr:sp>
      </mc:Fallback>
    </mc:AlternateContent>
    <xdr:clientData/>
  </xdr:oneCellAnchor>
  <xdr:twoCellAnchor editAs="oneCell">
    <xdr:from>
      <xdr:col>1</xdr:col>
      <xdr:colOff>627944</xdr:colOff>
      <xdr:row>135</xdr:row>
      <xdr:rowOff>119945</xdr:rowOff>
    </xdr:from>
    <xdr:to>
      <xdr:col>7</xdr:col>
      <xdr:colOff>629321</xdr:colOff>
      <xdr:row>154</xdr:row>
      <xdr:rowOff>197080</xdr:rowOff>
    </xdr:to>
    <xdr:pic>
      <xdr:nvPicPr>
        <xdr:cNvPr id="231" name="Picture 230"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3887611" y="26973389"/>
          <a:ext cx="7917710" cy="3830691"/>
        </a:xfrm>
        <a:prstGeom prst="rect">
          <a:avLst/>
        </a:prstGeom>
        <a:ln>
          <a:solidFill>
            <a:srgbClr val="FF0000"/>
          </a:solidFill>
        </a:ln>
      </xdr:spPr>
    </xdr:pic>
    <xdr:clientData/>
  </xdr:twoCellAnchor>
  <xdr:twoCellAnchor editAs="oneCell">
    <xdr:from>
      <xdr:col>0</xdr:col>
      <xdr:colOff>752827</xdr:colOff>
      <xdr:row>195</xdr:row>
      <xdr:rowOff>59266</xdr:rowOff>
    </xdr:from>
    <xdr:to>
      <xdr:col>2</xdr:col>
      <xdr:colOff>19050</xdr:colOff>
      <xdr:row>197</xdr:row>
      <xdr:rowOff>154924</xdr:rowOff>
    </xdr:to>
    <xdr:pic>
      <xdr:nvPicPr>
        <xdr:cNvPr id="232" name="Picture 231"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52827" y="39302266"/>
          <a:ext cx="3581048" cy="514758"/>
        </a:xfrm>
        <a:prstGeom prst="rect">
          <a:avLst/>
        </a:prstGeom>
        <a:ln>
          <a:solidFill>
            <a:srgbClr val="00B050"/>
          </a:solidFill>
        </a:ln>
      </xdr:spPr>
    </xdr:pic>
    <xdr:clientData/>
  </xdr:twoCellAnchor>
  <xdr:twoCellAnchor editAs="oneCell">
    <xdr:from>
      <xdr:col>0</xdr:col>
      <xdr:colOff>331611</xdr:colOff>
      <xdr:row>205</xdr:row>
      <xdr:rowOff>77612</xdr:rowOff>
    </xdr:from>
    <xdr:to>
      <xdr:col>2</xdr:col>
      <xdr:colOff>372558</xdr:colOff>
      <xdr:row>208</xdr:row>
      <xdr:rowOff>130724</xdr:rowOff>
    </xdr:to>
    <xdr:pic>
      <xdr:nvPicPr>
        <xdr:cNvPr id="233" name="Picture 232"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31611" y="40604723"/>
          <a:ext cx="4351891" cy="659890"/>
        </a:xfrm>
        <a:prstGeom prst="rect">
          <a:avLst/>
        </a:prstGeom>
        <a:ln>
          <a:solidFill>
            <a:srgbClr val="00B050"/>
          </a:solidFill>
        </a:ln>
      </xdr:spPr>
    </xdr:pic>
    <xdr:clientData/>
  </xdr:twoCellAnchor>
  <xdr:twoCellAnchor editAs="oneCell">
    <xdr:from>
      <xdr:col>0</xdr:col>
      <xdr:colOff>373944</xdr:colOff>
      <xdr:row>234</xdr:row>
      <xdr:rowOff>35277</xdr:rowOff>
    </xdr:from>
    <xdr:to>
      <xdr:col>2</xdr:col>
      <xdr:colOff>712930</xdr:colOff>
      <xdr:row>237</xdr:row>
      <xdr:rowOff>134474</xdr:rowOff>
    </xdr:to>
    <xdr:pic>
      <xdr:nvPicPr>
        <xdr:cNvPr id="234" name="Picture 233"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373944" y="46362055"/>
          <a:ext cx="4649930" cy="705975"/>
        </a:xfrm>
        <a:prstGeom prst="rect">
          <a:avLst/>
        </a:prstGeom>
        <a:ln>
          <a:solidFill>
            <a:srgbClr val="00B050"/>
          </a:solidFill>
        </a:ln>
      </xdr:spPr>
    </xdr:pic>
    <xdr:clientData/>
  </xdr:twoCellAnchor>
  <xdr:twoCellAnchor editAs="oneCell">
    <xdr:from>
      <xdr:col>0</xdr:col>
      <xdr:colOff>465666</xdr:colOff>
      <xdr:row>253</xdr:row>
      <xdr:rowOff>190500</xdr:rowOff>
    </xdr:from>
    <xdr:to>
      <xdr:col>2</xdr:col>
      <xdr:colOff>836404</xdr:colOff>
      <xdr:row>257</xdr:row>
      <xdr:rowOff>163845</xdr:rowOff>
    </xdr:to>
    <xdr:pic>
      <xdr:nvPicPr>
        <xdr:cNvPr id="235" name="Picture 234"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65666" y="50299056"/>
          <a:ext cx="4681682" cy="763567"/>
        </a:xfrm>
        <a:prstGeom prst="rect">
          <a:avLst/>
        </a:prstGeom>
        <a:ln>
          <a:solidFill>
            <a:srgbClr val="00B050"/>
          </a:solidFill>
        </a:ln>
      </xdr:spPr>
    </xdr:pic>
    <xdr:clientData/>
  </xdr:twoCellAnchor>
  <xdr:twoCellAnchor editAs="oneCell">
    <xdr:from>
      <xdr:col>0</xdr:col>
      <xdr:colOff>409221</xdr:colOff>
      <xdr:row>264</xdr:row>
      <xdr:rowOff>21167</xdr:rowOff>
    </xdr:from>
    <xdr:to>
      <xdr:col>1</xdr:col>
      <xdr:colOff>760395</xdr:colOff>
      <xdr:row>266</xdr:row>
      <xdr:rowOff>112607</xdr:rowOff>
    </xdr:to>
    <xdr:pic>
      <xdr:nvPicPr>
        <xdr:cNvPr id="236" name="Picture 235"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409221" y="52302834"/>
          <a:ext cx="3610841" cy="486551"/>
        </a:xfrm>
        <a:prstGeom prst="rect">
          <a:avLst/>
        </a:prstGeom>
        <a:ln>
          <a:solidFill>
            <a:srgbClr val="00B050"/>
          </a:solidFill>
        </a:ln>
      </xdr:spPr>
    </xdr:pic>
    <xdr:clientData/>
  </xdr:twoCellAnchor>
  <xdr:twoCellAnchor editAs="oneCell">
    <xdr:from>
      <xdr:col>0</xdr:col>
      <xdr:colOff>437444</xdr:colOff>
      <xdr:row>270</xdr:row>
      <xdr:rowOff>162279</xdr:rowOff>
    </xdr:from>
    <xdr:to>
      <xdr:col>1</xdr:col>
      <xdr:colOff>797276</xdr:colOff>
      <xdr:row>273</xdr:row>
      <xdr:rowOff>92930</xdr:rowOff>
    </xdr:to>
    <xdr:pic>
      <xdr:nvPicPr>
        <xdr:cNvPr id="237" name="Picture 236"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437444" y="53629279"/>
          <a:ext cx="3619499" cy="523318"/>
        </a:xfrm>
        <a:prstGeom prst="rect">
          <a:avLst/>
        </a:prstGeom>
        <a:ln>
          <a:solidFill>
            <a:srgbClr val="00B050"/>
          </a:solidFill>
        </a:ln>
      </xdr:spPr>
    </xdr:pic>
    <xdr:clientData/>
  </xdr:twoCellAnchor>
  <xdr:twoCellAnchor editAs="oneCell">
    <xdr:from>
      <xdr:col>0</xdr:col>
      <xdr:colOff>536222</xdr:colOff>
      <xdr:row>280</xdr:row>
      <xdr:rowOff>49389</xdr:rowOff>
    </xdr:from>
    <xdr:to>
      <xdr:col>1</xdr:col>
      <xdr:colOff>786794</xdr:colOff>
      <xdr:row>285</xdr:row>
      <xdr:rowOff>81731</xdr:rowOff>
    </xdr:to>
    <xdr:pic>
      <xdr:nvPicPr>
        <xdr:cNvPr id="238" name="Picture 237"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36222" y="55491945"/>
          <a:ext cx="3510239" cy="1020119"/>
        </a:xfrm>
        <a:prstGeom prst="rect">
          <a:avLst/>
        </a:prstGeom>
        <a:ln>
          <a:solidFill>
            <a:srgbClr val="00B050"/>
          </a:solidFill>
        </a:ln>
      </xdr:spPr>
    </xdr:pic>
    <xdr:clientData/>
  </xdr:twoCellAnchor>
  <xdr:twoCellAnchor editAs="oneCell">
    <xdr:from>
      <xdr:col>0</xdr:col>
      <xdr:colOff>21168</xdr:colOff>
      <xdr:row>292</xdr:row>
      <xdr:rowOff>0</xdr:rowOff>
    </xdr:from>
    <xdr:to>
      <xdr:col>2</xdr:col>
      <xdr:colOff>1242071</xdr:colOff>
      <xdr:row>293</xdr:row>
      <xdr:rowOff>137254</xdr:rowOff>
    </xdr:to>
    <xdr:pic>
      <xdr:nvPicPr>
        <xdr:cNvPr id="239" name="Picture 238"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21168" y="57813222"/>
          <a:ext cx="5531847" cy="334810"/>
        </a:xfrm>
        <a:prstGeom prst="rect">
          <a:avLst/>
        </a:prstGeom>
        <a:ln>
          <a:solidFill>
            <a:srgbClr val="00B050"/>
          </a:solidFill>
        </a:ln>
      </xdr:spPr>
    </xdr:pic>
    <xdr:clientData/>
  </xdr:twoCellAnchor>
  <xdr:twoCellAnchor editAs="oneCell">
    <xdr:from>
      <xdr:col>0</xdr:col>
      <xdr:colOff>403770</xdr:colOff>
      <xdr:row>308</xdr:row>
      <xdr:rowOff>29483</xdr:rowOff>
    </xdr:from>
    <xdr:to>
      <xdr:col>2</xdr:col>
      <xdr:colOff>768736</xdr:colOff>
      <xdr:row>310</xdr:row>
      <xdr:rowOff>2095</xdr:rowOff>
    </xdr:to>
    <xdr:pic>
      <xdr:nvPicPr>
        <xdr:cNvPr id="240" name="Picture 239"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403770" y="61003594"/>
          <a:ext cx="4675910" cy="367723"/>
        </a:xfrm>
        <a:prstGeom prst="rect">
          <a:avLst/>
        </a:prstGeom>
        <a:ln>
          <a:solidFill>
            <a:srgbClr val="00B050"/>
          </a:solidFill>
        </a:ln>
      </xdr:spPr>
    </xdr:pic>
    <xdr:clientData/>
  </xdr:twoCellAnchor>
  <xdr:twoCellAnchor editAs="oneCell">
    <xdr:from>
      <xdr:col>0</xdr:col>
      <xdr:colOff>437444</xdr:colOff>
      <xdr:row>300</xdr:row>
      <xdr:rowOff>141110</xdr:rowOff>
    </xdr:from>
    <xdr:to>
      <xdr:col>2</xdr:col>
      <xdr:colOff>880289</xdr:colOff>
      <xdr:row>307</xdr:row>
      <xdr:rowOff>8058</xdr:rowOff>
    </xdr:to>
    <xdr:pic>
      <xdr:nvPicPr>
        <xdr:cNvPr id="241" name="Picture 240"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437444" y="59534777"/>
          <a:ext cx="4753789" cy="1249837"/>
        </a:xfrm>
        <a:prstGeom prst="rect">
          <a:avLst/>
        </a:prstGeom>
        <a:ln>
          <a:solidFill>
            <a:srgbClr val="00B050"/>
          </a:solidFill>
        </a:ln>
      </xdr:spPr>
    </xdr:pic>
    <xdr:clientData/>
  </xdr:twoCellAnchor>
  <xdr:twoCellAnchor editAs="oneCell">
    <xdr:from>
      <xdr:col>6</xdr:col>
      <xdr:colOff>35278</xdr:colOff>
      <xdr:row>276</xdr:row>
      <xdr:rowOff>28222</xdr:rowOff>
    </xdr:from>
    <xdr:to>
      <xdr:col>10</xdr:col>
      <xdr:colOff>47466</xdr:colOff>
      <xdr:row>278</xdr:row>
      <xdr:rowOff>834</xdr:rowOff>
    </xdr:to>
    <xdr:pic>
      <xdr:nvPicPr>
        <xdr:cNvPr id="242" name="Picture 241"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659056" y="54680555"/>
          <a:ext cx="4675910" cy="367723"/>
        </a:xfrm>
        <a:prstGeom prst="rect">
          <a:avLst/>
        </a:prstGeom>
        <a:ln>
          <a:solidFill>
            <a:srgbClr val="00B050"/>
          </a:solidFill>
        </a:ln>
      </xdr:spPr>
    </xdr:pic>
    <xdr:clientData/>
  </xdr:twoCellAnchor>
  <xdr:twoCellAnchor editAs="oneCell">
    <xdr:from>
      <xdr:col>8</xdr:col>
      <xdr:colOff>282222</xdr:colOff>
      <xdr:row>166</xdr:row>
      <xdr:rowOff>91723</xdr:rowOff>
    </xdr:from>
    <xdr:to>
      <xdr:col>12</xdr:col>
      <xdr:colOff>33230</xdr:colOff>
      <xdr:row>168</xdr:row>
      <xdr:rowOff>60627</xdr:rowOff>
    </xdr:to>
    <xdr:pic>
      <xdr:nvPicPr>
        <xdr:cNvPr id="243" name="Picture 242"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890500" y="33076445"/>
          <a:ext cx="2869563" cy="364015"/>
        </a:xfrm>
        <a:prstGeom prst="rect">
          <a:avLst/>
        </a:prstGeom>
        <a:ln>
          <a:solidFill>
            <a:srgbClr val="00B050"/>
          </a:solidFill>
        </a:ln>
      </xdr:spPr>
    </xdr:pic>
    <xdr:clientData/>
  </xdr:twoCellAnchor>
  <xdr:twoCellAnchor editAs="oneCell">
    <xdr:from>
      <xdr:col>6</xdr:col>
      <xdr:colOff>104775</xdr:colOff>
      <xdr:row>87</xdr:row>
      <xdr:rowOff>190501</xdr:rowOff>
    </xdr:from>
    <xdr:to>
      <xdr:col>13</xdr:col>
      <xdr:colOff>353479</xdr:colOff>
      <xdr:row>92</xdr:row>
      <xdr:rowOff>74894</xdr:rowOff>
    </xdr:to>
    <xdr:pic>
      <xdr:nvPicPr>
        <xdr:cNvPr id="15" name="Picture 14"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34550" y="17792701"/>
          <a:ext cx="6944779" cy="884518"/>
        </a:xfrm>
        <a:prstGeom prst="rect">
          <a:avLst/>
        </a:prstGeom>
        <a:ln>
          <a:solidFill>
            <a:srgbClr val="FF0000"/>
          </a:solidFill>
        </a:ln>
      </xdr:spPr>
    </xdr:pic>
    <xdr:clientData/>
  </xdr:twoCellAnchor>
  <xdr:twoCellAnchor editAs="oneCell">
    <xdr:from>
      <xdr:col>7</xdr:col>
      <xdr:colOff>28575</xdr:colOff>
      <xdr:row>108</xdr:row>
      <xdr:rowOff>0</xdr:rowOff>
    </xdr:from>
    <xdr:to>
      <xdr:col>14</xdr:col>
      <xdr:colOff>515404</xdr:colOff>
      <xdr:row>112</xdr:row>
      <xdr:rowOff>23761</xdr:rowOff>
    </xdr:to>
    <xdr:pic>
      <xdr:nvPicPr>
        <xdr:cNvPr id="172" name="Picture 171"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1210925" y="21802725"/>
          <a:ext cx="6468529" cy="823861"/>
        </a:xfrm>
        <a:prstGeom prst="rect">
          <a:avLst/>
        </a:prstGeom>
        <a:ln>
          <a:solidFill>
            <a:srgbClr val="FF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33</xdr:row>
      <xdr:rowOff>161925</xdr:rowOff>
    </xdr:from>
    <xdr:to>
      <xdr:col>0</xdr:col>
      <xdr:colOff>4400550</xdr:colOff>
      <xdr:row>51</xdr:row>
      <xdr:rowOff>45178</xdr:rowOff>
    </xdr:to>
    <xdr:pic>
      <xdr:nvPicPr>
        <xdr:cNvPr id="2" name="Picture 2" descr="cid:image002.png@01D67F99.B1802EE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04824" y="6670675"/>
          <a:ext cx="3895726" cy="3426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56</xdr:row>
      <xdr:rowOff>1257300</xdr:rowOff>
    </xdr:from>
    <xdr:to>
      <xdr:col>0</xdr:col>
      <xdr:colOff>5553075</xdr:colOff>
      <xdr:row>56</xdr:row>
      <xdr:rowOff>5972175</xdr:rowOff>
    </xdr:to>
    <xdr:pic>
      <xdr:nvPicPr>
        <xdr:cNvPr id="3" name="Picture 4" descr="cid:image006.png@01D67F92.F33A38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95250" y="14376400"/>
          <a:ext cx="5457825" cy="394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9526</xdr:colOff>
      <xdr:row>56</xdr:row>
      <xdr:rowOff>66675</xdr:rowOff>
    </xdr:from>
    <xdr:to>
      <xdr:col>1</xdr:col>
      <xdr:colOff>2981326</xdr:colOff>
      <xdr:row>56</xdr:row>
      <xdr:rowOff>3571875</xdr:rowOff>
    </xdr:to>
    <xdr:pic>
      <xdr:nvPicPr>
        <xdr:cNvPr id="4" name="Picture 5" descr="cid:image007.png@01D67F93.9A5092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5724526" y="13185775"/>
          <a:ext cx="29718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571499</xdr:colOff>
      <xdr:row>56</xdr:row>
      <xdr:rowOff>209550</xdr:rowOff>
    </xdr:from>
    <xdr:to>
      <xdr:col>2</xdr:col>
      <xdr:colOff>4123276</xdr:colOff>
      <xdr:row>56</xdr:row>
      <xdr:rowOff>2276475</xdr:rowOff>
    </xdr:to>
    <xdr:pic>
      <xdr:nvPicPr>
        <xdr:cNvPr id="5" name="Picture 1" descr="cid:image004.png@01D67F92.5B479920">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9283699" y="13328650"/>
          <a:ext cx="3551777"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533400</xdr:colOff>
      <xdr:row>56</xdr:row>
      <xdr:rowOff>9525</xdr:rowOff>
    </xdr:from>
    <xdr:to>
      <xdr:col>4</xdr:col>
      <xdr:colOff>104775</xdr:colOff>
      <xdr:row>56</xdr:row>
      <xdr:rowOff>4686300</xdr:rowOff>
    </xdr:to>
    <xdr:pic>
      <xdr:nvPicPr>
        <xdr:cNvPr id="6" name="Picture 3" descr="cid:image005.png@01D67F92.A6EBEAC0">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14033500" y="13128625"/>
          <a:ext cx="6245225" cy="467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64</xdr:row>
      <xdr:rowOff>29418</xdr:rowOff>
    </xdr:from>
    <xdr:to>
      <xdr:col>1</xdr:col>
      <xdr:colOff>1389063</xdr:colOff>
      <xdr:row>83</xdr:row>
      <xdr:rowOff>22888</xdr:rowOff>
    </xdr:to>
    <xdr:pic>
      <xdr:nvPicPr>
        <xdr:cNvPr id="7" name="Picture 6" descr="cid:image009.jpg@01D67F99.B1802EE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95250" y="19733468"/>
          <a:ext cx="7008813" cy="3733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ur03.safelinks.protection.outlook.com/?url=https%3A%2F%2Fberla.co%2Faverage-us-vehicle-lifespan%2F&amp;data=05%7C01%7CH.Blomfield%40leeds.ac.uk%7Cdc6fa38ed9764468695708da9b24eeee%7Cbdeaeda8c81d45ce863e5232a535b7cb%7C1%7C0%7C637992880168033659%7CUnknown%7CTWFpbGZsb3d8eyJWIjoiMC4wLjAwMDAiLCJQIjoiV2luMzIiLCJBTiI6Ik1haWwiLCJXVCI6Mn0%3D%7C3000%7C%7C%7C&amp;sdata=gDxQLsQstYyuilGKEDmN7QrALDDBlXpY1fsdIVlYQRc%3D&amp;reserved=0" TargetMode="External"/><Relationship Id="rId1" Type="http://schemas.openxmlformats.org/officeDocument/2006/relationships/hyperlink" Target="https://eur03.safelinks.protection.outlook.com/?url=https%3A%2F%2Fgreet.es.anl.gov%2Ffiles%2Fvehicle_and_components_manufacturing&amp;data=05%7C01%7CH.Blomfield%40leeds.ac.uk%7Cdc6fa38ed9764468695708da9b24eeee%7Cbdeaeda8c81d45ce863e5232a535b7cb%7C1%7C0%7C637992880168033659%7CUnknown%7CTWFpbGZsb3d8eyJWIjoiMC4wLjAwMDAiLCJQIjoiV2luMzIiLCJBTiI6Ik1haWwiLCJXVCI6Mn0%3D%7C3000%7C%7C%7C&amp;sdata=p5EVWO1O6nQGqDO9T%2FTGiKEmTGsxTUi1F5xO2fYrsGU%3D&amp;reserved=0"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fred.stlouisfed.org/series/MEPAINUSA672N" TargetMode="External"/><Relationship Id="rId7" Type="http://schemas.openxmlformats.org/officeDocument/2006/relationships/hyperlink" Target="https://eur03.safelinks.protection.outlook.com/?url=https%3A%2F%2Fwww.junkcarmedics.com%2Fprices%2F&amp;data=05%7C02%7CP.E.Brockway%40leeds.ac.uk%7Cb9471947725046df0d5c08dc773a3900%7Cbdeaeda8c81d45ce863e5232a535b7cb%7C0%7C0%7C638516339156668326%7CUnknown%7CTWFpbGZsb3d8eyJWIjoiMC4wLjAwMDAiLCJQIjoiV2luMzIiLCJBTiI6Ik1haWwiLCJXVCI6Mn0%3D%7C0%7C%7C%7C&amp;sdata=JqRHc0xGJhMUSAtvGF0W7hrpZVanVaNfjGduFv3Uzbg%3D&amp;reserved=0" TargetMode="External"/><Relationship Id="rId2" Type="http://schemas.openxmlformats.org/officeDocument/2006/relationships/hyperlink" Target="https://berla.co/average-us-vehicle-lifespan/" TargetMode="External"/><Relationship Id="rId1" Type="http://schemas.openxmlformats.org/officeDocument/2006/relationships/hyperlink" Target="https://www.fhwa.dot.gov/ohim/onh00/bar8.htm" TargetMode="External"/><Relationship Id="rId6" Type="http://schemas.openxmlformats.org/officeDocument/2006/relationships/hyperlink" Target="https://eur03.safelinks.protection.outlook.com/?url=https%3A%2F%2Fwww.researchgate.net%2Fpublication%2F308033461_SIMULATION_BASED_LIFE-CYCLE_ANALYSIS_OF_A_VEHICLE_FLEET&amp;data=05%7C02%7CP.E.Brockway%40leeds.ac.uk%7Cb9471947725046df0d5c08dc773a3900%7Cbdeaeda8c81d45ce863e5232a535b7cb%7C0%7C0%7C638516339156681256%7CUnknown%7CTWFpbGZsb3d8eyJWIjoiMC4wLjAwMDAiLCJQIjoiV2luMzIiLCJBTiI6Ik1haWwiLCJXVCI6Mn0%3D%7C0%7C%7C%7C&amp;sdata=rhURKs2tsUsUQ76Ul7rmmTAnzLJ4nU%2B9CTc%2FbBs6Pxk%3D&amp;reserved=0" TargetMode="External"/><Relationship Id="rId11" Type="http://schemas.openxmlformats.org/officeDocument/2006/relationships/comments" Target="../comments1.xml"/><Relationship Id="rId5" Type="http://schemas.openxmlformats.org/officeDocument/2006/relationships/hyperlink" Target="https://www.edmunds.com/ford/fusion-energi/2019/cost-to-own/" TargetMode="External"/><Relationship Id="rId10" Type="http://schemas.openxmlformats.org/officeDocument/2006/relationships/vmlDrawing" Target="../drawings/vmlDrawing1.vml"/><Relationship Id="rId4" Type="http://schemas.openxmlformats.org/officeDocument/2006/relationships/hyperlink" Target="https://www.edmunds.com/ford/fusion/2019/cost-to-own/"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fred.stlouisfed.org/series/MEPAINUSA672N" TargetMode="External"/><Relationship Id="rId1" Type="http://schemas.openxmlformats.org/officeDocument/2006/relationships/hyperlink" Target="https://www.eia.gov/electricity/data/state/avgprice_annual.xlsx"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zoomScale="110" zoomScaleNormal="110" workbookViewId="0">
      <selection activeCell="A29" sqref="A29:D29"/>
    </sheetView>
  </sheetViews>
  <sheetFormatPr defaultRowHeight="15.75"/>
  <cols>
    <col min="1" max="1" width="10.625" style="163" customWidth="1"/>
    <col min="2" max="2" width="71.375" customWidth="1"/>
    <col min="4" max="4" width="78.875" style="184" customWidth="1"/>
  </cols>
  <sheetData>
    <row r="1" spans="1:4">
      <c r="A1" s="227" t="s">
        <v>384</v>
      </c>
      <c r="B1" s="228"/>
      <c r="C1" s="157"/>
      <c r="D1" s="157"/>
    </row>
    <row r="2" spans="1:4">
      <c r="A2" s="26"/>
      <c r="B2" s="157"/>
      <c r="C2" s="157"/>
      <c r="D2" s="157"/>
    </row>
    <row r="3" spans="1:4">
      <c r="A3" s="26"/>
      <c r="B3" s="157"/>
      <c r="C3" s="157"/>
      <c r="D3" s="157"/>
    </row>
    <row r="4" spans="1:4" ht="24" customHeight="1">
      <c r="A4" s="229" t="s">
        <v>450</v>
      </c>
      <c r="B4" s="229"/>
      <c r="C4" s="229"/>
      <c r="D4" s="229"/>
    </row>
    <row r="5" spans="1:4" ht="66" customHeight="1">
      <c r="A5" s="229"/>
      <c r="B5" s="229"/>
      <c r="C5" s="229"/>
      <c r="D5" s="229"/>
    </row>
    <row r="6" spans="1:4">
      <c r="A6" s="164" t="s">
        <v>408</v>
      </c>
      <c r="B6" s="158" t="s">
        <v>409</v>
      </c>
      <c r="C6" s="229" t="s">
        <v>410</v>
      </c>
      <c r="D6" s="229"/>
    </row>
    <row r="7" spans="1:4">
      <c r="A7" s="165">
        <v>1</v>
      </c>
      <c r="B7" s="158" t="s">
        <v>386</v>
      </c>
      <c r="C7" s="229" t="s">
        <v>474</v>
      </c>
      <c r="D7" s="229"/>
    </row>
    <row r="8" spans="1:4" ht="15.6" customHeight="1">
      <c r="A8" s="165">
        <v>2</v>
      </c>
      <c r="B8" s="158" t="s">
        <v>387</v>
      </c>
      <c r="C8" s="229" t="s">
        <v>475</v>
      </c>
      <c r="D8" s="229"/>
    </row>
    <row r="9" spans="1:4">
      <c r="A9" s="165">
        <v>3</v>
      </c>
      <c r="B9" s="158" t="s">
        <v>388</v>
      </c>
      <c r="C9" s="229" t="s">
        <v>402</v>
      </c>
      <c r="D9" s="229"/>
    </row>
    <row r="10" spans="1:4">
      <c r="A10" s="26"/>
      <c r="B10" s="157"/>
      <c r="C10" s="157"/>
      <c r="D10" s="157"/>
    </row>
    <row r="11" spans="1:4">
      <c r="A11" s="26"/>
      <c r="B11" s="157"/>
      <c r="C11" s="157"/>
      <c r="D11" s="157"/>
    </row>
    <row r="12" spans="1:4">
      <c r="A12" s="227" t="s">
        <v>385</v>
      </c>
      <c r="B12" s="228"/>
      <c r="C12" s="157"/>
      <c r="D12" s="157"/>
    </row>
    <row r="13" spans="1:4">
      <c r="A13" s="26" t="s">
        <v>389</v>
      </c>
      <c r="B13" s="157"/>
      <c r="C13" s="157"/>
      <c r="D13" s="157"/>
    </row>
    <row r="14" spans="1:4">
      <c r="A14" s="26"/>
      <c r="B14" s="157"/>
      <c r="C14" s="157"/>
      <c r="D14" s="157"/>
    </row>
    <row r="15" spans="1:4">
      <c r="A15" s="26"/>
      <c r="B15" s="4"/>
      <c r="C15" s="4"/>
      <c r="D15" s="180"/>
    </row>
    <row r="16" spans="1:4">
      <c r="A16" s="26"/>
      <c r="B16" s="4"/>
      <c r="C16" s="4"/>
      <c r="D16" s="180"/>
    </row>
    <row r="17" spans="1:4">
      <c r="A17" s="177" t="s">
        <v>424</v>
      </c>
      <c r="B17" s="178"/>
      <c r="C17" s="179"/>
      <c r="D17" s="181" t="s">
        <v>420</v>
      </c>
    </row>
    <row r="18" spans="1:4" ht="31.5">
      <c r="A18" s="166" t="s">
        <v>419</v>
      </c>
      <c r="B18" s="173"/>
      <c r="C18" s="171"/>
      <c r="D18" s="182" t="s">
        <v>422</v>
      </c>
    </row>
    <row r="19" spans="1:4">
      <c r="A19" s="168"/>
      <c r="B19" s="173"/>
      <c r="C19" s="171"/>
      <c r="D19" s="182"/>
    </row>
    <row r="20" spans="1:4" ht="31.5">
      <c r="A20" s="166" t="s">
        <v>411</v>
      </c>
      <c r="B20" s="173"/>
      <c r="C20" s="171"/>
      <c r="D20" s="182" t="s">
        <v>423</v>
      </c>
    </row>
    <row r="21" spans="1:4">
      <c r="A21" s="167"/>
      <c r="B21" s="173"/>
      <c r="C21" s="171"/>
      <c r="D21" s="182"/>
    </row>
    <row r="22" spans="1:4">
      <c r="A22" s="166" t="s">
        <v>412</v>
      </c>
      <c r="B22" s="173"/>
      <c r="C22" s="171"/>
      <c r="D22" s="182" t="s">
        <v>425</v>
      </c>
    </row>
    <row r="23" spans="1:4">
      <c r="A23" s="167"/>
      <c r="B23" s="173"/>
      <c r="C23" s="171"/>
      <c r="D23" s="182"/>
    </row>
    <row r="24" spans="1:4">
      <c r="A24" s="169"/>
      <c r="B24" s="173"/>
      <c r="C24" s="171"/>
      <c r="D24" s="182"/>
    </row>
    <row r="25" spans="1:4" ht="31.5">
      <c r="A25" s="166" t="s">
        <v>413</v>
      </c>
      <c r="B25" s="173"/>
      <c r="C25" s="171"/>
      <c r="D25" s="182" t="s">
        <v>426</v>
      </c>
    </row>
    <row r="26" spans="1:4">
      <c r="A26" s="168"/>
      <c r="B26" s="173"/>
      <c r="C26" s="171"/>
      <c r="D26" s="182"/>
    </row>
    <row r="27" spans="1:4" ht="31.5">
      <c r="A27" s="170" t="s">
        <v>414</v>
      </c>
      <c r="B27" s="173"/>
      <c r="C27" s="171"/>
      <c r="D27" s="182" t="s">
        <v>427</v>
      </c>
    </row>
    <row r="28" spans="1:4">
      <c r="A28" s="169"/>
      <c r="B28" s="173"/>
      <c r="C28" s="171"/>
      <c r="D28" s="182"/>
    </row>
    <row r="29" spans="1:4" ht="30.75" customHeight="1">
      <c r="A29" s="236" t="s">
        <v>415</v>
      </c>
      <c r="B29" s="237"/>
      <c r="C29" s="171"/>
      <c r="D29" s="182" t="s">
        <v>423</v>
      </c>
    </row>
    <row r="30" spans="1:4">
      <c r="A30" s="169"/>
      <c r="B30" s="173"/>
      <c r="C30" s="171"/>
      <c r="D30" s="182"/>
    </row>
    <row r="31" spans="1:4" ht="31.5">
      <c r="A31" s="170" t="s">
        <v>416</v>
      </c>
      <c r="B31" s="173"/>
      <c r="C31" s="171"/>
      <c r="D31" s="182" t="s">
        <v>428</v>
      </c>
    </row>
    <row r="32" spans="1:4">
      <c r="A32" s="167"/>
      <c r="B32" s="173"/>
      <c r="C32" s="171"/>
      <c r="D32" s="182" t="s">
        <v>429</v>
      </c>
    </row>
    <row r="33" spans="1:4">
      <c r="A33" s="167"/>
      <c r="B33" s="173"/>
      <c r="C33" s="171"/>
      <c r="D33" s="182"/>
    </row>
    <row r="34" spans="1:4">
      <c r="A34" s="170" t="s">
        <v>417</v>
      </c>
      <c r="B34" s="174"/>
      <c r="C34" s="171"/>
      <c r="D34" s="182"/>
    </row>
    <row r="35" spans="1:4" ht="42.75" customHeight="1">
      <c r="A35" s="238" t="s">
        <v>430</v>
      </c>
      <c r="B35" s="239"/>
      <c r="C35" s="171"/>
      <c r="D35" s="182" t="s">
        <v>431</v>
      </c>
    </row>
    <row r="36" spans="1:4" ht="37.5" customHeight="1">
      <c r="A36" s="232" t="s">
        <v>432</v>
      </c>
      <c r="B36" s="233"/>
      <c r="C36" s="171"/>
      <c r="D36" s="182" t="s">
        <v>433</v>
      </c>
    </row>
    <row r="37" spans="1:4">
      <c r="A37" s="168"/>
      <c r="B37" s="176"/>
      <c r="C37" s="171"/>
      <c r="D37" s="182"/>
    </row>
    <row r="38" spans="1:4">
      <c r="A38" s="169"/>
      <c r="B38" s="174"/>
      <c r="C38" s="171"/>
      <c r="D38" s="182"/>
    </row>
    <row r="39" spans="1:4">
      <c r="A39" s="170" t="s">
        <v>418</v>
      </c>
      <c r="B39" s="174"/>
      <c r="C39" s="171"/>
      <c r="D39" s="182" t="s">
        <v>435</v>
      </c>
    </row>
    <row r="40" spans="1:4">
      <c r="A40" s="167" t="s">
        <v>434</v>
      </c>
      <c r="B40" s="174"/>
      <c r="C40" s="171"/>
      <c r="D40" s="182"/>
    </row>
    <row r="41" spans="1:4">
      <c r="A41" s="168"/>
      <c r="B41" s="174"/>
      <c r="C41" s="171"/>
      <c r="D41" s="182"/>
    </row>
    <row r="42" spans="1:4">
      <c r="A42" s="168" t="s">
        <v>441</v>
      </c>
      <c r="B42" s="174"/>
      <c r="C42" s="171"/>
    </row>
    <row r="43" spans="1:4" ht="29.45" customHeight="1">
      <c r="A43" s="240" t="s">
        <v>444</v>
      </c>
      <c r="B43" s="241"/>
      <c r="C43" s="171"/>
      <c r="D43" s="182" t="s">
        <v>443</v>
      </c>
    </row>
    <row r="44" spans="1:4" ht="29.45" customHeight="1">
      <c r="A44" s="187"/>
      <c r="B44" s="188"/>
      <c r="C44" s="171"/>
      <c r="D44" s="182" t="s">
        <v>445</v>
      </c>
    </row>
    <row r="45" spans="1:4">
      <c r="A45" s="185"/>
      <c r="B45" s="186"/>
      <c r="C45" s="171"/>
      <c r="D45" s="182"/>
    </row>
    <row r="46" spans="1:4" ht="30.75" customHeight="1">
      <c r="A46" s="234" t="s">
        <v>442</v>
      </c>
      <c r="B46" s="235"/>
      <c r="C46" s="171"/>
      <c r="D46" s="182" t="s">
        <v>436</v>
      </c>
    </row>
    <row r="47" spans="1:4">
      <c r="A47" s="167"/>
      <c r="B47" s="174"/>
      <c r="C47" s="171"/>
      <c r="D47" s="182"/>
    </row>
    <row r="48" spans="1:4">
      <c r="A48" s="168"/>
      <c r="B48" s="174"/>
      <c r="C48" s="171"/>
      <c r="D48" s="182"/>
    </row>
    <row r="49" spans="1:4" ht="63">
      <c r="A49" s="234" t="s">
        <v>446</v>
      </c>
      <c r="B49" s="235"/>
      <c r="C49" s="171"/>
      <c r="D49" s="182" t="s">
        <v>437</v>
      </c>
    </row>
    <row r="50" spans="1:4" ht="42" customHeight="1">
      <c r="A50" s="230"/>
      <c r="B50" s="231"/>
      <c r="C50" s="172"/>
      <c r="D50" s="183"/>
    </row>
    <row r="51" spans="1:4">
      <c r="A51" s="175"/>
      <c r="B51" s="174"/>
    </row>
  </sheetData>
  <mergeCells count="14">
    <mergeCell ref="A50:B50"/>
    <mergeCell ref="A36:B36"/>
    <mergeCell ref="A49:B49"/>
    <mergeCell ref="A46:B46"/>
    <mergeCell ref="A29:B29"/>
    <mergeCell ref="A35:B35"/>
    <mergeCell ref="A43:B43"/>
    <mergeCell ref="A12:B12"/>
    <mergeCell ref="A1:B1"/>
    <mergeCell ref="A4:D5"/>
    <mergeCell ref="C7:D7"/>
    <mergeCell ref="C8:D8"/>
    <mergeCell ref="C9:D9"/>
    <mergeCell ref="C6:D6"/>
  </mergeCells>
  <hyperlinks>
    <hyperlink ref="A35" r:id="rId1" display="https://eur03.safelinks.protection.outlook.com/?url=https%3A%2F%2Fgreet.es.anl.gov%2Ffiles%2Fvehicle_and_components_manufacturing&amp;data=05%7C01%7CH.Blomfield%40leeds.ac.uk%7Cdc6fa38ed9764468695708da9b24eeee%7Cbdeaeda8c81d45ce863e5232a535b7cb%7C1%7C0%7C637992880168033659%7CUnknown%7CTWFpbGZsb3d8eyJWIjoiMC4wLjAwMDAiLCJQIjoiV2luMzIiLCJBTiI6Ik1haWwiLCJXVCI6Mn0%3D%7C3000%7C%7C%7C&amp;sdata=p5EVWO1O6nQGqDO9T%2FTGiKEmTGsxTUi1F5xO2fYrsGU%3D&amp;reserved=0"/>
    <hyperlink ref="A40" r:id="rId2" display="https://eur03.safelinks.protection.outlook.com/?url=https%3A%2F%2Fberla.co%2Faverage-us-vehicle-lifespan%2F&amp;data=05%7C01%7CH.Blomfield%40leeds.ac.uk%7Cdc6fa38ed9764468695708da9b24eeee%7Cbdeaeda8c81d45ce863e5232a535b7cb%7C1%7C0%7C637992880168033659%7CUnknown%7CTWFpbGZsb3d8eyJWIjoiMC4wLjAwMDAiLCJQIjoiV2luMzIiLCJBTiI6Ik1haWwiLCJXVCI6Mn0%3D%7C3000%7C%7C%7C&amp;sdata=gDxQLsQstYyuilGKEDmN7QrALDDBlXpY1fsdIVlYQRc%3D&amp;reserved=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48"/>
  <sheetViews>
    <sheetView tabSelected="1" zoomScaleNormal="100" workbookViewId="0">
      <selection activeCell="A4" sqref="A3:A4"/>
    </sheetView>
  </sheetViews>
  <sheetFormatPr defaultColWidth="11" defaultRowHeight="15.75"/>
  <cols>
    <col min="1" max="1" width="52.5" style="4" customWidth="1"/>
    <col min="2" max="2" width="13.875" style="4" customWidth="1"/>
    <col min="3" max="3" width="16.625" style="4" customWidth="1"/>
    <col min="4" max="4" width="20.25" style="4" customWidth="1"/>
    <col min="5" max="5" width="19" style="4" customWidth="1"/>
    <col min="6" max="6" width="17.125" style="5" customWidth="1"/>
    <col min="7" max="7" width="20.375" style="4" customWidth="1"/>
    <col min="8" max="8" width="18.375" style="4" customWidth="1"/>
    <col min="9" max="10" width="11" style="4" customWidth="1"/>
    <col min="11" max="11" width="11.125" style="4" customWidth="1"/>
    <col min="12" max="12" width="11" style="4" customWidth="1"/>
    <col min="13" max="13" width="10.875" style="4" customWidth="1"/>
    <col min="14" max="14" width="11" style="4" customWidth="1"/>
    <col min="15" max="15" width="11.625" style="4" customWidth="1"/>
    <col min="16" max="16" width="11" style="4" customWidth="1"/>
  </cols>
  <sheetData>
    <row r="1" spans="1:16">
      <c r="A1" s="9" t="s">
        <v>390</v>
      </c>
      <c r="D1" s="4" t="s">
        <v>119</v>
      </c>
      <c r="F1" s="4"/>
    </row>
    <row r="2" spans="1:16">
      <c r="A2" s="9"/>
      <c r="D2" s="6"/>
      <c r="E2" s="4" t="s">
        <v>120</v>
      </c>
      <c r="F2" s="4"/>
    </row>
    <row r="3" spans="1:16">
      <c r="A3" s="9"/>
      <c r="D3" s="41"/>
      <c r="E3" s="26" t="s">
        <v>407</v>
      </c>
    </row>
    <row r="4" spans="1:16">
      <c r="A4" s="26" t="s">
        <v>403</v>
      </c>
      <c r="B4" s="53">
        <v>1</v>
      </c>
    </row>
    <row r="5" spans="1:16">
      <c r="A5" s="4" t="s">
        <v>158</v>
      </c>
      <c r="B5" s="14">
        <f>E67</f>
        <v>2.63</v>
      </c>
      <c r="C5" s="4" t="s">
        <v>406</v>
      </c>
      <c r="F5" s="4"/>
    </row>
    <row r="6" spans="1:16">
      <c r="A6" s="10" t="s">
        <v>348</v>
      </c>
      <c r="B6" s="23">
        <f>B401</f>
        <v>35460</v>
      </c>
      <c r="C6" s="4" t="s">
        <v>157</v>
      </c>
      <c r="F6" s="4"/>
    </row>
    <row r="7" spans="1:16">
      <c r="A7" s="10" t="str">
        <f t="shared" ref="A7:B9" si="0">A321</f>
        <v>Fusion Titanium 2.0L gasoline car  - lifetime</v>
      </c>
      <c r="B7" s="18">
        <v>14</v>
      </c>
      <c r="C7" s="4" t="s">
        <v>67</v>
      </c>
      <c r="F7" s="26"/>
    </row>
    <row r="8" spans="1:16">
      <c r="A8" s="10" t="str">
        <f t="shared" si="0"/>
        <v>Fusion Titanium 2.0L gasoline car  - mpg</v>
      </c>
      <c r="B8" s="74">
        <f t="shared" si="0"/>
        <v>25</v>
      </c>
      <c r="C8" s="4" t="s">
        <v>405</v>
      </c>
      <c r="P8" s="66"/>
    </row>
    <row r="9" spans="1:16">
      <c r="A9" s="10" t="str">
        <f t="shared" si="0"/>
        <v>Fusion Titanium 2.0L gasoline car  - embodied energy</v>
      </c>
      <c r="B9" s="23">
        <f t="shared" si="0"/>
        <v>34000</v>
      </c>
      <c r="C9" s="4" t="s">
        <v>65</v>
      </c>
    </row>
    <row r="10" spans="1:16">
      <c r="A10" s="200" t="s">
        <v>556</v>
      </c>
      <c r="B10" s="253">
        <f>B499</f>
        <v>5049.5464768150987</v>
      </c>
      <c r="C10" s="63" t="s">
        <v>45</v>
      </c>
    </row>
    <row r="11" spans="1:16">
      <c r="A11" s="200" t="s">
        <v>533</v>
      </c>
      <c r="B11" s="253">
        <f>B$542/B7</f>
        <v>-21.428571428571427</v>
      </c>
      <c r="C11" s="63" t="s">
        <v>45</v>
      </c>
    </row>
    <row r="12" spans="1:16">
      <c r="A12" s="10" t="s">
        <v>357</v>
      </c>
      <c r="B12" s="23">
        <f>C401</f>
        <v>35255</v>
      </c>
      <c r="C12" s="4" t="s">
        <v>157</v>
      </c>
    </row>
    <row r="13" spans="1:16">
      <c r="A13" s="10" t="str">
        <f>A325</f>
        <v>Fusion Titanium 2.0L Hybrid car - lifetime</v>
      </c>
      <c r="B13" s="18">
        <v>14</v>
      </c>
      <c r="C13" s="4" t="s">
        <v>67</v>
      </c>
    </row>
    <row r="14" spans="1:16">
      <c r="A14" s="10" t="str">
        <f>A326</f>
        <v>Fusion Titanium 2.0L Hybrid car - mpg</v>
      </c>
      <c r="B14" s="74">
        <f>B326</f>
        <v>42</v>
      </c>
      <c r="C14" s="4" t="s">
        <v>405</v>
      </c>
    </row>
    <row r="15" spans="1:16">
      <c r="A15" s="10" t="str">
        <f>A327</f>
        <v>Fusion Titanium 2.0L Hybrid car - embodied energy</v>
      </c>
      <c r="B15" s="23">
        <f>B327</f>
        <v>40000</v>
      </c>
      <c r="C15" s="4" t="s">
        <v>65</v>
      </c>
    </row>
    <row r="16" spans="1:16">
      <c r="A16" s="200" t="s">
        <v>557</v>
      </c>
      <c r="B16" s="253">
        <f>B506</f>
        <v>4778.7580826033591</v>
      </c>
      <c r="C16" s="63" t="s">
        <v>45</v>
      </c>
    </row>
    <row r="17" spans="1:8">
      <c r="A17" s="200" t="s">
        <v>554</v>
      </c>
      <c r="B17" s="253">
        <f>B$542/B13</f>
        <v>-21.428571428571427</v>
      </c>
      <c r="C17" s="63" t="s">
        <v>45</v>
      </c>
    </row>
    <row r="18" spans="1:8">
      <c r="A18" s="4" t="s">
        <v>183</v>
      </c>
      <c r="B18" s="23">
        <f>B328</f>
        <v>12416</v>
      </c>
      <c r="C18" s="4" t="s">
        <v>184</v>
      </c>
    </row>
    <row r="19" spans="1:8">
      <c r="A19" s="4" t="s">
        <v>126</v>
      </c>
      <c r="B19" s="18">
        <v>34317</v>
      </c>
      <c r="C19" s="4" t="s">
        <v>59</v>
      </c>
      <c r="D19" s="145" t="s">
        <v>46</v>
      </c>
    </row>
    <row r="20" spans="1:8">
      <c r="A20" s="4" t="s">
        <v>127</v>
      </c>
      <c r="B20" s="139">
        <v>0.88319000000000003</v>
      </c>
      <c r="C20" s="20" t="s">
        <v>18</v>
      </c>
      <c r="D20" s="4" t="s">
        <v>48</v>
      </c>
      <c r="E20" s="4" t="s">
        <v>374</v>
      </c>
    </row>
    <row r="21" spans="1:8" ht="16.5" thickBot="1">
      <c r="A21" s="4" t="s">
        <v>128</v>
      </c>
      <c r="B21" s="6">
        <v>7.8479999999999994E-2</v>
      </c>
      <c r="C21" s="20" t="s">
        <v>18</v>
      </c>
      <c r="D21" s="4" t="s">
        <v>48</v>
      </c>
      <c r="E21" s="4" t="s">
        <v>374</v>
      </c>
    </row>
    <row r="22" spans="1:8">
      <c r="A22" s="4" t="s">
        <v>383</v>
      </c>
      <c r="B22" s="144">
        <f>D169/(D169+D170)</f>
        <v>6.5802955538536295E-2</v>
      </c>
      <c r="D22" s="146" t="s">
        <v>364</v>
      </c>
      <c r="E22" s="147"/>
      <c r="F22" s="160"/>
      <c r="G22" s="147"/>
      <c r="H22" s="148"/>
    </row>
    <row r="23" spans="1:8">
      <c r="A23" s="51" t="s">
        <v>490</v>
      </c>
      <c r="B23" s="201">
        <v>3</v>
      </c>
      <c r="C23" s="51" t="s">
        <v>484</v>
      </c>
      <c r="D23" s="149" t="s">
        <v>365</v>
      </c>
      <c r="E23" s="150" t="s">
        <v>366</v>
      </c>
      <c r="F23" s="161"/>
      <c r="G23" s="150"/>
      <c r="H23" s="151">
        <v>2018</v>
      </c>
    </row>
    <row r="24" spans="1:8">
      <c r="D24" s="149">
        <v>1</v>
      </c>
      <c r="E24" s="150" t="s">
        <v>367</v>
      </c>
      <c r="F24" s="161"/>
      <c r="G24" s="150"/>
      <c r="H24" s="159">
        <v>17851.8</v>
      </c>
    </row>
    <row r="25" spans="1:8">
      <c r="A25" s="25" t="s">
        <v>156</v>
      </c>
      <c r="D25" s="149">
        <v>27</v>
      </c>
      <c r="E25" s="150" t="s">
        <v>368</v>
      </c>
      <c r="F25" s="161"/>
      <c r="G25" s="150"/>
      <c r="H25" s="159">
        <v>15766.5</v>
      </c>
    </row>
    <row r="26" spans="1:8">
      <c r="A26" s="43" t="s">
        <v>164</v>
      </c>
      <c r="B26" s="128">
        <f>E286</f>
        <v>0.35412731406365028</v>
      </c>
      <c r="D26" s="149">
        <v>34</v>
      </c>
      <c r="E26" s="150" t="s">
        <v>369</v>
      </c>
      <c r="F26" s="161"/>
      <c r="G26" s="150"/>
      <c r="H26" s="159">
        <v>1237.3</v>
      </c>
    </row>
    <row r="27" spans="1:8">
      <c r="A27" s="43" t="s">
        <v>165</v>
      </c>
      <c r="B27" s="128">
        <f>E309</f>
        <v>0.35412731406365061</v>
      </c>
      <c r="D27" s="152" t="s">
        <v>370</v>
      </c>
      <c r="E27" s="150" t="s">
        <v>371</v>
      </c>
      <c r="F27" s="161"/>
      <c r="G27" s="150"/>
      <c r="H27" s="153">
        <f>H25/H24</f>
        <v>0.88318824992437739</v>
      </c>
    </row>
    <row r="28" spans="1:8" ht="16.5" thickBot="1">
      <c r="A28" s="43" t="s">
        <v>171</v>
      </c>
      <c r="B28" s="137">
        <f>B26-B27</f>
        <v>0</v>
      </c>
      <c r="D28" s="154" t="s">
        <v>372</v>
      </c>
      <c r="E28" s="155" t="s">
        <v>373</v>
      </c>
      <c r="F28" s="36"/>
      <c r="G28" s="155"/>
      <c r="H28" s="156">
        <f>H26/H25</f>
        <v>7.8476516665081028E-2</v>
      </c>
    </row>
    <row r="29" spans="1:8">
      <c r="A29" s="43" t="s">
        <v>185</v>
      </c>
      <c r="B29" s="34">
        <f>B26*E106</f>
        <v>9013.8152330723897</v>
      </c>
      <c r="C29" s="4" t="s">
        <v>11</v>
      </c>
      <c r="E29" s="98"/>
      <c r="F29" s="13"/>
      <c r="H29" s="51"/>
    </row>
    <row r="30" spans="1:8">
      <c r="A30" s="15"/>
      <c r="C30" s="106"/>
      <c r="D30" s="105"/>
      <c r="E30" s="98"/>
      <c r="F30" s="13"/>
    </row>
    <row r="31" spans="1:8">
      <c r="A31" s="98"/>
      <c r="C31" s="98"/>
      <c r="D31" s="105"/>
      <c r="E31" s="98"/>
      <c r="F31" s="13"/>
    </row>
    <row r="32" spans="1:8">
      <c r="A32" s="98"/>
      <c r="C32" s="106"/>
      <c r="D32" s="105"/>
      <c r="E32" s="98"/>
      <c r="F32" s="13"/>
    </row>
    <row r="33" spans="1:16">
      <c r="A33" s="10"/>
      <c r="B33" s="10"/>
      <c r="C33" s="10"/>
      <c r="D33" s="13"/>
      <c r="E33" s="10"/>
      <c r="F33" s="4"/>
      <c r="H33" s="51"/>
    </row>
    <row r="34" spans="1:16">
      <c r="A34"/>
      <c r="B34"/>
      <c r="C34"/>
      <c r="D34"/>
      <c r="E34"/>
      <c r="F34"/>
      <c r="G34"/>
      <c r="H34"/>
      <c r="I34"/>
      <c r="J34"/>
      <c r="K34"/>
      <c r="L34"/>
      <c r="M34"/>
      <c r="N34"/>
      <c r="O34"/>
      <c r="P34"/>
    </row>
    <row r="35" spans="1:16">
      <c r="A35"/>
      <c r="B35"/>
      <c r="C35"/>
      <c r="D35"/>
      <c r="E35"/>
      <c r="F35"/>
      <c r="G35"/>
      <c r="H35"/>
      <c r="I35"/>
      <c r="J35"/>
      <c r="K35"/>
      <c r="L35"/>
      <c r="M35"/>
      <c r="N35"/>
      <c r="O35"/>
      <c r="P35"/>
    </row>
    <row r="36" spans="1:16" ht="30">
      <c r="A36" s="202" t="s">
        <v>530</v>
      </c>
      <c r="B36" s="89" t="s">
        <v>399</v>
      </c>
      <c r="C36" s="8" t="s">
        <v>14</v>
      </c>
      <c r="D36" s="8" t="s">
        <v>14</v>
      </c>
      <c r="E36" s="2" t="s">
        <v>16</v>
      </c>
      <c r="F36" s="2" t="s">
        <v>252</v>
      </c>
      <c r="G36"/>
      <c r="H36"/>
      <c r="I36"/>
      <c r="J36"/>
      <c r="K36"/>
      <c r="L36"/>
      <c r="M36"/>
      <c r="N36"/>
      <c r="O36"/>
      <c r="P36"/>
    </row>
    <row r="37" spans="1:16">
      <c r="A37" s="51" t="s">
        <v>253</v>
      </c>
      <c r="D37" s="4" t="s">
        <v>400</v>
      </c>
      <c r="E37" s="104">
        <f>B22</f>
        <v>6.5802955538536295E-2</v>
      </c>
      <c r="F37"/>
      <c r="G37"/>
      <c r="H37"/>
      <c r="I37"/>
      <c r="J37"/>
      <c r="K37"/>
      <c r="L37"/>
      <c r="M37"/>
      <c r="N37"/>
      <c r="O37"/>
      <c r="P37"/>
    </row>
    <row r="38" spans="1:16">
      <c r="A38" s="51" t="s">
        <v>523</v>
      </c>
      <c r="D38" s="4" t="s">
        <v>524</v>
      </c>
      <c r="E38" s="86">
        <v>-0.2</v>
      </c>
      <c r="F38" s="198" t="s">
        <v>525</v>
      </c>
      <c r="G38"/>
      <c r="H38"/>
      <c r="I38"/>
      <c r="J38"/>
      <c r="K38"/>
      <c r="L38"/>
      <c r="M38"/>
      <c r="N38"/>
      <c r="O38"/>
      <c r="P38"/>
    </row>
    <row r="39" spans="1:16">
      <c r="A39" s="51" t="s">
        <v>254</v>
      </c>
      <c r="D39" s="4" t="s">
        <v>255</v>
      </c>
      <c r="E39" s="86">
        <v>1</v>
      </c>
      <c r="F39" t="s">
        <v>58</v>
      </c>
      <c r="G39"/>
      <c r="H39"/>
      <c r="I39"/>
      <c r="J39"/>
      <c r="K39"/>
      <c r="L39"/>
      <c r="M39"/>
      <c r="N39"/>
      <c r="O39"/>
      <c r="P39"/>
    </row>
    <row r="40" spans="1:16">
      <c r="A40" s="51" t="s">
        <v>256</v>
      </c>
      <c r="D40" s="4" t="s">
        <v>257</v>
      </c>
      <c r="E40" s="86">
        <v>1</v>
      </c>
      <c r="F40" t="s">
        <v>60</v>
      </c>
      <c r="G40"/>
      <c r="H40"/>
      <c r="I40"/>
      <c r="J40"/>
      <c r="K40"/>
      <c r="L40"/>
      <c r="M40"/>
      <c r="N40"/>
      <c r="O40"/>
      <c r="P40"/>
    </row>
    <row r="41" spans="1:16">
      <c r="A41" s="51" t="s">
        <v>337</v>
      </c>
      <c r="C41" s="133" t="s">
        <v>339</v>
      </c>
      <c r="D41" s="4" t="s">
        <v>340</v>
      </c>
      <c r="E41" s="12">
        <f>(E37+E38)/(E37-1)</f>
        <v>0.14364961359819356</v>
      </c>
      <c r="F41" s="12"/>
      <c r="G41"/>
      <c r="H41"/>
      <c r="I41"/>
      <c r="J41"/>
      <c r="K41"/>
      <c r="L41"/>
      <c r="M41"/>
      <c r="N41"/>
      <c r="O41"/>
      <c r="P41"/>
    </row>
    <row r="42" spans="1:16">
      <c r="A42" s="51"/>
      <c r="C42" s="133" t="s">
        <v>338</v>
      </c>
      <c r="D42" s="4" t="s">
        <v>342</v>
      </c>
      <c r="E42" s="12">
        <f>(E41-1)/E41</f>
        <v>-5.9613831527394749</v>
      </c>
      <c r="F42" s="12"/>
      <c r="G42"/>
      <c r="H42"/>
      <c r="I42"/>
      <c r="J42"/>
      <c r="K42"/>
      <c r="L42"/>
      <c r="M42"/>
      <c r="N42"/>
      <c r="O42"/>
      <c r="P42"/>
    </row>
    <row r="43" spans="1:16">
      <c r="A43" s="51" t="s">
        <v>503</v>
      </c>
      <c r="B43" s="15"/>
      <c r="C43" s="10"/>
      <c r="D43" s="10" t="s">
        <v>509</v>
      </c>
      <c r="E43" s="14">
        <f>(1+B$23/100)/((1+B$23/100)-1)</f>
        <v>34.333333333333307</v>
      </c>
      <c r="F43" s="10"/>
    </row>
    <row r="44" spans="1:16">
      <c r="A44" s="51" t="s">
        <v>504</v>
      </c>
      <c r="B44" s="15"/>
      <c r="C44" s="10"/>
      <c r="D44" s="10" t="s">
        <v>510</v>
      </c>
      <c r="E44" s="14">
        <f>(1+B$23/100)^B$7/((1+B$23/100)^B$7-1)</f>
        <v>2.9508779663553746</v>
      </c>
      <c r="F44" s="63"/>
    </row>
    <row r="45" spans="1:16">
      <c r="A45" s="51" t="s">
        <v>505</v>
      </c>
      <c r="B45" s="15"/>
      <c r="C45" s="10"/>
      <c r="D45" s="10" t="s">
        <v>511</v>
      </c>
      <c r="E45" s="14">
        <f>(1+B$23/100)/((1+B$23/100)-1)</f>
        <v>34.333333333333307</v>
      </c>
      <c r="F45" s="63"/>
    </row>
    <row r="46" spans="1:16">
      <c r="A46" s="51" t="s">
        <v>506</v>
      </c>
      <c r="B46" s="15"/>
      <c r="C46" s="10"/>
      <c r="D46" s="10" t="s">
        <v>512</v>
      </c>
      <c r="E46" s="14">
        <f>1/((1+B$23/100)^B$7-1)</f>
        <v>1.9508779663553746</v>
      </c>
      <c r="F46" s="63"/>
    </row>
    <row r="47" spans="1:16">
      <c r="A47" s="51" t="s">
        <v>507</v>
      </c>
      <c r="B47" s="15"/>
      <c r="C47" s="10"/>
      <c r="D47" s="10" t="s">
        <v>513</v>
      </c>
      <c r="E47" s="14">
        <f>E44/E43*B$7/1</f>
        <v>1.2032706270575324</v>
      </c>
      <c r="F47" s="63"/>
    </row>
    <row r="48" spans="1:16">
      <c r="A48" s="51" t="s">
        <v>508</v>
      </c>
      <c r="B48" s="15"/>
      <c r="C48" s="10"/>
      <c r="D48" s="10" t="s">
        <v>514</v>
      </c>
      <c r="E48" s="14">
        <f>E46/E43*B$7/1</f>
        <v>0.79550363676626978</v>
      </c>
      <c r="F48" s="63"/>
    </row>
    <row r="49" spans="1:16">
      <c r="A49" s="51" t="s">
        <v>491</v>
      </c>
      <c r="B49" s="15"/>
      <c r="C49" s="10"/>
      <c r="D49" s="10" t="s">
        <v>497</v>
      </c>
      <c r="E49" s="14">
        <f>(1+B$23/100)/((1+B$23/100)-1)</f>
        <v>34.333333333333307</v>
      </c>
      <c r="F49" s="63"/>
    </row>
    <row r="50" spans="1:16">
      <c r="A50" s="51" t="s">
        <v>492</v>
      </c>
      <c r="B50" s="15"/>
      <c r="C50" s="10"/>
      <c r="D50" s="10" t="s">
        <v>498</v>
      </c>
      <c r="E50" s="14">
        <f>(1+B$23/100)^B$13/((1+B$23/100)^B$13-1)</f>
        <v>2.9508779663553746</v>
      </c>
      <c r="F50" s="63"/>
    </row>
    <row r="51" spans="1:16">
      <c r="A51" s="51" t="s">
        <v>493</v>
      </c>
      <c r="B51" s="15"/>
      <c r="C51" s="10"/>
      <c r="D51" s="10" t="s">
        <v>499</v>
      </c>
      <c r="E51" s="14">
        <f>(1+B$23/100)/((1+B$23/100)-1)</f>
        <v>34.333333333333307</v>
      </c>
      <c r="F51" s="63"/>
    </row>
    <row r="52" spans="1:16">
      <c r="A52" s="51" t="s">
        <v>494</v>
      </c>
      <c r="B52" s="15"/>
      <c r="C52" s="10"/>
      <c r="D52" s="10" t="s">
        <v>500</v>
      </c>
      <c r="E52" s="14">
        <f>1/((1+B$23/100)^B$13-1)</f>
        <v>1.9508779663553746</v>
      </c>
      <c r="F52" s="63"/>
    </row>
    <row r="53" spans="1:16">
      <c r="A53" s="51" t="s">
        <v>495</v>
      </c>
      <c r="B53" s="15"/>
      <c r="C53" s="10"/>
      <c r="D53" s="10" t="s">
        <v>501</v>
      </c>
      <c r="E53" s="14">
        <f>E50/E49*B$13/1</f>
        <v>1.2032706270575324</v>
      </c>
      <c r="F53" s="63"/>
    </row>
    <row r="54" spans="1:16">
      <c r="A54" s="51" t="s">
        <v>496</v>
      </c>
      <c r="B54" s="15"/>
      <c r="C54" s="10"/>
      <c r="D54" s="10" t="s">
        <v>502</v>
      </c>
      <c r="E54" s="14">
        <f>E52/E49*B$13/1</f>
        <v>0.79550363676626978</v>
      </c>
      <c r="F54" s="63"/>
    </row>
    <row r="55" spans="1:16">
      <c r="A55" s="51"/>
      <c r="B55" s="15"/>
      <c r="C55" s="10"/>
      <c r="D55" s="10"/>
      <c r="E55" s="14"/>
      <c r="F55" s="63"/>
    </row>
    <row r="56" spans="1:16">
      <c r="A56" s="51"/>
      <c r="B56" s="15"/>
      <c r="C56" s="10"/>
      <c r="D56" s="10"/>
      <c r="E56" s="14"/>
      <c r="F56" s="63"/>
    </row>
    <row r="57" spans="1:16">
      <c r="A57" s="51"/>
      <c r="B57" s="15"/>
      <c r="C57" s="10"/>
      <c r="D57" s="10"/>
      <c r="E57" s="14"/>
      <c r="F57" s="63"/>
    </row>
    <row r="58" spans="1:16">
      <c r="A58" s="51"/>
      <c r="B58" s="15"/>
      <c r="C58" s="10"/>
      <c r="D58" s="10"/>
      <c r="E58" s="14"/>
      <c r="F58" s="63"/>
    </row>
    <row r="59" spans="1:16">
      <c r="A59" s="220"/>
      <c r="B59" s="58"/>
    </row>
    <row r="60" spans="1:16">
      <c r="A60" s="220"/>
      <c r="B60" s="58"/>
      <c r="P60" s="65"/>
    </row>
    <row r="61" spans="1:16" s="3" customFormat="1">
      <c r="A61" s="7" t="s">
        <v>121</v>
      </c>
      <c r="B61" s="7"/>
      <c r="C61" s="8" t="s">
        <v>14</v>
      </c>
      <c r="D61" s="8" t="s">
        <v>14</v>
      </c>
      <c r="E61" s="8" t="s">
        <v>16</v>
      </c>
      <c r="F61" s="7" t="s">
        <v>13</v>
      </c>
      <c r="G61" s="7" t="s">
        <v>143</v>
      </c>
      <c r="H61" s="7" t="s">
        <v>0</v>
      </c>
      <c r="I61" s="7"/>
      <c r="J61" s="7"/>
      <c r="K61" s="7"/>
      <c r="L61" s="7"/>
      <c r="M61" s="7"/>
      <c r="N61" s="7"/>
      <c r="O61" s="7"/>
      <c r="P61" s="4"/>
    </row>
    <row r="62" spans="1:16">
      <c r="D62" s="5"/>
      <c r="F62" s="4"/>
    </row>
    <row r="63" spans="1:16">
      <c r="A63" s="9" t="s">
        <v>23</v>
      </c>
      <c r="B63" s="9"/>
      <c r="D63" s="5"/>
      <c r="F63" s="4"/>
    </row>
    <row r="64" spans="1:16">
      <c r="A64" s="4" t="s">
        <v>122</v>
      </c>
      <c r="D64" s="5"/>
      <c r="E64" s="6">
        <v>44.6</v>
      </c>
      <c r="F64" s="4" t="s">
        <v>2</v>
      </c>
      <c r="H64" s="4" t="s">
        <v>1</v>
      </c>
    </row>
    <row r="65" spans="1:16">
      <c r="A65" s="4" t="s">
        <v>123</v>
      </c>
      <c r="C65" s="10"/>
      <c r="D65" s="5"/>
      <c r="E65" s="10">
        <f>E64*0.75</f>
        <v>33.450000000000003</v>
      </c>
      <c r="F65" s="4" t="s">
        <v>3</v>
      </c>
      <c r="H65" s="4" t="s">
        <v>4</v>
      </c>
    </row>
    <row r="66" spans="1:16">
      <c r="A66" s="4" t="s">
        <v>124</v>
      </c>
      <c r="C66" s="10"/>
      <c r="D66" s="5"/>
      <c r="E66" s="11">
        <f>E65*E72</f>
        <v>126.62163000000001</v>
      </c>
      <c r="F66" s="4" t="s">
        <v>29</v>
      </c>
      <c r="H66" s="4" t="s">
        <v>125</v>
      </c>
    </row>
    <row r="67" spans="1:16">
      <c r="A67" s="4" t="s">
        <v>381</v>
      </c>
      <c r="C67" s="10"/>
      <c r="D67" s="5"/>
      <c r="E67" s="21">
        <v>2.63</v>
      </c>
      <c r="F67" s="4" t="s">
        <v>30</v>
      </c>
      <c r="H67" s="4" t="s">
        <v>359</v>
      </c>
    </row>
    <row r="68" spans="1:16">
      <c r="A68" s="10" t="s">
        <v>31</v>
      </c>
      <c r="B68" s="10"/>
      <c r="C68" s="5"/>
      <c r="D68" s="5" t="s">
        <v>15</v>
      </c>
      <c r="E68" s="12">
        <f>E67/E66</f>
        <v>2.0770542915929922E-2</v>
      </c>
      <c r="F68" s="4" t="s">
        <v>5</v>
      </c>
    </row>
    <row r="69" spans="1:16">
      <c r="A69" s="69"/>
      <c r="B69" s="69"/>
      <c r="C69" s="10"/>
      <c r="D69" s="13"/>
      <c r="E69" s="14"/>
      <c r="F69" s="10"/>
      <c r="G69" s="10"/>
      <c r="H69" s="10"/>
      <c r="I69" s="10"/>
      <c r="J69" s="10"/>
      <c r="K69" s="10"/>
      <c r="L69" s="10"/>
      <c r="M69" s="10"/>
      <c r="N69" s="10"/>
      <c r="O69" s="10"/>
    </row>
    <row r="70" spans="1:16">
      <c r="A70" s="10"/>
      <c r="B70" s="10"/>
      <c r="C70" s="10"/>
      <c r="D70" s="13"/>
      <c r="E70" s="14"/>
      <c r="F70" s="10"/>
      <c r="G70" s="10"/>
      <c r="H70" s="10"/>
      <c r="I70" s="10"/>
      <c r="J70" s="10"/>
      <c r="K70" s="10"/>
      <c r="L70" s="13"/>
      <c r="M70" s="10"/>
      <c r="N70" s="10"/>
      <c r="O70" s="10"/>
    </row>
    <row r="71" spans="1:16">
      <c r="A71" s="9" t="s">
        <v>24</v>
      </c>
      <c r="B71" s="9"/>
      <c r="F71" s="4"/>
    </row>
    <row r="72" spans="1:16">
      <c r="A72" s="4" t="s">
        <v>25</v>
      </c>
      <c r="E72" s="6">
        <v>3.7854000000000001</v>
      </c>
      <c r="F72" s="4" t="s">
        <v>28</v>
      </c>
    </row>
    <row r="73" spans="1:16">
      <c r="A73" s="4" t="s">
        <v>26</v>
      </c>
      <c r="E73" s="6">
        <v>1.6093440000000001</v>
      </c>
      <c r="F73" s="4" t="s">
        <v>27</v>
      </c>
    </row>
    <row r="74" spans="1:16" s="1" customFormat="1">
      <c r="A74" s="10"/>
      <c r="B74" s="10"/>
      <c r="C74" s="10"/>
      <c r="D74" s="13"/>
      <c r="E74" s="14"/>
      <c r="F74" s="10"/>
      <c r="G74" s="10"/>
      <c r="H74" s="10"/>
      <c r="I74" s="10"/>
      <c r="J74" s="10"/>
      <c r="K74" s="10"/>
      <c r="L74" s="13"/>
      <c r="M74" s="10"/>
      <c r="N74" s="10"/>
      <c r="O74" s="10"/>
      <c r="P74" s="10"/>
    </row>
    <row r="75" spans="1:16" s="1" customFormat="1">
      <c r="A75" s="15" t="s">
        <v>32</v>
      </c>
      <c r="B75" s="15"/>
      <c r="C75" s="10"/>
      <c r="D75" s="13"/>
      <c r="E75" s="14"/>
      <c r="F75" s="10"/>
      <c r="G75" s="10"/>
      <c r="H75" s="10"/>
      <c r="I75" s="10"/>
      <c r="J75" s="10"/>
      <c r="K75" s="10"/>
      <c r="L75" s="13"/>
      <c r="M75" s="10"/>
      <c r="N75" s="10"/>
      <c r="O75" s="10"/>
      <c r="P75" s="10"/>
    </row>
    <row r="76" spans="1:16">
      <c r="A76" s="4" t="s">
        <v>363</v>
      </c>
      <c r="C76" s="4" t="s">
        <v>362</v>
      </c>
      <c r="D76" s="5"/>
      <c r="E76" s="16">
        <v>1594129.6070000001</v>
      </c>
      <c r="F76" s="4" t="s">
        <v>6</v>
      </c>
      <c r="H76" s="4" t="s">
        <v>375</v>
      </c>
    </row>
    <row r="77" spans="1:16">
      <c r="A77" s="4" t="s">
        <v>363</v>
      </c>
      <c r="C77" s="4" t="s">
        <v>19</v>
      </c>
      <c r="D77" s="5"/>
      <c r="E77" s="17">
        <f>E76*41.868*1000000</f>
        <v>66743018385876.008</v>
      </c>
      <c r="F77" s="4" t="s">
        <v>11</v>
      </c>
      <c r="H77" s="4" t="s">
        <v>20</v>
      </c>
    </row>
    <row r="78" spans="1:16">
      <c r="A78" s="4" t="s">
        <v>7</v>
      </c>
      <c r="C78" s="4" t="s">
        <v>382</v>
      </c>
      <c r="D78" s="5"/>
      <c r="E78" s="18">
        <v>20612</v>
      </c>
      <c r="F78" s="4" t="s">
        <v>12</v>
      </c>
      <c r="H78" s="4" t="s">
        <v>8</v>
      </c>
      <c r="I78" s="4" t="s">
        <v>374</v>
      </c>
    </row>
    <row r="79" spans="1:16">
      <c r="A79" s="10" t="s">
        <v>9</v>
      </c>
      <c r="B79" s="10"/>
      <c r="C79" s="5"/>
      <c r="D79" s="5" t="s">
        <v>53</v>
      </c>
      <c r="E79" s="19">
        <f>E77/E78/1000000000</f>
        <v>3.2380660967337476</v>
      </c>
      <c r="F79" s="4" t="s">
        <v>10</v>
      </c>
    </row>
    <row r="80" spans="1:16">
      <c r="A80" s="10" t="s">
        <v>17</v>
      </c>
      <c r="B80" s="10"/>
      <c r="C80" s="10"/>
      <c r="D80" s="13" t="s">
        <v>181</v>
      </c>
      <c r="E80" s="67">
        <f>E68*E79</f>
        <v>6.7256390826825996E-2</v>
      </c>
      <c r="F80" s="63" t="s">
        <v>18</v>
      </c>
    </row>
    <row r="81" spans="1:8">
      <c r="D81" s="5"/>
      <c r="F81" s="20"/>
    </row>
    <row r="82" spans="1:8">
      <c r="A82" s="9" t="s">
        <v>175</v>
      </c>
      <c r="B82" s="9"/>
      <c r="D82" s="5"/>
      <c r="F82" s="4"/>
    </row>
    <row r="83" spans="1:8">
      <c r="A83" s="4" t="s">
        <v>116</v>
      </c>
      <c r="C83" s="5"/>
      <c r="D83" s="5" t="s">
        <v>41</v>
      </c>
      <c r="E83" s="23">
        <f>B6</f>
        <v>35460</v>
      </c>
      <c r="F83" s="4" t="s">
        <v>33</v>
      </c>
    </row>
    <row r="84" spans="1:8">
      <c r="A84" s="4" t="s">
        <v>21</v>
      </c>
      <c r="C84" s="5"/>
      <c r="D84" s="5" t="s">
        <v>71</v>
      </c>
      <c r="E84" s="10">
        <f>B8</f>
        <v>25</v>
      </c>
      <c r="F84" s="4" t="s">
        <v>22</v>
      </c>
    </row>
    <row r="85" spans="1:8">
      <c r="A85" s="4" t="s">
        <v>118</v>
      </c>
      <c r="C85" s="5"/>
      <c r="D85" s="5" t="s">
        <v>35</v>
      </c>
      <c r="E85" s="12">
        <f>E$67/E84</f>
        <v>0.1052</v>
      </c>
      <c r="F85" s="4" t="s">
        <v>117</v>
      </c>
    </row>
    <row r="86" spans="1:8">
      <c r="A86" s="4" t="s">
        <v>182</v>
      </c>
      <c r="C86" s="5"/>
      <c r="D86" s="5" t="s">
        <v>137</v>
      </c>
      <c r="E86" s="23">
        <f>B18</f>
        <v>12416</v>
      </c>
      <c r="F86" s="4" t="s">
        <v>40</v>
      </c>
      <c r="H86" s="4" t="s">
        <v>38</v>
      </c>
    </row>
    <row r="87" spans="1:8">
      <c r="A87" s="51" t="s">
        <v>138</v>
      </c>
      <c r="B87" s="51"/>
      <c r="C87" s="205"/>
      <c r="D87" s="205" t="s">
        <v>136</v>
      </c>
      <c r="E87" s="218">
        <f>E86/E84*E66</f>
        <v>62885.366323200004</v>
      </c>
      <c r="F87" s="51" t="s">
        <v>11</v>
      </c>
      <c r="H87" s="4" t="s">
        <v>37</v>
      </c>
    </row>
    <row r="88" spans="1:8">
      <c r="A88" s="51" t="s">
        <v>66</v>
      </c>
      <c r="B88" s="51"/>
      <c r="C88" s="205"/>
      <c r="D88" s="205" t="s">
        <v>43</v>
      </c>
      <c r="E88" s="209">
        <f>B9</f>
        <v>34000</v>
      </c>
      <c r="F88" s="51" t="s">
        <v>65</v>
      </c>
      <c r="H88" s="4" t="s">
        <v>44</v>
      </c>
    </row>
    <row r="89" spans="1:8">
      <c r="A89" s="51" t="s">
        <v>518</v>
      </c>
      <c r="B89" s="51"/>
      <c r="C89" s="51"/>
      <c r="D89" s="205" t="s">
        <v>488</v>
      </c>
      <c r="E89" s="200">
        <f>B7</f>
        <v>14</v>
      </c>
      <c r="F89" s="51" t="s">
        <v>67</v>
      </c>
    </row>
    <row r="90" spans="1:8">
      <c r="A90" s="51" t="s">
        <v>161</v>
      </c>
      <c r="B90" s="51"/>
      <c r="C90" s="51"/>
      <c r="D90" s="205" t="s">
        <v>162</v>
      </c>
      <c r="E90" s="209">
        <f>E83/E89</f>
        <v>2532.8571428571427</v>
      </c>
      <c r="F90" s="51" t="s">
        <v>45</v>
      </c>
    </row>
    <row r="91" spans="1:8">
      <c r="A91" s="51" t="s">
        <v>42</v>
      </c>
      <c r="B91" s="51"/>
      <c r="C91" s="205"/>
      <c r="D91" s="205" t="s">
        <v>68</v>
      </c>
      <c r="E91" s="209">
        <f>E88/E89</f>
        <v>2428.5714285714284</v>
      </c>
      <c r="F91" s="51" t="s">
        <v>11</v>
      </c>
    </row>
    <row r="92" spans="1:8">
      <c r="A92" s="51" t="s">
        <v>486</v>
      </c>
      <c r="B92" s="51"/>
      <c r="C92" s="51"/>
      <c r="D92" s="205" t="s">
        <v>538</v>
      </c>
      <c r="E92" s="209">
        <f>B10</f>
        <v>5049.5464768150987</v>
      </c>
      <c r="F92" s="51" t="s">
        <v>45</v>
      </c>
      <c r="H92" s="81"/>
    </row>
    <row r="93" spans="1:8">
      <c r="A93" s="51" t="s">
        <v>487</v>
      </c>
      <c r="B93" s="51"/>
      <c r="C93" s="51"/>
      <c r="D93" s="205" t="s">
        <v>539</v>
      </c>
      <c r="E93" s="209">
        <f>B11</f>
        <v>-21.428571428571427</v>
      </c>
      <c r="F93" s="51" t="s">
        <v>45</v>
      </c>
      <c r="H93" s="81"/>
    </row>
    <row r="94" spans="1:8">
      <c r="A94" s="51" t="s">
        <v>485</v>
      </c>
      <c r="B94" s="51"/>
      <c r="C94" s="51"/>
      <c r="D94" s="205" t="s">
        <v>540</v>
      </c>
      <c r="E94" s="209">
        <f>E92+E48*E93</f>
        <v>5032.4999703129643</v>
      </c>
      <c r="F94" s="51" t="s">
        <v>45</v>
      </c>
      <c r="H94" s="81"/>
    </row>
    <row r="95" spans="1:8">
      <c r="D95" s="5"/>
      <c r="E95" s="23"/>
    </row>
    <row r="96" spans="1:8">
      <c r="A96" s="9" t="s">
        <v>176</v>
      </c>
      <c r="B96" s="9"/>
      <c r="D96" s="25"/>
      <c r="E96" s="10"/>
      <c r="F96" s="4"/>
    </row>
    <row r="97" spans="1:7">
      <c r="A97" s="4" t="s">
        <v>116</v>
      </c>
      <c r="C97" s="5"/>
      <c r="D97" s="5" t="s">
        <v>139</v>
      </c>
      <c r="E97" s="23">
        <f>B12</f>
        <v>35255</v>
      </c>
      <c r="F97" s="4" t="s">
        <v>33</v>
      </c>
      <c r="G97" s="5"/>
    </row>
    <row r="98" spans="1:7">
      <c r="A98" s="4" t="s">
        <v>34</v>
      </c>
      <c r="C98" s="5"/>
      <c r="D98" s="5" t="s">
        <v>106</v>
      </c>
      <c r="E98" s="87">
        <f>B14</f>
        <v>42</v>
      </c>
      <c r="F98" s="4" t="s">
        <v>22</v>
      </c>
      <c r="G98" s="5"/>
    </row>
    <row r="99" spans="1:7">
      <c r="A99" s="4" t="s">
        <v>36</v>
      </c>
      <c r="C99" s="5"/>
      <c r="D99" s="5" t="s">
        <v>142</v>
      </c>
      <c r="E99" s="162">
        <f>E$67/E98</f>
        <v>6.2619047619047616E-2</v>
      </c>
      <c r="F99" s="4" t="s">
        <v>117</v>
      </c>
      <c r="G99" s="5"/>
    </row>
    <row r="100" spans="1:7">
      <c r="A100" s="4" t="s">
        <v>170</v>
      </c>
      <c r="D100" s="5" t="s">
        <v>86</v>
      </c>
      <c r="E100" s="23">
        <f>E86</f>
        <v>12416</v>
      </c>
      <c r="F100" s="4" t="s">
        <v>40</v>
      </c>
    </row>
    <row r="101" spans="1:7">
      <c r="A101" s="4" t="s">
        <v>87</v>
      </c>
      <c r="D101" s="5" t="s">
        <v>72</v>
      </c>
      <c r="E101" s="23">
        <f>((E37+(1-E37)*(((1-E37)/(E37))*(E99*E100/D170))^(E42/(1-E42)))^(-1/E42))*E100</f>
        <v>13323.155404692063</v>
      </c>
      <c r="F101" s="4" t="s">
        <v>40</v>
      </c>
    </row>
    <row r="102" spans="1:7">
      <c r="A102" s="4" t="s">
        <v>114</v>
      </c>
      <c r="D102" s="5" t="s">
        <v>111</v>
      </c>
      <c r="E102" s="23">
        <f>((E121+E133)/(E121))^E39 * E101</f>
        <v>13899.079614471495</v>
      </c>
      <c r="F102" s="4" t="s">
        <v>40</v>
      </c>
    </row>
    <row r="103" spans="1:7">
      <c r="A103" s="4" t="s">
        <v>89</v>
      </c>
      <c r="D103" s="5" t="s">
        <v>107</v>
      </c>
      <c r="E103" s="23">
        <f>E100/E$98*E$66</f>
        <v>37431.765668571425</v>
      </c>
      <c r="F103" s="4" t="s">
        <v>11</v>
      </c>
      <c r="G103" s="26"/>
    </row>
    <row r="104" spans="1:7">
      <c r="A104" s="4" t="s">
        <v>88</v>
      </c>
      <c r="D104" s="5" t="s">
        <v>108</v>
      </c>
      <c r="E104" s="23">
        <f>E101/E$98*E$66</f>
        <v>40166.65843060521</v>
      </c>
      <c r="F104" s="4" t="s">
        <v>11</v>
      </c>
    </row>
    <row r="105" spans="1:7">
      <c r="A105" s="51" t="s">
        <v>113</v>
      </c>
      <c r="B105" s="51"/>
      <c r="C105" s="51"/>
      <c r="D105" s="205" t="s">
        <v>112</v>
      </c>
      <c r="E105" s="209">
        <f>E102/E$98*E$66</f>
        <v>41902.955149622678</v>
      </c>
      <c r="F105" s="51" t="s">
        <v>11</v>
      </c>
    </row>
    <row r="106" spans="1:7">
      <c r="A106" s="51" t="s">
        <v>140</v>
      </c>
      <c r="B106" s="51"/>
      <c r="C106" s="51"/>
      <c r="D106" s="205" t="s">
        <v>51</v>
      </c>
      <c r="E106" s="209">
        <f>E87-E103</f>
        <v>25453.600654628579</v>
      </c>
      <c r="F106" s="51" t="s">
        <v>11</v>
      </c>
    </row>
    <row r="107" spans="1:7">
      <c r="A107" s="51" t="s">
        <v>66</v>
      </c>
      <c r="B107" s="51"/>
      <c r="C107" s="205"/>
      <c r="D107" s="205" t="s">
        <v>50</v>
      </c>
      <c r="E107" s="209">
        <f>B15</f>
        <v>40000</v>
      </c>
      <c r="F107" s="51" t="s">
        <v>65</v>
      </c>
    </row>
    <row r="108" spans="1:7">
      <c r="A108" s="51" t="s">
        <v>517</v>
      </c>
      <c r="B108" s="51"/>
      <c r="C108" s="51"/>
      <c r="D108" s="205" t="s">
        <v>489</v>
      </c>
      <c r="E108" s="209">
        <f>B13</f>
        <v>14</v>
      </c>
      <c r="F108" s="51" t="s">
        <v>67</v>
      </c>
    </row>
    <row r="109" spans="1:7">
      <c r="A109" s="51" t="s">
        <v>161</v>
      </c>
      <c r="B109" s="51"/>
      <c r="C109" s="205"/>
      <c r="D109" s="205" t="s">
        <v>163</v>
      </c>
      <c r="E109" s="209">
        <f>E97/E108</f>
        <v>2518.2142857142858</v>
      </c>
      <c r="F109" s="51" t="s">
        <v>45</v>
      </c>
    </row>
    <row r="110" spans="1:7">
      <c r="A110" s="51" t="s">
        <v>42</v>
      </c>
      <c r="B110" s="51"/>
      <c r="C110" s="205"/>
      <c r="D110" s="205" t="s">
        <v>109</v>
      </c>
      <c r="E110" s="218">
        <f>E107/E108</f>
        <v>2857.1428571428573</v>
      </c>
      <c r="F110" s="51" t="s">
        <v>11</v>
      </c>
      <c r="G110" s="5"/>
    </row>
    <row r="111" spans="1:7">
      <c r="A111" s="51" t="s">
        <v>486</v>
      </c>
      <c r="B111" s="51"/>
      <c r="C111" s="205"/>
      <c r="D111" s="205" t="s">
        <v>515</v>
      </c>
      <c r="E111" s="218">
        <f>B16</f>
        <v>4778.7580826033591</v>
      </c>
      <c r="F111" s="51" t="s">
        <v>45</v>
      </c>
    </row>
    <row r="112" spans="1:7">
      <c r="A112" s="51" t="s">
        <v>487</v>
      </c>
      <c r="B112" s="51"/>
      <c r="C112" s="51"/>
      <c r="D112" s="205" t="s">
        <v>516</v>
      </c>
      <c r="E112" s="218">
        <f>B17</f>
        <v>-21.428571428571427</v>
      </c>
      <c r="F112" s="51" t="s">
        <v>45</v>
      </c>
    </row>
    <row r="113" spans="1:7">
      <c r="A113" s="51" t="s">
        <v>485</v>
      </c>
      <c r="B113" s="51"/>
      <c r="C113" s="51"/>
      <c r="D113" s="205" t="s">
        <v>483</v>
      </c>
      <c r="E113" s="218">
        <f>E111+E54*E112</f>
        <v>4761.7115761012246</v>
      </c>
      <c r="F113" s="51" t="s">
        <v>45</v>
      </c>
    </row>
    <row r="114" spans="1:7">
      <c r="A114" s="51" t="s">
        <v>166</v>
      </c>
      <c r="B114" s="51"/>
      <c r="C114" s="205"/>
      <c r="D114" s="216" t="s">
        <v>167</v>
      </c>
      <c r="E114" s="211">
        <f>E98/E84</f>
        <v>1.68</v>
      </c>
      <c r="F114" s="222" t="s">
        <v>18</v>
      </c>
    </row>
    <row r="115" spans="1:7">
      <c r="D115" s="5"/>
      <c r="E115" s="22"/>
      <c r="F115" s="4"/>
    </row>
    <row r="116" spans="1:7">
      <c r="A116" s="9" t="s">
        <v>144</v>
      </c>
      <c r="B116" s="9"/>
      <c r="D116" s="5"/>
      <c r="F116" s="20"/>
    </row>
    <row r="117" spans="1:7">
      <c r="A117" s="4" t="s">
        <v>126</v>
      </c>
      <c r="D117" s="5"/>
      <c r="E117" s="23">
        <f>B19</f>
        <v>34317</v>
      </c>
      <c r="F117" s="57" t="s">
        <v>45</v>
      </c>
      <c r="G117" s="142"/>
    </row>
    <row r="118" spans="1:7">
      <c r="A118" s="4" t="s">
        <v>127</v>
      </c>
      <c r="D118" s="5"/>
      <c r="E118" s="62">
        <f>B20</f>
        <v>0.88319000000000003</v>
      </c>
      <c r="F118" s="57" t="s">
        <v>18</v>
      </c>
    </row>
    <row r="119" spans="1:7">
      <c r="A119" s="4" t="s">
        <v>128</v>
      </c>
      <c r="D119" s="5"/>
      <c r="E119" s="10">
        <f>B21</f>
        <v>7.8479999999999994E-2</v>
      </c>
      <c r="F119" s="57" t="s">
        <v>18</v>
      </c>
    </row>
    <row r="120" spans="1:7">
      <c r="A120" s="4" t="s">
        <v>47</v>
      </c>
      <c r="C120" s="5"/>
      <c r="D120" s="5" t="s">
        <v>57</v>
      </c>
      <c r="E120" s="22">
        <f>E117*E118*(1-E119)</f>
        <v>27929.825547069602</v>
      </c>
      <c r="F120" s="57" t="s">
        <v>45</v>
      </c>
    </row>
    <row r="121" spans="1:7">
      <c r="D121" s="194" t="s">
        <v>315</v>
      </c>
      <c r="E121" s="218">
        <f>E120-E53*E109-E113-E133</f>
        <v>19303.578842313815</v>
      </c>
      <c r="F121" s="57" t="s">
        <v>45</v>
      </c>
    </row>
    <row r="122" spans="1:7">
      <c r="A122" s="219" t="s">
        <v>141</v>
      </c>
      <c r="B122" s="51"/>
      <c r="C122" s="51"/>
      <c r="D122" s="5" t="s">
        <v>70</v>
      </c>
      <c r="E122" s="209">
        <f>E68*E106</f>
        <v>528.68510476190488</v>
      </c>
      <c r="F122" s="26" t="s">
        <v>45</v>
      </c>
    </row>
    <row r="123" spans="1:7">
      <c r="A123" s="51" t="s">
        <v>168</v>
      </c>
      <c r="B123" s="51"/>
      <c r="C123" s="51"/>
      <c r="D123" s="5" t="s">
        <v>169</v>
      </c>
      <c r="E123" s="209">
        <f>E184</f>
        <v>-14.642857142856883</v>
      </c>
      <c r="F123" s="26" t="s">
        <v>45</v>
      </c>
    </row>
    <row r="124" spans="1:7">
      <c r="A124" s="51" t="s">
        <v>521</v>
      </c>
      <c r="B124" s="51"/>
      <c r="C124" s="51"/>
      <c r="D124" s="5" t="s">
        <v>520</v>
      </c>
      <c r="E124" s="209">
        <f>E53*E109-E47*E90</f>
        <v>-17.619319896199158</v>
      </c>
      <c r="F124" s="26" t="s">
        <v>45</v>
      </c>
    </row>
    <row r="125" spans="1:7">
      <c r="A125" s="51" t="s">
        <v>534</v>
      </c>
      <c r="B125" s="51"/>
      <c r="C125" s="51"/>
      <c r="D125" s="5" t="s">
        <v>519</v>
      </c>
      <c r="E125" s="209">
        <f>E185</f>
        <v>-270.78839421173961</v>
      </c>
      <c r="F125" s="26" t="s">
        <v>45</v>
      </c>
    </row>
    <row r="126" spans="1:7">
      <c r="A126" s="4" t="s">
        <v>149</v>
      </c>
      <c r="D126" s="194" t="s">
        <v>259</v>
      </c>
      <c r="E126" s="209">
        <f>E120 - E68*E87 - E47*E90 - E94</f>
        <v>18543.449774223773</v>
      </c>
      <c r="F126" s="26" t="s">
        <v>45</v>
      </c>
    </row>
    <row r="127" spans="1:7">
      <c r="A127" s="4" t="s">
        <v>90</v>
      </c>
      <c r="D127" s="5" t="s">
        <v>258</v>
      </c>
      <c r="E127" s="209">
        <f>E126</f>
        <v>18543.449774223773</v>
      </c>
      <c r="F127" s="26" t="s">
        <v>45</v>
      </c>
    </row>
    <row r="128" spans="1:7">
      <c r="A128" s="4" t="s">
        <v>91</v>
      </c>
      <c r="D128" s="194" t="s">
        <v>73</v>
      </c>
      <c r="E128" s="209">
        <f>E126*(1/(1+E37*(((((1-E37)/(E37))*(H163*D164/D170))^(E42/(E42-1)))-1)))^(1/E42)</f>
        <v>18469.295539591432</v>
      </c>
      <c r="F128" s="26" t="s">
        <v>45</v>
      </c>
      <c r="G128" s="192"/>
    </row>
    <row r="129" spans="1:6">
      <c r="A129" s="4" t="s">
        <v>115</v>
      </c>
      <c r="D129" s="5" t="s">
        <v>74</v>
      </c>
      <c r="E129" s="209">
        <f>E133 - E68*G182 + E128</f>
        <v>19267.673560092186</v>
      </c>
      <c r="F129" s="26" t="s">
        <v>45</v>
      </c>
    </row>
    <row r="130" spans="1:6">
      <c r="A130" s="4" t="s">
        <v>148</v>
      </c>
      <c r="D130" s="5" t="s">
        <v>282</v>
      </c>
      <c r="E130" s="209">
        <f>E129</f>
        <v>19267.673560092186</v>
      </c>
      <c r="F130" s="26" t="s">
        <v>45</v>
      </c>
    </row>
    <row r="131" spans="1:6">
      <c r="A131" s="4" t="s">
        <v>150</v>
      </c>
      <c r="C131" s="5"/>
      <c r="D131" s="13" t="s">
        <v>151</v>
      </c>
      <c r="E131" s="209">
        <v>0</v>
      </c>
      <c r="F131" s="26" t="s">
        <v>45</v>
      </c>
    </row>
    <row r="132" spans="1:6">
      <c r="A132" s="4" t="s">
        <v>145</v>
      </c>
      <c r="D132" s="194" t="s">
        <v>152</v>
      </c>
      <c r="E132" s="209">
        <f>E122-E124-E125</f>
        <v>817.09281886984365</v>
      </c>
      <c r="F132" s="26" t="s">
        <v>45</v>
      </c>
    </row>
    <row r="133" spans="1:6">
      <c r="A133" s="4" t="s">
        <v>146</v>
      </c>
      <c r="D133" s="194" t="s">
        <v>69</v>
      </c>
      <c r="E133" s="209">
        <f>E122-E124-E125-E68*F182 - F187</f>
        <v>834.44184601789516</v>
      </c>
      <c r="F133" s="26" t="s">
        <v>45</v>
      </c>
    </row>
    <row r="134" spans="1:6">
      <c r="A134" s="4" t="s">
        <v>147</v>
      </c>
      <c r="D134" s="13" t="s">
        <v>153</v>
      </c>
      <c r="E134" s="23">
        <v>0</v>
      </c>
      <c r="F134" s="26" t="s">
        <v>45</v>
      </c>
    </row>
    <row r="135" spans="1:6">
      <c r="A135" s="4" t="s">
        <v>154</v>
      </c>
      <c r="D135" s="13" t="s">
        <v>180</v>
      </c>
      <c r="E135" s="23">
        <v>0</v>
      </c>
      <c r="F135" s="26" t="s">
        <v>45</v>
      </c>
    </row>
    <row r="136" spans="1:6">
      <c r="D136" s="13"/>
      <c r="E136" s="23"/>
      <c r="F136" s="26"/>
    </row>
    <row r="157" spans="1:11">
      <c r="K157" s="27"/>
    </row>
    <row r="158" spans="1:11" ht="16.5" thickBot="1"/>
    <row r="159" spans="1:11" ht="17.25">
      <c r="A159" s="28"/>
      <c r="B159" s="29" t="s">
        <v>83</v>
      </c>
      <c r="C159" s="29" t="s">
        <v>84</v>
      </c>
      <c r="D159" s="29" t="s">
        <v>330</v>
      </c>
      <c r="E159" s="29" t="s">
        <v>93</v>
      </c>
      <c r="F159" s="29" t="s">
        <v>94</v>
      </c>
      <c r="G159" s="29" t="s">
        <v>96</v>
      </c>
      <c r="H159" s="29" t="s">
        <v>95</v>
      </c>
    </row>
    <row r="160" spans="1:11">
      <c r="A160" s="90" t="s">
        <v>76</v>
      </c>
      <c r="B160" s="5" t="s">
        <v>5</v>
      </c>
      <c r="C160" s="5"/>
      <c r="D160" s="31">
        <f>$E68</f>
        <v>2.0770542915929922E-2</v>
      </c>
      <c r="E160" s="31">
        <f>$E68</f>
        <v>2.0770542915929922E-2</v>
      </c>
      <c r="F160" s="31">
        <f>$E68</f>
        <v>2.0770542915929922E-2</v>
      </c>
      <c r="G160" s="31">
        <f>$E68</f>
        <v>2.0770542915929922E-2</v>
      </c>
      <c r="H160" s="31">
        <f>$E68</f>
        <v>2.0770542915929922E-2</v>
      </c>
    </row>
    <row r="161" spans="1:13">
      <c r="A161" s="90" t="s">
        <v>9</v>
      </c>
      <c r="B161" s="5" t="s">
        <v>10</v>
      </c>
      <c r="C161" s="5"/>
      <c r="D161" s="31">
        <f>$E79</f>
        <v>3.2380660967337476</v>
      </c>
      <c r="E161" s="31">
        <f>$E79</f>
        <v>3.2380660967337476</v>
      </c>
      <c r="F161" s="31">
        <f>$E79</f>
        <v>3.2380660967337476</v>
      </c>
      <c r="G161" s="31">
        <f>$E79</f>
        <v>3.2380660967337476</v>
      </c>
      <c r="H161" s="31">
        <f>$E79</f>
        <v>3.2380660967337476</v>
      </c>
    </row>
    <row r="162" spans="1:13">
      <c r="A162" s="90" t="s">
        <v>77</v>
      </c>
      <c r="B162" s="5" t="s">
        <v>22</v>
      </c>
      <c r="C162" s="5"/>
      <c r="D162" s="32">
        <f>E84</f>
        <v>25</v>
      </c>
      <c r="E162" s="32">
        <f t="shared" ref="E162:H163" si="1">$E98</f>
        <v>42</v>
      </c>
      <c r="F162" s="32">
        <f t="shared" si="1"/>
        <v>42</v>
      </c>
      <c r="G162" s="32">
        <f t="shared" si="1"/>
        <v>42</v>
      </c>
      <c r="H162" s="32">
        <f t="shared" si="1"/>
        <v>42</v>
      </c>
    </row>
    <row r="163" spans="1:13">
      <c r="A163" s="90" t="s">
        <v>78</v>
      </c>
      <c r="B163" s="5" t="s">
        <v>117</v>
      </c>
      <c r="C163" s="5"/>
      <c r="D163" s="31">
        <f>E85</f>
        <v>0.1052</v>
      </c>
      <c r="E163" s="31">
        <f t="shared" si="1"/>
        <v>6.2619047619047616E-2</v>
      </c>
      <c r="F163" s="31">
        <f t="shared" si="1"/>
        <v>6.2619047619047616E-2</v>
      </c>
      <c r="G163" s="31">
        <f t="shared" si="1"/>
        <v>6.2619047619047616E-2</v>
      </c>
      <c r="H163" s="31">
        <f t="shared" si="1"/>
        <v>6.2619047619047616E-2</v>
      </c>
    </row>
    <row r="164" spans="1:13">
      <c r="A164" s="90" t="s">
        <v>79</v>
      </c>
      <c r="B164" s="5" t="s">
        <v>40</v>
      </c>
      <c r="C164" s="5"/>
      <c r="D164" s="33">
        <f>$E86</f>
        <v>12416</v>
      </c>
      <c r="E164" s="33">
        <f>E100</f>
        <v>12416</v>
      </c>
      <c r="F164" s="34">
        <f>E101</f>
        <v>13323.155404692063</v>
      </c>
      <c r="G164" s="33">
        <f>E102</f>
        <v>13899.079614471495</v>
      </c>
      <c r="H164" s="33">
        <f>E102</f>
        <v>13899.079614471495</v>
      </c>
    </row>
    <row r="165" spans="1:13">
      <c r="A165" s="30" t="s">
        <v>39</v>
      </c>
      <c r="B165" s="5" t="s">
        <v>11</v>
      </c>
      <c r="C165" s="5"/>
      <c r="D165" s="33">
        <f>E87</f>
        <v>62885.366323200004</v>
      </c>
      <c r="E165" s="33">
        <f>E103</f>
        <v>37431.765668571425</v>
      </c>
      <c r="F165" s="33">
        <f>E104</f>
        <v>40166.65843060521</v>
      </c>
      <c r="G165" s="33">
        <f>E105</f>
        <v>41902.955149622678</v>
      </c>
      <c r="H165" s="33">
        <f>G165</f>
        <v>41902.955149622678</v>
      </c>
    </row>
    <row r="166" spans="1:13">
      <c r="A166" s="30" t="s">
        <v>42</v>
      </c>
      <c r="B166" s="5" t="s">
        <v>11</v>
      </c>
      <c r="C166" s="5"/>
      <c r="D166" s="33">
        <f>E88/E89</f>
        <v>2428.5714285714284</v>
      </c>
      <c r="E166" s="33">
        <f>$E107/$E108</f>
        <v>2857.1428571428573</v>
      </c>
      <c r="F166" s="33">
        <f>$E107/$E108</f>
        <v>2857.1428571428573</v>
      </c>
      <c r="G166" s="33">
        <f>$E107/$E108</f>
        <v>2857.1428571428573</v>
      </c>
      <c r="H166" s="33">
        <f>$E107/$E108</f>
        <v>2857.1428571428573</v>
      </c>
      <c r="J166" s="4" t="s">
        <v>404</v>
      </c>
    </row>
    <row r="167" spans="1:13">
      <c r="A167" s="30" t="s">
        <v>80</v>
      </c>
      <c r="B167" s="5" t="s">
        <v>45</v>
      </c>
      <c r="C167" s="5"/>
      <c r="D167" s="34">
        <f>E90</f>
        <v>2532.8571428571427</v>
      </c>
      <c r="E167" s="34">
        <f>E109</f>
        <v>2518.2142857142858</v>
      </c>
      <c r="F167" s="34">
        <f>E167</f>
        <v>2518.2142857142858</v>
      </c>
      <c r="G167" s="34">
        <f>F167</f>
        <v>2518.2142857142858</v>
      </c>
      <c r="H167" s="34">
        <f>G167</f>
        <v>2518.2142857142858</v>
      </c>
    </row>
    <row r="168" spans="1:13">
      <c r="A168" s="204" t="s">
        <v>482</v>
      </c>
      <c r="B168" s="5" t="s">
        <v>45</v>
      </c>
      <c r="C168" s="199"/>
      <c r="D168" s="33">
        <f>E94</f>
        <v>5032.4999703129643</v>
      </c>
      <c r="E168" s="33">
        <f>$E113</f>
        <v>4761.7115761012246</v>
      </c>
      <c r="F168" s="33">
        <f t="shared" ref="F168:H168" si="2">$E113</f>
        <v>4761.7115761012246</v>
      </c>
      <c r="G168" s="33">
        <f t="shared" si="2"/>
        <v>4761.7115761012246</v>
      </c>
      <c r="H168" s="33">
        <f t="shared" si="2"/>
        <v>4761.7115761012246</v>
      </c>
    </row>
    <row r="169" spans="1:13">
      <c r="A169" s="30" t="s">
        <v>260</v>
      </c>
      <c r="B169" s="5" t="s">
        <v>45</v>
      </c>
      <c r="C169" s="5"/>
      <c r="D169" s="33">
        <f>D163*D164</f>
        <v>1306.1632</v>
      </c>
      <c r="E169" s="33">
        <f>E163*E164</f>
        <v>777.47809523809519</v>
      </c>
      <c r="F169" s="33">
        <f>F163*F164</f>
        <v>834.28330272238384</v>
      </c>
      <c r="G169" s="33">
        <f>G163*G164</f>
        <v>870.34712823952452</v>
      </c>
      <c r="H169" s="33">
        <f>H163*H164</f>
        <v>870.34712823952452</v>
      </c>
    </row>
    <row r="170" spans="1:13">
      <c r="A170" s="30" t="s">
        <v>81</v>
      </c>
      <c r="B170" s="5" t="s">
        <v>45</v>
      </c>
      <c r="C170" s="24"/>
      <c r="D170" s="34">
        <f>E126</f>
        <v>18543.449774223773</v>
      </c>
      <c r="E170" s="34">
        <f>E127</f>
        <v>18543.449774223773</v>
      </c>
      <c r="F170" s="34">
        <f>E128</f>
        <v>18469.295539591432</v>
      </c>
      <c r="G170" s="34">
        <f>E129</f>
        <v>19267.673560092186</v>
      </c>
      <c r="H170" s="34">
        <f>E130</f>
        <v>19267.673560092186</v>
      </c>
      <c r="I170" s="4" t="s">
        <v>283</v>
      </c>
      <c r="J170" s="19">
        <f>F172</f>
        <v>834.44184601789516</v>
      </c>
      <c r="K170" s="4" t="s">
        <v>284</v>
      </c>
    </row>
    <row r="171" spans="1:13">
      <c r="A171" s="30" t="s">
        <v>312</v>
      </c>
      <c r="B171" s="5" t="s">
        <v>45</v>
      </c>
      <c r="C171" s="5"/>
      <c r="D171" s="33">
        <f>E120</f>
        <v>27929.825547069602</v>
      </c>
      <c r="E171" s="33">
        <f>E120</f>
        <v>27929.825547069602</v>
      </c>
      <c r="F171" s="33">
        <f>E120</f>
        <v>27929.825547069602</v>
      </c>
      <c r="G171" s="33">
        <f>E120</f>
        <v>27929.825547069602</v>
      </c>
      <c r="H171" s="33">
        <f>E120</f>
        <v>27929.825547069602</v>
      </c>
      <c r="J171" s="197">
        <f>D160*G182 + G187</f>
        <v>834.44184601789402</v>
      </c>
      <c r="K171" s="107" t="s">
        <v>285</v>
      </c>
      <c r="L171" s="107"/>
      <c r="M171" s="107"/>
    </row>
    <row r="172" spans="1:13">
      <c r="A172" s="30" t="s">
        <v>313</v>
      </c>
      <c r="B172" s="5" t="s">
        <v>45</v>
      </c>
      <c r="C172" s="5"/>
      <c r="D172" s="34">
        <f>E131</f>
        <v>0</v>
      </c>
      <c r="E172" s="34">
        <f>E132</f>
        <v>817.09281886984365</v>
      </c>
      <c r="F172" s="34">
        <f>E133</f>
        <v>834.44184601789516</v>
      </c>
      <c r="G172" s="34">
        <f>E134</f>
        <v>0</v>
      </c>
      <c r="H172" s="34">
        <f>E135</f>
        <v>0</v>
      </c>
      <c r="J172" s="142">
        <f>J170-J171</f>
        <v>1.1368683772161603E-12</v>
      </c>
      <c r="K172" s="4" t="s">
        <v>286</v>
      </c>
    </row>
    <row r="173" spans="1:13" ht="16.5" thickBot="1">
      <c r="A173" s="35" t="s">
        <v>97</v>
      </c>
      <c r="B173" s="36" t="s">
        <v>45</v>
      </c>
      <c r="C173" s="36"/>
      <c r="D173" s="36">
        <v>0</v>
      </c>
      <c r="E173" s="37">
        <f>$E122</f>
        <v>528.68510476190488</v>
      </c>
      <c r="F173" s="37">
        <f>$E122</f>
        <v>528.68510476190488</v>
      </c>
      <c r="G173" s="37">
        <f>$E122</f>
        <v>528.68510476190488</v>
      </c>
      <c r="H173" s="37">
        <f>$E122</f>
        <v>528.68510476190488</v>
      </c>
    </row>
    <row r="174" spans="1:13">
      <c r="D174" s="5"/>
      <c r="E174" s="34"/>
      <c r="F174" s="34"/>
      <c r="G174" s="34"/>
      <c r="H174" s="33"/>
    </row>
    <row r="175" spans="1:13" ht="16.5" thickBot="1">
      <c r="C175" s="30" t="s">
        <v>102</v>
      </c>
      <c r="D175" s="5"/>
      <c r="E175" s="34"/>
      <c r="F175" s="34"/>
      <c r="G175" s="34"/>
      <c r="H175" s="33"/>
    </row>
    <row r="176" spans="1:13">
      <c r="A176" s="28"/>
      <c r="B176" s="29" t="s">
        <v>83</v>
      </c>
      <c r="C176" s="29" t="s">
        <v>84</v>
      </c>
      <c r="D176" s="29"/>
      <c r="E176" s="29" t="s">
        <v>98</v>
      </c>
      <c r="F176" s="29" t="s">
        <v>99</v>
      </c>
      <c r="G176" s="29" t="s">
        <v>100</v>
      </c>
      <c r="H176" s="29" t="s">
        <v>101</v>
      </c>
    </row>
    <row r="177" spans="1:8">
      <c r="A177" s="30" t="s">
        <v>76</v>
      </c>
      <c r="B177" s="5" t="s">
        <v>5</v>
      </c>
      <c r="C177" s="5"/>
      <c r="D177" s="38"/>
      <c r="E177" s="34">
        <f t="shared" ref="E177:H183" si="3">E160-D160</f>
        <v>0</v>
      </c>
      <c r="F177" s="34">
        <f t="shared" si="3"/>
        <v>0</v>
      </c>
      <c r="G177" s="34">
        <f t="shared" si="3"/>
        <v>0</v>
      </c>
      <c r="H177" s="34">
        <f t="shared" si="3"/>
        <v>0</v>
      </c>
    </row>
    <row r="178" spans="1:8">
      <c r="A178" s="30" t="s">
        <v>9</v>
      </c>
      <c r="B178" s="5" t="s">
        <v>10</v>
      </c>
      <c r="C178" s="5"/>
      <c r="D178" s="31"/>
      <c r="E178" s="34">
        <f t="shared" si="3"/>
        <v>0</v>
      </c>
      <c r="F178" s="34">
        <f t="shared" si="3"/>
        <v>0</v>
      </c>
      <c r="G178" s="34">
        <f t="shared" si="3"/>
        <v>0</v>
      </c>
      <c r="H178" s="34">
        <f t="shared" si="3"/>
        <v>0</v>
      </c>
    </row>
    <row r="179" spans="1:8">
      <c r="A179" s="30" t="s">
        <v>77</v>
      </c>
      <c r="B179" s="5" t="s">
        <v>22</v>
      </c>
      <c r="C179" s="5"/>
      <c r="D179" s="39"/>
      <c r="E179" s="34">
        <f t="shared" si="3"/>
        <v>17</v>
      </c>
      <c r="F179" s="34">
        <f t="shared" si="3"/>
        <v>0</v>
      </c>
      <c r="G179" s="34">
        <f t="shared" si="3"/>
        <v>0</v>
      </c>
      <c r="H179" s="34">
        <f t="shared" si="3"/>
        <v>0</v>
      </c>
    </row>
    <row r="180" spans="1:8">
      <c r="A180" s="30" t="s">
        <v>78</v>
      </c>
      <c r="B180" s="5" t="s">
        <v>117</v>
      </c>
      <c r="C180" s="5"/>
      <c r="D180" s="38"/>
      <c r="E180" s="111">
        <f t="shared" si="3"/>
        <v>-4.2580952380952386E-2</v>
      </c>
      <c r="F180" s="111">
        <f t="shared" si="3"/>
        <v>0</v>
      </c>
      <c r="G180" s="111">
        <f t="shared" si="3"/>
        <v>0</v>
      </c>
      <c r="H180" s="111">
        <f t="shared" si="3"/>
        <v>0</v>
      </c>
    </row>
    <row r="181" spans="1:8">
      <c r="A181" s="30" t="s">
        <v>79</v>
      </c>
      <c r="B181" s="5" t="s">
        <v>40</v>
      </c>
      <c r="C181" s="5"/>
      <c r="D181" s="34"/>
      <c r="E181" s="34">
        <f t="shared" si="3"/>
        <v>0</v>
      </c>
      <c r="F181" s="34">
        <f t="shared" si="3"/>
        <v>907.1554046920628</v>
      </c>
      <c r="G181" s="34">
        <f t="shared" si="3"/>
        <v>575.9242097794322</v>
      </c>
      <c r="H181" s="34">
        <f t="shared" si="3"/>
        <v>0</v>
      </c>
    </row>
    <row r="182" spans="1:8">
      <c r="A182" s="30" t="s">
        <v>39</v>
      </c>
      <c r="B182" s="5" t="s">
        <v>11</v>
      </c>
      <c r="C182" s="5"/>
      <c r="D182" s="34"/>
      <c r="E182" s="34">
        <f t="shared" si="3"/>
        <v>-25453.600654628579</v>
      </c>
      <c r="F182" s="34">
        <f t="shared" si="3"/>
        <v>2734.8927620337854</v>
      </c>
      <c r="G182" s="34">
        <f t="shared" si="3"/>
        <v>1736.2967190174677</v>
      </c>
      <c r="H182" s="34">
        <f t="shared" si="3"/>
        <v>0</v>
      </c>
    </row>
    <row r="183" spans="1:8">
      <c r="A183" s="30" t="s">
        <v>42</v>
      </c>
      <c r="B183" s="5" t="s">
        <v>11</v>
      </c>
      <c r="C183" s="5"/>
      <c r="D183" s="34"/>
      <c r="E183" s="34">
        <f t="shared" si="3"/>
        <v>428.5714285714289</v>
      </c>
      <c r="F183" s="34">
        <f t="shared" si="3"/>
        <v>0</v>
      </c>
      <c r="G183" s="34">
        <f t="shared" si="3"/>
        <v>0</v>
      </c>
      <c r="H183" s="34">
        <f t="shared" si="3"/>
        <v>0</v>
      </c>
    </row>
    <row r="184" spans="1:8">
      <c r="A184" s="30" t="s">
        <v>80</v>
      </c>
      <c r="B184" s="5" t="s">
        <v>45</v>
      </c>
      <c r="C184" s="5"/>
      <c r="D184" s="34"/>
      <c r="E184" s="34">
        <f>E167-D167</f>
        <v>-14.642857142856883</v>
      </c>
      <c r="F184" s="34">
        <f t="shared" ref="E184:H190" si="4">F167-E167</f>
        <v>0</v>
      </c>
      <c r="G184" s="34">
        <f t="shared" si="4"/>
        <v>0</v>
      </c>
      <c r="H184" s="34">
        <f t="shared" si="4"/>
        <v>0</v>
      </c>
    </row>
    <row r="185" spans="1:8">
      <c r="A185" s="204" t="s">
        <v>482</v>
      </c>
      <c r="B185" s="205" t="s">
        <v>45</v>
      </c>
      <c r="C185" s="199"/>
      <c r="D185" s="34"/>
      <c r="E185" s="34">
        <f t="shared" si="4"/>
        <v>-270.78839421173961</v>
      </c>
      <c r="F185" s="34">
        <f t="shared" si="4"/>
        <v>0</v>
      </c>
      <c r="G185" s="34">
        <f t="shared" si="4"/>
        <v>0</v>
      </c>
      <c r="H185" s="34">
        <f t="shared" si="4"/>
        <v>0</v>
      </c>
    </row>
    <row r="186" spans="1:8">
      <c r="A186" s="30" t="s">
        <v>260</v>
      </c>
      <c r="B186" s="5" t="s">
        <v>45</v>
      </c>
      <c r="C186" s="5"/>
      <c r="D186" s="33"/>
      <c r="E186" s="33">
        <f t="shared" si="4"/>
        <v>-528.68510476190477</v>
      </c>
      <c r="F186" s="33">
        <f t="shared" si="4"/>
        <v>56.805207484288644</v>
      </c>
      <c r="G186" s="33">
        <f t="shared" si="4"/>
        <v>36.063825517140685</v>
      </c>
      <c r="H186" s="33">
        <f t="shared" si="4"/>
        <v>0</v>
      </c>
    </row>
    <row r="187" spans="1:8">
      <c r="A187" s="30" t="s">
        <v>81</v>
      </c>
      <c r="B187" s="5" t="s">
        <v>45</v>
      </c>
      <c r="C187" s="24"/>
      <c r="D187" s="34"/>
      <c r="E187" s="34">
        <f t="shared" si="4"/>
        <v>0</v>
      </c>
      <c r="F187" s="34">
        <f t="shared" si="4"/>
        <v>-74.154234632340376</v>
      </c>
      <c r="G187" s="34">
        <f t="shared" si="4"/>
        <v>798.37802050075334</v>
      </c>
      <c r="H187" s="34">
        <f t="shared" si="4"/>
        <v>0</v>
      </c>
    </row>
    <row r="188" spans="1:8">
      <c r="A188" s="30" t="s">
        <v>312</v>
      </c>
      <c r="B188" s="5" t="s">
        <v>45</v>
      </c>
      <c r="C188" s="5"/>
      <c r="D188" s="34"/>
      <c r="E188" s="34">
        <f t="shared" si="4"/>
        <v>0</v>
      </c>
      <c r="F188" s="34">
        <f t="shared" si="4"/>
        <v>0</v>
      </c>
      <c r="G188" s="34">
        <f t="shared" si="4"/>
        <v>0</v>
      </c>
      <c r="H188" s="34">
        <f t="shared" si="4"/>
        <v>0</v>
      </c>
    </row>
    <row r="189" spans="1:8">
      <c r="A189" s="30" t="s">
        <v>313</v>
      </c>
      <c r="B189" s="5" t="s">
        <v>45</v>
      </c>
      <c r="C189" s="5"/>
      <c r="D189" s="34"/>
      <c r="E189" s="34">
        <f t="shared" si="4"/>
        <v>817.09281886984365</v>
      </c>
      <c r="F189" s="34">
        <f t="shared" si="4"/>
        <v>17.349027148051505</v>
      </c>
      <c r="G189" s="34">
        <f t="shared" si="4"/>
        <v>-834.44184601789516</v>
      </c>
      <c r="H189" s="34">
        <f t="shared" si="4"/>
        <v>0</v>
      </c>
    </row>
    <row r="190" spans="1:8" ht="16.5" thickBot="1">
      <c r="A190" s="35" t="s">
        <v>97</v>
      </c>
      <c r="B190" s="36" t="s">
        <v>45</v>
      </c>
      <c r="C190" s="36"/>
      <c r="D190" s="40"/>
      <c r="E190" s="37">
        <f t="shared" si="4"/>
        <v>528.68510476190488</v>
      </c>
      <c r="F190" s="37">
        <f t="shared" si="4"/>
        <v>0</v>
      </c>
      <c r="G190" s="37">
        <f t="shared" si="4"/>
        <v>0</v>
      </c>
      <c r="H190" s="37">
        <f t="shared" si="4"/>
        <v>0</v>
      </c>
    </row>
    <row r="193" spans="4:7">
      <c r="D193" s="41" t="s">
        <v>64</v>
      </c>
      <c r="E193" s="42">
        <v>0</v>
      </c>
    </row>
    <row r="196" spans="4:7">
      <c r="D196" s="202" t="s">
        <v>49</v>
      </c>
      <c r="E196" s="220" t="s">
        <v>92</v>
      </c>
      <c r="F196" s="221" t="s">
        <v>13</v>
      </c>
    </row>
    <row r="197" spans="4:7" ht="17.25">
      <c r="D197" s="207" t="s">
        <v>558</v>
      </c>
      <c r="E197" s="209">
        <f>E88</f>
        <v>34000</v>
      </c>
      <c r="F197" s="205" t="s">
        <v>65</v>
      </c>
    </row>
    <row r="198" spans="4:7">
      <c r="D198" s="207" t="s">
        <v>50</v>
      </c>
      <c r="E198" s="209">
        <f>E107</f>
        <v>40000</v>
      </c>
      <c r="F198" s="205" t="s">
        <v>65</v>
      </c>
    </row>
    <row r="199" spans="4:7" ht="17.25">
      <c r="D199" s="207" t="s">
        <v>537</v>
      </c>
      <c r="E199" s="209">
        <f>E91</f>
        <v>2428.5714285714284</v>
      </c>
      <c r="F199" s="205" t="s">
        <v>11</v>
      </c>
    </row>
    <row r="200" spans="4:7">
      <c r="D200" s="207" t="str">
        <f>D89</f>
        <v>t⁰_life</v>
      </c>
      <c r="E200" s="209">
        <f>E89</f>
        <v>14</v>
      </c>
      <c r="F200" s="205" t="s">
        <v>67</v>
      </c>
      <c r="G200" s="22"/>
    </row>
    <row r="201" spans="4:7">
      <c r="D201" s="207" t="str">
        <f>D108</f>
        <v>t*_life</v>
      </c>
      <c r="E201" s="209">
        <f>E108</f>
        <v>14</v>
      </c>
      <c r="F201" s="205" t="s">
        <v>67</v>
      </c>
      <c r="G201" s="22"/>
    </row>
    <row r="202" spans="4:7">
      <c r="D202" s="190" t="s">
        <v>51</v>
      </c>
      <c r="E202" s="22">
        <f>E$106</f>
        <v>25453.600654628579</v>
      </c>
      <c r="F202" s="5" t="s">
        <v>11</v>
      </c>
    </row>
    <row r="203" spans="4:7">
      <c r="D203" s="41" t="s">
        <v>52</v>
      </c>
      <c r="E203" s="42">
        <f>((E198/E197*E200/E201)-1)*E199/E202</f>
        <v>1.6837359648505981E-2</v>
      </c>
    </row>
    <row r="204" spans="4:7">
      <c r="D204" s="10"/>
      <c r="E204" s="10"/>
    </row>
    <row r="205" spans="4:7">
      <c r="D205" s="9" t="s">
        <v>49</v>
      </c>
      <c r="E205" s="43" t="s">
        <v>92</v>
      </c>
      <c r="F205" s="44" t="s">
        <v>13</v>
      </c>
    </row>
    <row r="206" spans="4:7" ht="17.25">
      <c r="D206" s="190" t="s">
        <v>480</v>
      </c>
      <c r="E206" s="22">
        <f>D168</f>
        <v>5032.4999703129643</v>
      </c>
      <c r="F206" s="5" t="s">
        <v>45</v>
      </c>
    </row>
    <row r="207" spans="4:7">
      <c r="D207" s="190" t="s">
        <v>481</v>
      </c>
      <c r="E207" s="22">
        <f>E168</f>
        <v>4761.7115761012246</v>
      </c>
      <c r="F207" s="5" t="s">
        <v>45</v>
      </c>
    </row>
    <row r="208" spans="4:7">
      <c r="D208" s="190" t="s">
        <v>53</v>
      </c>
      <c r="E208" s="19">
        <f>D$161</f>
        <v>3.2380660967337476</v>
      </c>
      <c r="F208" s="5" t="s">
        <v>10</v>
      </c>
    </row>
    <row r="209" spans="2:6">
      <c r="D209" s="190" t="s">
        <v>51</v>
      </c>
      <c r="E209" s="22">
        <f>E$106</f>
        <v>25453.600654628579</v>
      </c>
      <c r="F209" s="5" t="s">
        <v>11</v>
      </c>
    </row>
    <row r="210" spans="2:6">
      <c r="B210" s="195"/>
      <c r="D210" s="41" t="s">
        <v>479</v>
      </c>
      <c r="E210" s="42">
        <f>((E207/E206)-1)*E206*E208/E209</f>
        <v>-3.4448199709873305E-2</v>
      </c>
    </row>
    <row r="211" spans="2:6">
      <c r="D211" s="10"/>
      <c r="E211" s="45"/>
    </row>
    <row r="212" spans="2:6">
      <c r="D212" s="9" t="s">
        <v>49</v>
      </c>
      <c r="E212" s="43" t="s">
        <v>92</v>
      </c>
      <c r="F212" s="44" t="s">
        <v>13</v>
      </c>
    </row>
    <row r="213" spans="2:6">
      <c r="D213" s="190" t="s">
        <v>103</v>
      </c>
      <c r="E213" s="11">
        <f>H162</f>
        <v>42</v>
      </c>
      <c r="F213" s="5" t="s">
        <v>22</v>
      </c>
    </row>
    <row r="214" spans="2:6" ht="17.25">
      <c r="D214" s="190" t="s">
        <v>331</v>
      </c>
      <c r="E214" s="11">
        <f>D162</f>
        <v>25</v>
      </c>
      <c r="F214" s="5" t="s">
        <v>22</v>
      </c>
    </row>
    <row r="215" spans="2:6" ht="17.25">
      <c r="D215" s="190" t="s">
        <v>335</v>
      </c>
      <c r="E215" s="23">
        <f>D164</f>
        <v>12416</v>
      </c>
      <c r="F215" s="5" t="s">
        <v>40</v>
      </c>
    </row>
    <row r="216" spans="2:6">
      <c r="D216" s="190" t="s">
        <v>336</v>
      </c>
      <c r="E216" s="23">
        <f>F164</f>
        <v>13323.155404692063</v>
      </c>
      <c r="F216" s="5" t="s">
        <v>40</v>
      </c>
    </row>
    <row r="217" spans="2:6">
      <c r="D217" s="41" t="s">
        <v>55</v>
      </c>
      <c r="E217" s="42">
        <f>((E216/E215)-1) / ((E213/E214)-1)</f>
        <v>0.10744620374707013</v>
      </c>
    </row>
    <row r="220" spans="2:6">
      <c r="D220" s="9" t="s">
        <v>49</v>
      </c>
      <c r="E220" s="43" t="s">
        <v>92</v>
      </c>
      <c r="F220" s="44" t="s">
        <v>13</v>
      </c>
    </row>
    <row r="221" spans="2:6">
      <c r="D221" s="190" t="s">
        <v>103</v>
      </c>
      <c r="E221" s="11">
        <f>H162</f>
        <v>42</v>
      </c>
      <c r="F221" s="5" t="s">
        <v>22</v>
      </c>
    </row>
    <row r="222" spans="2:6" ht="17.25">
      <c r="D222" s="190" t="s">
        <v>331</v>
      </c>
      <c r="E222" s="11">
        <f>D162</f>
        <v>25</v>
      </c>
      <c r="F222" s="5" t="s">
        <v>22</v>
      </c>
    </row>
    <row r="223" spans="2:6" ht="17.25">
      <c r="D223" s="190" t="s">
        <v>332</v>
      </c>
      <c r="E223" s="22">
        <f>D170</f>
        <v>18543.449774223773</v>
      </c>
      <c r="F223" s="5" t="s">
        <v>45</v>
      </c>
    </row>
    <row r="224" spans="2:6" ht="17.25">
      <c r="D224" s="190" t="s">
        <v>334</v>
      </c>
      <c r="E224" s="22">
        <f>F170</f>
        <v>18469.295539591432</v>
      </c>
      <c r="F224" s="5" t="s">
        <v>45</v>
      </c>
    </row>
    <row r="225" spans="4:6">
      <c r="D225" s="190" t="s">
        <v>53</v>
      </c>
      <c r="E225" s="19">
        <f>D$161</f>
        <v>3.2380660967337476</v>
      </c>
      <c r="F225" s="5" t="s">
        <v>10</v>
      </c>
    </row>
    <row r="226" spans="4:6" ht="17.25">
      <c r="D226" s="190" t="s">
        <v>333</v>
      </c>
      <c r="E226" s="22">
        <f>D165</f>
        <v>62885.366323200004</v>
      </c>
      <c r="F226" s="5" t="s">
        <v>11</v>
      </c>
    </row>
    <row r="227" spans="4:6">
      <c r="D227" s="41" t="s">
        <v>56</v>
      </c>
      <c r="E227" s="42">
        <f>(((E224/E223)-1)/((E221/E222)-1))*(E221/E222)*(E223*E225/E226)</f>
        <v>-9.4334910156830543E-3</v>
      </c>
    </row>
    <row r="231" spans="4:6">
      <c r="D231" s="9" t="s">
        <v>49</v>
      </c>
      <c r="E231" s="43" t="s">
        <v>92</v>
      </c>
      <c r="F231" s="44" t="s">
        <v>13</v>
      </c>
    </row>
    <row r="232" spans="4:6">
      <c r="D232" s="190" t="s">
        <v>69</v>
      </c>
      <c r="E232" s="23">
        <f>F172</f>
        <v>834.44184601789516</v>
      </c>
      <c r="F232" s="5" t="s">
        <v>45</v>
      </c>
    </row>
    <row r="233" spans="4:6">
      <c r="D233" s="191" t="s">
        <v>315</v>
      </c>
      <c r="E233" s="23">
        <f>E121</f>
        <v>19303.578842313815</v>
      </c>
      <c r="F233" s="13" t="s">
        <v>45</v>
      </c>
    </row>
    <row r="234" spans="4:6">
      <c r="D234" s="190" t="str">
        <f>D39</f>
        <v>epsilon_{q_s,M}</v>
      </c>
      <c r="E234" s="10">
        <f>E39</f>
        <v>1</v>
      </c>
      <c r="F234" s="70"/>
    </row>
    <row r="235" spans="4:6" ht="17.25">
      <c r="D235" s="190" t="s">
        <v>335</v>
      </c>
      <c r="E235" s="23">
        <f>D164</f>
        <v>12416</v>
      </c>
      <c r="F235" s="5" t="s">
        <v>40</v>
      </c>
    </row>
    <row r="236" spans="4:6">
      <c r="D236" s="190" t="s">
        <v>336</v>
      </c>
      <c r="E236" s="23">
        <f>F164</f>
        <v>13323.155404692063</v>
      </c>
      <c r="F236" s="5" t="s">
        <v>40</v>
      </c>
    </row>
    <row r="237" spans="4:6">
      <c r="D237" s="190" t="s">
        <v>103</v>
      </c>
      <c r="E237" s="11">
        <f>H162</f>
        <v>42</v>
      </c>
      <c r="F237" s="5" t="s">
        <v>22</v>
      </c>
    </row>
    <row r="238" spans="4:6" ht="17.25">
      <c r="D238" s="190" t="s">
        <v>331</v>
      </c>
      <c r="E238" s="11">
        <f>D162</f>
        <v>25</v>
      </c>
      <c r="F238" s="5" t="s">
        <v>22</v>
      </c>
    </row>
    <row r="239" spans="4:6">
      <c r="D239" s="41" t="s">
        <v>58</v>
      </c>
      <c r="E239" s="42">
        <f>(((1+E232/E233)^E234)-1)*(E236/E235)/(E237/E238-1)</f>
        <v>6.8214188734108824E-2</v>
      </c>
    </row>
    <row r="244" spans="4:6">
      <c r="D244" s="9" t="s">
        <v>49</v>
      </c>
      <c r="E244" s="43" t="s">
        <v>92</v>
      </c>
      <c r="F244" s="44" t="s">
        <v>13</v>
      </c>
    </row>
    <row r="245" spans="4:6">
      <c r="D245" s="190" t="s">
        <v>75</v>
      </c>
      <c r="E245" s="22">
        <f>G187</f>
        <v>798.37802050075334</v>
      </c>
      <c r="F245" s="5" t="s">
        <v>59</v>
      </c>
    </row>
    <row r="246" spans="4:6">
      <c r="D246" s="190" t="s">
        <v>53</v>
      </c>
      <c r="E246" s="19">
        <f>D$161</f>
        <v>3.2380660967337476</v>
      </c>
      <c r="F246" s="5" t="s">
        <v>10</v>
      </c>
    </row>
    <row r="247" spans="4:6">
      <c r="D247" s="190" t="s">
        <v>51</v>
      </c>
      <c r="E247" s="22">
        <f>E$106</f>
        <v>25453.600654628579</v>
      </c>
      <c r="F247" s="33" t="str">
        <f>F209</f>
        <v>MJ/yr</v>
      </c>
    </row>
    <row r="248" spans="4:6">
      <c r="D248" s="41" t="s">
        <v>60</v>
      </c>
      <c r="E248" s="42">
        <f>E245*E246/E247</f>
        <v>0.10156522983284834</v>
      </c>
    </row>
    <row r="250" spans="4:6">
      <c r="D250" s="9" t="s">
        <v>49</v>
      </c>
      <c r="E250" s="43" t="s">
        <v>92</v>
      </c>
      <c r="F250" s="44" t="s">
        <v>13</v>
      </c>
    </row>
    <row r="251" spans="4:6">
      <c r="D251" s="190" t="str">
        <f>D232</f>
        <v>Ndot_hat</v>
      </c>
      <c r="E251" s="23">
        <f>E232</f>
        <v>834.44184601789516</v>
      </c>
      <c r="F251" s="5" t="s">
        <v>45</v>
      </c>
    </row>
    <row r="252" spans="4:6">
      <c r="D252" s="190" t="str">
        <f>D233</f>
        <v>Mdot_prime_hat</v>
      </c>
      <c r="E252" s="23">
        <f>E233</f>
        <v>19303.578842313815</v>
      </c>
      <c r="F252" s="13" t="s">
        <v>45</v>
      </c>
    </row>
    <row r="253" spans="4:6">
      <c r="D253" s="190" t="s">
        <v>257</v>
      </c>
      <c r="E253" s="23">
        <f>E40</f>
        <v>1</v>
      </c>
      <c r="F253" s="70"/>
    </row>
    <row r="254" spans="4:6">
      <c r="D254" s="190" t="str">
        <f>D237</f>
        <v>eta_tilde</v>
      </c>
      <c r="E254" s="23">
        <f>E237</f>
        <v>42</v>
      </c>
      <c r="F254" s="5" t="s">
        <v>22</v>
      </c>
    </row>
    <row r="255" spans="4:6" ht="17.25">
      <c r="D255" s="190" t="s">
        <v>331</v>
      </c>
      <c r="E255" s="23">
        <f>E238</f>
        <v>25</v>
      </c>
      <c r="F255" s="5" t="s">
        <v>22</v>
      </c>
    </row>
    <row r="256" spans="4:6">
      <c r="D256" s="190" t="s">
        <v>261</v>
      </c>
      <c r="E256" s="23">
        <f>E126</f>
        <v>18543.449774223773</v>
      </c>
      <c r="F256" s="5" t="s">
        <v>59</v>
      </c>
    </row>
    <row r="257" spans="2:8">
      <c r="D257" s="190" t="s">
        <v>341</v>
      </c>
      <c r="E257" s="23">
        <f>F170</f>
        <v>18469.295539591432</v>
      </c>
      <c r="F257" s="5" t="s">
        <v>59</v>
      </c>
    </row>
    <row r="258" spans="2:8">
      <c r="D258" s="190" t="str">
        <f>D246</f>
        <v>I_E</v>
      </c>
      <c r="E258" s="71">
        <f>E246</f>
        <v>3.2380660967337476</v>
      </c>
      <c r="F258" s="5" t="s">
        <v>10</v>
      </c>
    </row>
    <row r="259" spans="2:8">
      <c r="D259" s="190" t="s">
        <v>316</v>
      </c>
      <c r="E259" s="23">
        <f>D165</f>
        <v>62885.366323200004</v>
      </c>
      <c r="F259" s="33" t="s">
        <v>11</v>
      </c>
    </row>
    <row r="260" spans="2:8">
      <c r="C260" s="196"/>
      <c r="D260" s="41" t="s">
        <v>60</v>
      </c>
      <c r="E260" s="127">
        <f>((1 + E251/E252)^E253 - 1) / (E254/E255 - 1) * E254/E255 * E257 * E258 / E259</f>
        <v>0.10156522983284869</v>
      </c>
    </row>
    <row r="263" spans="2:8">
      <c r="D263" s="9" t="s">
        <v>49</v>
      </c>
      <c r="E263" s="43" t="s">
        <v>92</v>
      </c>
      <c r="F263" s="44" t="s">
        <v>13</v>
      </c>
    </row>
    <row r="264" spans="2:8">
      <c r="D264" s="207" t="s">
        <v>522</v>
      </c>
      <c r="E264" s="218">
        <f>E124</f>
        <v>-17.619319896199158</v>
      </c>
      <c r="F264" s="205" t="s">
        <v>45</v>
      </c>
    </row>
    <row r="265" spans="2:8">
      <c r="D265" s="190" t="s">
        <v>53</v>
      </c>
      <c r="E265" s="19">
        <f>D$161</f>
        <v>3.2380660967337476</v>
      </c>
      <c r="F265" s="5" t="str">
        <f>F246</f>
        <v>MJ/$</v>
      </c>
    </row>
    <row r="266" spans="2:8">
      <c r="D266" s="190" t="s">
        <v>51</v>
      </c>
      <c r="E266" s="22">
        <f>E$106</f>
        <v>25453.600654628579</v>
      </c>
      <c r="F266" s="33" t="str">
        <f>F247</f>
        <v>MJ/yr</v>
      </c>
    </row>
    <row r="267" spans="2:8">
      <c r="D267" s="41" t="s">
        <v>63</v>
      </c>
      <c r="E267" s="42">
        <f>E264*E265/E266</f>
        <v>-2.2414322899740402E-3</v>
      </c>
      <c r="F267" s="46"/>
    </row>
    <row r="268" spans="2:8">
      <c r="F268" s="46"/>
    </row>
    <row r="269" spans="2:8">
      <c r="F269" s="46"/>
    </row>
    <row r="270" spans="2:8">
      <c r="B270" s="195"/>
      <c r="D270" s="9" t="s">
        <v>49</v>
      </c>
      <c r="E270" s="43" t="s">
        <v>92</v>
      </c>
      <c r="F270" s="44" t="s">
        <v>13</v>
      </c>
    </row>
    <row r="271" spans="2:8">
      <c r="D271" s="190" t="s">
        <v>61</v>
      </c>
      <c r="E271" s="52">
        <f>B4</f>
        <v>1</v>
      </c>
      <c r="G271" s="7" t="s">
        <v>177</v>
      </c>
    </row>
    <row r="272" spans="2:8">
      <c r="D272" s="190" t="s">
        <v>152</v>
      </c>
      <c r="E272" s="23">
        <f>E132</f>
        <v>817.09281886984365</v>
      </c>
      <c r="F272" s="5" t="s">
        <v>59</v>
      </c>
      <c r="G272" s="10" t="s">
        <v>172</v>
      </c>
      <c r="H272" s="61">
        <f>E271*E80</f>
        <v>6.7256390826825996E-2</v>
      </c>
    </row>
    <row r="273" spans="1:8">
      <c r="D273" s="190" t="s">
        <v>53</v>
      </c>
      <c r="E273" s="19">
        <f>D$161</f>
        <v>3.2380660967337476</v>
      </c>
      <c r="F273" s="60" t="str">
        <f>F246</f>
        <v>MJ/$</v>
      </c>
      <c r="G273" s="10" t="s">
        <v>173</v>
      </c>
      <c r="H273" s="61">
        <f>-E271*E267</f>
        <v>2.2414322899740402E-3</v>
      </c>
    </row>
    <row r="274" spans="1:8">
      <c r="D274" s="190" t="s">
        <v>51</v>
      </c>
      <c r="E274" s="22">
        <f>E$106</f>
        <v>25453.600654628579</v>
      </c>
      <c r="F274" s="60" t="str">
        <f>F247</f>
        <v>MJ/yr</v>
      </c>
      <c r="G274" s="10" t="s">
        <v>174</v>
      </c>
      <c r="H274" s="61">
        <f>-E271*E210</f>
        <v>3.4448199709873305E-2</v>
      </c>
    </row>
    <row r="275" spans="1:8">
      <c r="D275" s="41" t="s">
        <v>392</v>
      </c>
      <c r="E275" s="42">
        <f>E271*E272*E273/E274</f>
        <v>0.10394602282667334</v>
      </c>
      <c r="G275" s="41" t="s">
        <v>392</v>
      </c>
      <c r="H275" s="42">
        <f>SUM(H272:H274)</f>
        <v>0.10394602282667334</v>
      </c>
    </row>
    <row r="277" spans="1:8">
      <c r="F277" s="46"/>
    </row>
    <row r="278" spans="1:8">
      <c r="A278" s="9" t="s">
        <v>178</v>
      </c>
      <c r="D278" s="9" t="s">
        <v>49</v>
      </c>
      <c r="E278" s="43" t="s">
        <v>92</v>
      </c>
    </row>
    <row r="279" spans="1:8">
      <c r="A279" s="242" t="s">
        <v>478</v>
      </c>
      <c r="B279" s="242"/>
      <c r="C279" s="242"/>
      <c r="D279" s="190" t="s">
        <v>52</v>
      </c>
      <c r="E279" s="45">
        <f>E$203</f>
        <v>1.6837359648505981E-2</v>
      </c>
    </row>
    <row r="280" spans="1:8">
      <c r="D280" s="190" t="s">
        <v>479</v>
      </c>
      <c r="E280" s="45">
        <f>E$210</f>
        <v>-3.4448199709873305E-2</v>
      </c>
    </row>
    <row r="281" spans="1:8">
      <c r="D281" s="190" t="s">
        <v>55</v>
      </c>
      <c r="E281" s="45">
        <f>E$217</f>
        <v>0.10744620374707013</v>
      </c>
    </row>
    <row r="282" spans="1:8">
      <c r="D282" s="190" t="s">
        <v>56</v>
      </c>
      <c r="E282" s="45">
        <f>E$227</f>
        <v>-9.4334910156830543E-3</v>
      </c>
    </row>
    <row r="283" spans="1:8">
      <c r="D283" s="190" t="s">
        <v>58</v>
      </c>
      <c r="E283" s="45">
        <f>E$239</f>
        <v>6.8214188734108824E-2</v>
      </c>
    </row>
    <row r="284" spans="1:8">
      <c r="D284" s="190" t="s">
        <v>60</v>
      </c>
      <c r="E284" s="45">
        <f>E248</f>
        <v>0.10156522983284834</v>
      </c>
    </row>
    <row r="285" spans="1:8">
      <c r="D285" s="190" t="s">
        <v>392</v>
      </c>
      <c r="E285" s="45">
        <f>E275</f>
        <v>0.10394602282667334</v>
      </c>
    </row>
    <row r="286" spans="1:8">
      <c r="D286" s="41" t="s">
        <v>164</v>
      </c>
      <c r="E286" s="42">
        <f>SUM(E279:E285)</f>
        <v>0.35412731406365028</v>
      </c>
      <c r="F286" s="26"/>
    </row>
    <row r="287" spans="1:8">
      <c r="B287" s="9"/>
    </row>
    <row r="288" spans="1:8">
      <c r="A288" s="9" t="s">
        <v>179</v>
      </c>
      <c r="D288" s="9" t="s">
        <v>49</v>
      </c>
      <c r="E288" s="43" t="s">
        <v>92</v>
      </c>
      <c r="F288" s="44"/>
    </row>
    <row r="289" spans="1:8">
      <c r="D289" s="190" t="s">
        <v>61</v>
      </c>
      <c r="E289" s="19">
        <f>B4</f>
        <v>1</v>
      </c>
    </row>
    <row r="290" spans="1:8">
      <c r="D290" s="190" t="s">
        <v>52</v>
      </c>
      <c r="E290" s="49">
        <f>E203</f>
        <v>1.6837359648505981E-2</v>
      </c>
    </row>
    <row r="291" spans="1:8">
      <c r="D291" s="190" t="s">
        <v>396</v>
      </c>
      <c r="E291" s="50">
        <f>E289*E80</f>
        <v>6.7256390826825996E-2</v>
      </c>
    </row>
    <row r="292" spans="1:8">
      <c r="D292" s="190" t="s">
        <v>393</v>
      </c>
      <c r="E292" s="50">
        <f>-E289*E267</f>
        <v>2.2414322899740402E-3</v>
      </c>
    </row>
    <row r="293" spans="1:8">
      <c r="D293" s="190" t="s">
        <v>477</v>
      </c>
      <c r="E293" s="50">
        <f>(1-E289)*E210</f>
        <v>0</v>
      </c>
    </row>
    <row r="294" spans="1:8">
      <c r="D294" s="190" t="s">
        <v>447</v>
      </c>
      <c r="E294" s="50">
        <f>E217</f>
        <v>0.10744620374707013</v>
      </c>
    </row>
    <row r="295" spans="1:8">
      <c r="D295" s="190" t="s">
        <v>448</v>
      </c>
      <c r="E295" s="50">
        <f>E227</f>
        <v>-9.4334910156830543E-3</v>
      </c>
    </row>
    <row r="296" spans="1:8">
      <c r="D296" s="190" t="s">
        <v>394</v>
      </c>
      <c r="E296" s="49">
        <f>E239</f>
        <v>6.8214188734108824E-2</v>
      </c>
    </row>
    <row r="297" spans="1:8">
      <c r="C297" s="49"/>
      <c r="D297" s="190" t="s">
        <v>395</v>
      </c>
      <c r="E297" s="49">
        <f>E260</f>
        <v>0.10156522983284869</v>
      </c>
    </row>
    <row r="298" spans="1:8">
      <c r="C298" s="49"/>
      <c r="D298" s="41" t="s">
        <v>165</v>
      </c>
      <c r="E298" s="42">
        <f>SUM(E290:E297)</f>
        <v>0.35412731406365061</v>
      </c>
    </row>
    <row r="299" spans="1:8">
      <c r="A299" s="9" t="s">
        <v>397</v>
      </c>
    </row>
    <row r="300" spans="1:8">
      <c r="D300" s="9" t="s">
        <v>49</v>
      </c>
      <c r="E300" s="43" t="s">
        <v>92</v>
      </c>
    </row>
    <row r="301" spans="1:8">
      <c r="D301" s="4" t="s">
        <v>61</v>
      </c>
      <c r="E301" s="19">
        <f>E289</f>
        <v>1</v>
      </c>
    </row>
    <row r="302" spans="1:8">
      <c r="D302" s="4" t="s">
        <v>52</v>
      </c>
      <c r="E302" s="59">
        <f>E$203</f>
        <v>1.6837359648505981E-2</v>
      </c>
    </row>
    <row r="303" spans="1:8">
      <c r="D303" s="4" t="s">
        <v>173</v>
      </c>
      <c r="E303" s="59">
        <f>-E301*E267</f>
        <v>2.2414322899740402E-3</v>
      </c>
    </row>
    <row r="304" spans="1:8">
      <c r="D304" s="4" t="s">
        <v>476</v>
      </c>
      <c r="E304" s="59">
        <f>(1-E301)*E$210</f>
        <v>0</v>
      </c>
      <c r="H304" s="26"/>
    </row>
    <row r="305" spans="1:16">
      <c r="D305" s="4" t="s">
        <v>55</v>
      </c>
      <c r="E305" s="59">
        <f>E217</f>
        <v>0.10744620374707013</v>
      </c>
    </row>
    <row r="306" spans="1:16">
      <c r="D306" s="4" t="s">
        <v>56</v>
      </c>
      <c r="E306" s="45">
        <f>E$227</f>
        <v>-9.4334910156830543E-3</v>
      </c>
    </row>
    <row r="307" spans="1:16">
      <c r="D307" s="4" t="s">
        <v>319</v>
      </c>
      <c r="E307" s="59">
        <f>E239+E260</f>
        <v>0.1697794185669575</v>
      </c>
    </row>
    <row r="308" spans="1:16">
      <c r="D308" s="4" t="s">
        <v>318</v>
      </c>
      <c r="E308" s="49">
        <f>E301*E79*E68</f>
        <v>6.7256390826825996E-2</v>
      </c>
    </row>
    <row r="309" spans="1:16">
      <c r="D309" s="41" t="s">
        <v>320</v>
      </c>
      <c r="E309" s="42">
        <f>SUM(E302:E308)</f>
        <v>0.35412731406365061</v>
      </c>
    </row>
    <row r="310" spans="1:16" ht="16.5" thickBot="1"/>
    <row r="311" spans="1:16" ht="18.75">
      <c r="A311" s="47"/>
      <c r="B311" s="47"/>
      <c r="C311" s="47"/>
      <c r="D311" s="47"/>
      <c r="E311" s="47"/>
      <c r="F311" s="47"/>
      <c r="G311" s="47"/>
      <c r="H311" s="47"/>
      <c r="I311" s="47"/>
      <c r="J311" s="30" t="s">
        <v>129</v>
      </c>
    </row>
    <row r="312" spans="1:16" ht="18.75">
      <c r="A312" s="30" t="s">
        <v>104</v>
      </c>
      <c r="B312" s="30" t="s">
        <v>130</v>
      </c>
      <c r="C312" s="48">
        <f>E193</f>
        <v>0</v>
      </c>
      <c r="D312" s="30" t="s">
        <v>131</v>
      </c>
      <c r="E312" s="48">
        <f>E217</f>
        <v>0.10744620374707013</v>
      </c>
      <c r="F312" s="30" t="s">
        <v>132</v>
      </c>
      <c r="G312" s="48">
        <f>E239</f>
        <v>6.8214188734108824E-2</v>
      </c>
      <c r="I312" s="49"/>
      <c r="J312" s="49">
        <f>SUM(C312:I312)</f>
        <v>0.17566039248117896</v>
      </c>
    </row>
    <row r="313" spans="1:16">
      <c r="A313" s="30"/>
      <c r="B313" s="30"/>
      <c r="C313" s="48"/>
      <c r="D313" s="30"/>
      <c r="E313" s="48"/>
      <c r="F313" s="4"/>
      <c r="G313" s="48"/>
      <c r="I313" s="49"/>
      <c r="J313" s="49"/>
    </row>
    <row r="314" spans="1:16" ht="18.75">
      <c r="A314" s="30" t="s">
        <v>105</v>
      </c>
      <c r="B314" s="30" t="s">
        <v>133</v>
      </c>
      <c r="C314" s="48">
        <f>E203</f>
        <v>1.6837359648505981E-2</v>
      </c>
      <c r="D314" s="30" t="s">
        <v>134</v>
      </c>
      <c r="E314" s="48">
        <f>E227</f>
        <v>-9.4334910156830543E-3</v>
      </c>
      <c r="F314" s="30" t="s">
        <v>135</v>
      </c>
      <c r="G314" s="48">
        <f>E248</f>
        <v>0.10156522983284834</v>
      </c>
      <c r="H314" s="30" t="s">
        <v>449</v>
      </c>
      <c r="I314" s="48">
        <f>E275</f>
        <v>0.10394602282667334</v>
      </c>
      <c r="J314" s="64">
        <f>SUM(C314:I315)</f>
        <v>0.17846692158247129</v>
      </c>
    </row>
    <row r="315" spans="1:16" ht="19.5" thickBot="1">
      <c r="A315" s="35"/>
      <c r="B315" s="35" t="s">
        <v>250</v>
      </c>
      <c r="C315" s="56">
        <f>E210</f>
        <v>-3.4448199709873305E-2</v>
      </c>
      <c r="D315" s="35"/>
      <c r="E315" s="56"/>
      <c r="F315" s="35"/>
      <c r="G315" s="56"/>
      <c r="H315" s="35"/>
      <c r="I315" s="56"/>
      <c r="K315" s="49">
        <f>SUM(J312:J315)</f>
        <v>0.35412731406365028</v>
      </c>
    </row>
    <row r="316" spans="1:16">
      <c r="A316" s="30" t="s">
        <v>110</v>
      </c>
      <c r="C316" s="48">
        <f>SUM(C312:C315)</f>
        <v>-1.7610840061367324E-2</v>
      </c>
      <c r="D316" s="5"/>
      <c r="E316" s="48">
        <f>SUM(E312:E315)</f>
        <v>9.8012712731387078E-2</v>
      </c>
      <c r="G316" s="48">
        <f>SUM(G312:G315)</f>
        <v>0.16977941856695716</v>
      </c>
      <c r="H316" s="5"/>
      <c r="I316" s="48">
        <f>SUM(I314:I315)</f>
        <v>0.10394602282667334</v>
      </c>
      <c r="J316" s="50">
        <f>SUM(C316:I316)</f>
        <v>0.35412731406365028</v>
      </c>
    </row>
    <row r="319" spans="1:16" s="2" customFormat="1">
      <c r="A319" s="9" t="s">
        <v>224</v>
      </c>
      <c r="B319" s="9"/>
      <c r="C319" s="9"/>
      <c r="D319" s="9"/>
      <c r="E319" s="9"/>
      <c r="F319" s="44"/>
      <c r="G319" s="9"/>
      <c r="H319" s="9"/>
      <c r="I319" s="9"/>
      <c r="J319" s="9"/>
      <c r="K319" s="9"/>
      <c r="L319" s="9"/>
      <c r="M319" s="9"/>
      <c r="N319" s="9"/>
      <c r="O319" s="9"/>
      <c r="P319" s="9"/>
    </row>
    <row r="320" spans="1:16">
      <c r="A320" s="4" t="s">
        <v>349</v>
      </c>
      <c r="B320" s="79">
        <f>B401</f>
        <v>35460</v>
      </c>
      <c r="C320" s="4" t="s">
        <v>157</v>
      </c>
      <c r="G320" s="5"/>
    </row>
    <row r="321" spans="1:7">
      <c r="A321" s="4" t="s">
        <v>350</v>
      </c>
      <c r="B321" s="80">
        <v>14</v>
      </c>
      <c r="C321" s="4" t="s">
        <v>67</v>
      </c>
      <c r="G321" s="5"/>
    </row>
    <row r="322" spans="1:7">
      <c r="A322" s="4" t="s">
        <v>351</v>
      </c>
      <c r="B322" s="80">
        <f>A351</f>
        <v>25</v>
      </c>
      <c r="C322" s="4" t="s">
        <v>22</v>
      </c>
      <c r="G322" s="5" t="s">
        <v>358</v>
      </c>
    </row>
    <row r="323" spans="1:7">
      <c r="A323" s="4" t="s">
        <v>352</v>
      </c>
      <c r="B323" s="79">
        <v>34000</v>
      </c>
      <c r="C323" s="4" t="s">
        <v>65</v>
      </c>
      <c r="G323" s="5"/>
    </row>
    <row r="324" spans="1:7">
      <c r="A324" s="4" t="s">
        <v>353</v>
      </c>
      <c r="B324" s="79">
        <f>C401</f>
        <v>35255</v>
      </c>
      <c r="C324" s="4" t="s">
        <v>157</v>
      </c>
      <c r="G324" s="5"/>
    </row>
    <row r="325" spans="1:7">
      <c r="A325" s="26" t="s">
        <v>354</v>
      </c>
      <c r="B325" s="80">
        <v>14</v>
      </c>
      <c r="C325" s="4" t="s">
        <v>67</v>
      </c>
      <c r="E325" s="26"/>
      <c r="G325" s="5"/>
    </row>
    <row r="326" spans="1:7">
      <c r="A326" s="26" t="s">
        <v>355</v>
      </c>
      <c r="B326" s="80">
        <f>E351</f>
        <v>42</v>
      </c>
      <c r="C326" s="4" t="s">
        <v>22</v>
      </c>
      <c r="E326" s="26"/>
      <c r="G326" s="5"/>
    </row>
    <row r="327" spans="1:7">
      <c r="A327" s="4" t="s">
        <v>356</v>
      </c>
      <c r="B327" s="79">
        <v>40000</v>
      </c>
      <c r="C327" s="4" t="s">
        <v>65</v>
      </c>
      <c r="D327" s="4" t="s">
        <v>287</v>
      </c>
      <c r="G327" s="5"/>
    </row>
    <row r="328" spans="1:7">
      <c r="A328" s="4" t="s">
        <v>159</v>
      </c>
      <c r="B328" s="79">
        <f>B341</f>
        <v>12416</v>
      </c>
      <c r="C328" s="4" t="s">
        <v>160</v>
      </c>
      <c r="G328" s="5"/>
    </row>
    <row r="329" spans="1:7">
      <c r="B329" s="22"/>
      <c r="D329" s="81"/>
    </row>
    <row r="332" spans="1:7">
      <c r="A332" s="9" t="s">
        <v>222</v>
      </c>
    </row>
    <row r="333" spans="1:7">
      <c r="A333" s="4" t="s">
        <v>217</v>
      </c>
      <c r="B333" s="4" t="s">
        <v>218</v>
      </c>
    </row>
    <row r="334" spans="1:7">
      <c r="B334" s="4" t="s">
        <v>223</v>
      </c>
    </row>
    <row r="336" spans="1:7">
      <c r="A336" s="9" t="s">
        <v>219</v>
      </c>
    </row>
    <row r="337" spans="1:10">
      <c r="B337" s="4" t="s">
        <v>209</v>
      </c>
      <c r="C337" s="4" t="s">
        <v>210</v>
      </c>
      <c r="D337" s="81" t="s">
        <v>208</v>
      </c>
    </row>
    <row r="338" spans="1:10">
      <c r="J338" s="81"/>
    </row>
    <row r="339" spans="1:10">
      <c r="A339" s="9" t="s">
        <v>220</v>
      </c>
      <c r="H339" s="4" t="s">
        <v>377</v>
      </c>
      <c r="I339" s="22">
        <v>190625023</v>
      </c>
      <c r="J339" s="4">
        <f>I339/I340</f>
        <v>0.86070605755887586</v>
      </c>
    </row>
    <row r="340" spans="1:10">
      <c r="B340" s="22">
        <v>13476</v>
      </c>
      <c r="C340" s="4" t="s">
        <v>212</v>
      </c>
      <c r="D340" s="81" t="s">
        <v>211</v>
      </c>
      <c r="H340" s="4" t="s">
        <v>378</v>
      </c>
      <c r="I340" s="22">
        <v>221475173</v>
      </c>
    </row>
    <row r="341" spans="1:10">
      <c r="B341" s="22">
        <v>12416</v>
      </c>
      <c r="C341" s="4" t="s">
        <v>292</v>
      </c>
      <c r="D341" s="81"/>
      <c r="H341" s="4" t="s">
        <v>379</v>
      </c>
      <c r="I341" s="22">
        <v>14425</v>
      </c>
    </row>
    <row r="342" spans="1:10">
      <c r="H342" s="4" t="s">
        <v>380</v>
      </c>
      <c r="I342" s="141">
        <f>I341*I339/I340</f>
        <v>12415.684880286784</v>
      </c>
    </row>
    <row r="343" spans="1:10">
      <c r="A343" s="9" t="s">
        <v>221</v>
      </c>
    </row>
    <row r="345" spans="1:10">
      <c r="A345" s="81"/>
      <c r="D345" s="81"/>
    </row>
    <row r="347" spans="1:10">
      <c r="A347" s="9" t="s">
        <v>345</v>
      </c>
      <c r="D347" s="9" t="s">
        <v>346</v>
      </c>
    </row>
    <row r="348" spans="1:10">
      <c r="A348" s="4" t="s">
        <v>288</v>
      </c>
      <c r="E348" s="4" t="s">
        <v>288</v>
      </c>
      <c r="F348" s="4"/>
    </row>
    <row r="349" spans="1:10">
      <c r="A349" s="109"/>
      <c r="B349" s="10"/>
      <c r="C349" s="10"/>
      <c r="D349" s="10"/>
      <c r="E349" s="109"/>
      <c r="F349" s="4"/>
    </row>
    <row r="350" spans="1:10">
      <c r="A350" s="4" t="s">
        <v>289</v>
      </c>
      <c r="B350" s="4" t="s">
        <v>213</v>
      </c>
      <c r="E350" s="4" t="s">
        <v>215</v>
      </c>
      <c r="F350" s="4" t="s">
        <v>213</v>
      </c>
    </row>
    <row r="351" spans="1:10">
      <c r="A351" s="4">
        <v>25</v>
      </c>
      <c r="B351" s="4" t="s">
        <v>421</v>
      </c>
      <c r="E351" s="4">
        <v>42</v>
      </c>
      <c r="F351" s="4" t="s">
        <v>421</v>
      </c>
    </row>
    <row r="352" spans="1:10">
      <c r="A352" s="4" t="s">
        <v>290</v>
      </c>
      <c r="B352" s="4" t="s">
        <v>214</v>
      </c>
      <c r="E352" s="4" t="s">
        <v>216</v>
      </c>
      <c r="F352" s="4" t="s">
        <v>214</v>
      </c>
    </row>
    <row r="396" spans="1:21">
      <c r="A396" s="4" t="s">
        <v>438</v>
      </c>
      <c r="E396" s="4" t="s">
        <v>438</v>
      </c>
      <c r="Q396" s="4"/>
      <c r="R396" s="4"/>
      <c r="S396" s="4"/>
      <c r="T396" s="4"/>
      <c r="U396" s="4"/>
    </row>
    <row r="397" spans="1:21">
      <c r="A397" s="81" t="s">
        <v>439</v>
      </c>
      <c r="E397" s="81" t="s">
        <v>440</v>
      </c>
      <c r="Q397" s="4"/>
      <c r="R397" s="4"/>
      <c r="S397" s="4"/>
      <c r="T397" s="4"/>
      <c r="U397" s="4"/>
    </row>
    <row r="398" spans="1:21">
      <c r="A398" s="81"/>
      <c r="B398" s="4">
        <v>2020</v>
      </c>
      <c r="C398" s="4">
        <v>2020</v>
      </c>
      <c r="E398" s="134"/>
      <c r="F398" s="134"/>
    </row>
    <row r="399" spans="1:21" ht="30">
      <c r="A399" s="9" t="s">
        <v>271</v>
      </c>
      <c r="B399" s="180" t="s">
        <v>291</v>
      </c>
      <c r="C399" s="180" t="s">
        <v>344</v>
      </c>
      <c r="E399" s="134"/>
      <c r="F399" s="134"/>
    </row>
    <row r="400" spans="1:21">
      <c r="A400" s="4" t="s">
        <v>268</v>
      </c>
      <c r="B400" s="108">
        <v>35460</v>
      </c>
      <c r="C400" s="108">
        <v>35255</v>
      </c>
      <c r="D400" s="93"/>
      <c r="E400" s="135"/>
      <c r="F400" s="135"/>
    </row>
    <row r="401" spans="1:6">
      <c r="A401" s="9" t="s">
        <v>270</v>
      </c>
      <c r="B401" s="93">
        <f>B400</f>
        <v>35460</v>
      </c>
      <c r="C401" s="93">
        <f>C400</f>
        <v>35255</v>
      </c>
      <c r="D401" s="93"/>
      <c r="E401" s="135"/>
      <c r="F401" s="135"/>
    </row>
    <row r="402" spans="1:6">
      <c r="B402" s="92"/>
      <c r="C402" s="92"/>
      <c r="D402" s="92"/>
      <c r="E402" s="136"/>
      <c r="F402" s="136"/>
    </row>
    <row r="403" spans="1:6">
      <c r="A403" s="9" t="s">
        <v>272</v>
      </c>
      <c r="B403" s="92"/>
      <c r="C403" s="92"/>
      <c r="D403" s="92"/>
      <c r="E403" s="136"/>
      <c r="F403" s="136"/>
    </row>
    <row r="404" spans="1:6">
      <c r="A404" s="4" t="s">
        <v>263</v>
      </c>
      <c r="B404" s="92"/>
      <c r="C404" s="92"/>
      <c r="D404" s="92"/>
      <c r="E404" s="136"/>
      <c r="F404" s="136"/>
    </row>
    <row r="405" spans="1:6">
      <c r="A405" s="4" t="s">
        <v>264</v>
      </c>
      <c r="B405" s="92"/>
      <c r="C405" s="92"/>
      <c r="D405" s="92"/>
      <c r="E405" s="136"/>
      <c r="F405" s="136"/>
    </row>
    <row r="406" spans="1:6">
      <c r="A406" s="4" t="s">
        <v>265</v>
      </c>
      <c r="B406" s="92"/>
      <c r="C406" s="92"/>
      <c r="D406" s="92"/>
      <c r="E406" s="136"/>
      <c r="F406" s="136"/>
    </row>
    <row r="407" spans="1:6">
      <c r="A407" s="4" t="s">
        <v>266</v>
      </c>
      <c r="B407" s="92"/>
      <c r="C407" s="92"/>
      <c r="D407" s="92"/>
      <c r="E407" s="136"/>
      <c r="F407" s="136"/>
    </row>
    <row r="408" spans="1:6">
      <c r="A408" s="4" t="s">
        <v>269</v>
      </c>
      <c r="B408" s="92"/>
      <c r="C408" s="92"/>
      <c r="D408" s="92"/>
      <c r="E408" s="136"/>
      <c r="F408" s="136"/>
    </row>
    <row r="409" spans="1:6">
      <c r="A409" s="4" t="s">
        <v>267</v>
      </c>
      <c r="B409" s="92"/>
      <c r="C409" s="92"/>
      <c r="D409" s="92"/>
      <c r="E409" s="136"/>
      <c r="F409" s="136"/>
    </row>
    <row r="410" spans="1:6">
      <c r="A410" s="4" t="s">
        <v>262</v>
      </c>
      <c r="B410" s="92"/>
      <c r="C410" s="92"/>
      <c r="D410" s="93"/>
      <c r="E410" s="135"/>
      <c r="F410" s="135"/>
    </row>
    <row r="454" spans="1:7">
      <c r="C454" s="4">
        <f>31381+5705-(31381-18973)</f>
        <v>24678</v>
      </c>
    </row>
    <row r="456" spans="1:7">
      <c r="C456" s="4">
        <f>5705/31381</f>
        <v>0.18179790318982825</v>
      </c>
    </row>
    <row r="457" spans="1:7">
      <c r="C457" s="50"/>
      <c r="G457" s="4">
        <f>34444+6262-(34444-21573)</f>
        <v>27835</v>
      </c>
    </row>
    <row r="458" spans="1:7">
      <c r="C458" s="50"/>
      <c r="G458" s="4">
        <f>6262/34444</f>
        <v>0.18180234583672047</v>
      </c>
    </row>
    <row r="459" spans="1:7">
      <c r="C459" s="50"/>
    </row>
    <row r="460" spans="1:7">
      <c r="C460" s="50"/>
    </row>
    <row r="464" spans="1:7">
      <c r="A464" s="4" t="s">
        <v>323</v>
      </c>
    </row>
    <row r="465" spans="1:9">
      <c r="A465" s="43" t="s">
        <v>303</v>
      </c>
      <c r="B465" s="43" t="s">
        <v>329</v>
      </c>
      <c r="C465" s="43" t="s">
        <v>294</v>
      </c>
      <c r="D465" s="43" t="s">
        <v>295</v>
      </c>
      <c r="E465" s="43" t="s">
        <v>296</v>
      </c>
      <c r="F465" s="43" t="s">
        <v>297</v>
      </c>
      <c r="G465" s="43" t="s">
        <v>298</v>
      </c>
      <c r="H465" s="43" t="s">
        <v>321</v>
      </c>
      <c r="I465" s="43" t="s">
        <v>322</v>
      </c>
    </row>
    <row r="466" spans="1:9">
      <c r="A466" s="4" t="s">
        <v>327</v>
      </c>
      <c r="B466" s="129">
        <v>35460</v>
      </c>
      <c r="C466" s="129">
        <f>B401</f>
        <v>35460</v>
      </c>
    </row>
    <row r="467" spans="1:9">
      <c r="A467" s="4" t="s">
        <v>324</v>
      </c>
      <c r="B467" s="129">
        <v>6445</v>
      </c>
      <c r="C467" s="129">
        <v>2205</v>
      </c>
      <c r="D467" s="129">
        <v>1782</v>
      </c>
      <c r="E467" s="129">
        <v>1324</v>
      </c>
      <c r="F467" s="130">
        <v>833</v>
      </c>
      <c r="G467" s="129">
        <v>302</v>
      </c>
      <c r="H467" s="129">
        <v>0</v>
      </c>
      <c r="I467" s="129">
        <v>0</v>
      </c>
    </row>
    <row r="468" spans="1:9">
      <c r="A468" s="4" t="s">
        <v>325</v>
      </c>
      <c r="B468" s="129">
        <v>26999</v>
      </c>
      <c r="C468" s="129">
        <v>15494</v>
      </c>
      <c r="D468" s="129">
        <v>1902</v>
      </c>
      <c r="E468" s="129">
        <v>1801</v>
      </c>
      <c r="F468" s="130">
        <v>2113</v>
      </c>
      <c r="G468" s="129">
        <v>2001</v>
      </c>
      <c r="H468" s="129">
        <f>G468*G469</f>
        <v>1894.9365830572647</v>
      </c>
      <c r="I468" s="129">
        <f>H468*H469</f>
        <v>1794.4950793646885</v>
      </c>
    </row>
    <row r="469" spans="1:9">
      <c r="A469" s="4" t="s">
        <v>326</v>
      </c>
      <c r="B469" s="131">
        <f>B468 + B467</f>
        <v>33444</v>
      </c>
      <c r="C469" s="131">
        <f>B469/7</f>
        <v>4777.7142857142853</v>
      </c>
      <c r="D469" s="131"/>
      <c r="E469" s="132">
        <f>E468/D468</f>
        <v>0.94689800210304942</v>
      </c>
      <c r="F469" s="131"/>
      <c r="G469" s="132">
        <f>G468/F468</f>
        <v>0.94699479413156651</v>
      </c>
      <c r="H469" s="132">
        <f>H468/G468</f>
        <v>0.94699479413156651</v>
      </c>
    </row>
    <row r="471" spans="1:9">
      <c r="A471" s="43" t="s">
        <v>347</v>
      </c>
      <c r="B471" s="43" t="s">
        <v>329</v>
      </c>
      <c r="C471" s="43" t="s">
        <v>294</v>
      </c>
      <c r="D471" s="43" t="s">
        <v>295</v>
      </c>
      <c r="E471" s="43" t="s">
        <v>296</v>
      </c>
      <c r="F471" s="43" t="s">
        <v>297</v>
      </c>
      <c r="G471" s="43" t="s">
        <v>298</v>
      </c>
      <c r="H471" s="43" t="s">
        <v>321</v>
      </c>
      <c r="I471" s="43" t="s">
        <v>322</v>
      </c>
    </row>
    <row r="472" spans="1:9">
      <c r="A472" s="4" t="s">
        <v>327</v>
      </c>
      <c r="B472" s="129">
        <v>35255</v>
      </c>
      <c r="C472" s="129">
        <f>B472</f>
        <v>35255</v>
      </c>
    </row>
    <row r="473" spans="1:9">
      <c r="A473" s="4" t="s">
        <v>328</v>
      </c>
      <c r="B473" s="129"/>
      <c r="C473" s="129"/>
    </row>
    <row r="474" spans="1:9">
      <c r="A474" s="4" t="s">
        <v>324</v>
      </c>
      <c r="B474" s="129">
        <v>6410</v>
      </c>
      <c r="C474" s="129">
        <v>2192</v>
      </c>
      <c r="D474" s="129">
        <v>1772</v>
      </c>
      <c r="E474" s="129">
        <v>1317</v>
      </c>
      <c r="F474" s="130">
        <v>827</v>
      </c>
      <c r="G474" s="129">
        <v>301</v>
      </c>
      <c r="H474" s="129">
        <v>0</v>
      </c>
      <c r="I474" s="129">
        <v>0</v>
      </c>
    </row>
    <row r="475" spans="1:9">
      <c r="A475" s="4" t="s">
        <v>325</v>
      </c>
      <c r="B475" s="129">
        <v>26625</v>
      </c>
      <c r="C475" s="129">
        <v>14741</v>
      </c>
      <c r="D475" s="129">
        <v>1966</v>
      </c>
      <c r="E475" s="129">
        <v>1860</v>
      </c>
      <c r="F475" s="130">
        <v>2182</v>
      </c>
      <c r="G475" s="129">
        <v>2067</v>
      </c>
      <c r="H475" s="129">
        <f>G475*G476</f>
        <v>1958.0609532538956</v>
      </c>
      <c r="I475" s="129">
        <f>H475*H476</f>
        <v>1854.8634236369396</v>
      </c>
    </row>
    <row r="476" spans="1:9">
      <c r="A476" s="4" t="s">
        <v>326</v>
      </c>
      <c r="B476" s="131">
        <f>-B473+B475 + B474</f>
        <v>33035</v>
      </c>
      <c r="C476" s="131">
        <f>B476/7</f>
        <v>4719.2857142857147</v>
      </c>
      <c r="D476" s="131"/>
      <c r="E476" s="132">
        <f>E475/D475</f>
        <v>0.94608341810783314</v>
      </c>
      <c r="F476" s="131"/>
      <c r="G476" s="132">
        <f>G475/F475</f>
        <v>0.94729605866177824</v>
      </c>
      <c r="H476" s="132">
        <f>H475/G475</f>
        <v>0.94729605866177824</v>
      </c>
    </row>
    <row r="478" spans="1:9">
      <c r="A478" s="81" t="s">
        <v>548</v>
      </c>
    </row>
    <row r="479" spans="1:9">
      <c r="A479" t="s">
        <v>549</v>
      </c>
    </row>
    <row r="494" spans="1:17" s="2" customFormat="1">
      <c r="A494" s="43" t="s">
        <v>303</v>
      </c>
      <c r="B494" s="43" t="s">
        <v>555</v>
      </c>
      <c r="C494" s="43" t="s">
        <v>294</v>
      </c>
      <c r="D494" s="43" t="s">
        <v>295</v>
      </c>
      <c r="E494" s="43" t="s">
        <v>296</v>
      </c>
      <c r="F494" s="43" t="s">
        <v>297</v>
      </c>
      <c r="G494" s="43" t="s">
        <v>298</v>
      </c>
      <c r="H494" s="43" t="s">
        <v>321</v>
      </c>
      <c r="I494" s="43" t="s">
        <v>322</v>
      </c>
      <c r="J494" s="43" t="s">
        <v>541</v>
      </c>
      <c r="K494" s="43" t="s">
        <v>542</v>
      </c>
      <c r="L494" s="43" t="s">
        <v>543</v>
      </c>
      <c r="M494" s="43" t="s">
        <v>544</v>
      </c>
      <c r="N494" s="43" t="s">
        <v>545</v>
      </c>
      <c r="O494" s="43" t="s">
        <v>546</v>
      </c>
      <c r="P494" s="43" t="s">
        <v>547</v>
      </c>
      <c r="Q494"/>
    </row>
    <row r="495" spans="1:17">
      <c r="A495" s="30" t="s">
        <v>299</v>
      </c>
      <c r="B495" s="115"/>
      <c r="C495" s="115">
        <v>893</v>
      </c>
      <c r="D495" s="115">
        <v>924</v>
      </c>
      <c r="E495" s="115">
        <v>957</v>
      </c>
      <c r="F495" s="115">
        <v>990</v>
      </c>
      <c r="G495" s="115">
        <v>1025</v>
      </c>
      <c r="H495" s="112">
        <f>G495/F495*G495</f>
        <v>1061.2373737373737</v>
      </c>
      <c r="I495" s="112">
        <f>H495/G495*H495</f>
        <v>1098.7558667482908</v>
      </c>
    </row>
    <row r="496" spans="1:17">
      <c r="A496" s="30" t="s">
        <v>300</v>
      </c>
      <c r="B496" s="115"/>
      <c r="C496" s="115">
        <v>202</v>
      </c>
      <c r="D496" s="115">
        <v>576</v>
      </c>
      <c r="E496" s="115">
        <v>352</v>
      </c>
      <c r="F496" s="115">
        <v>845</v>
      </c>
      <c r="G496" s="115">
        <v>1406</v>
      </c>
      <c r="H496" s="112">
        <f>G496+(G496-E496)/2</f>
        <v>1933</v>
      </c>
      <c r="I496" s="112">
        <f>H496+(G496-E496)/2</f>
        <v>2460</v>
      </c>
    </row>
    <row r="497" spans="1:17">
      <c r="A497" s="30" t="s">
        <v>301</v>
      </c>
      <c r="B497" s="115"/>
      <c r="C497" s="115">
        <v>0</v>
      </c>
      <c r="D497" s="115">
        <v>0</v>
      </c>
      <c r="E497" s="115">
        <v>114</v>
      </c>
      <c r="F497" s="115">
        <v>270</v>
      </c>
      <c r="G497" s="115">
        <v>394</v>
      </c>
      <c r="H497" s="112">
        <f>G497/F497*G497</f>
        <v>574.94814814814811</v>
      </c>
      <c r="I497" s="112">
        <f>H497/G497*H497</f>
        <v>838.99840877914949</v>
      </c>
    </row>
    <row r="498" spans="1:17">
      <c r="A498" s="30" t="s">
        <v>302</v>
      </c>
      <c r="B498" s="115"/>
      <c r="C498" s="115">
        <v>1763</v>
      </c>
      <c r="D498" s="115">
        <v>73</v>
      </c>
      <c r="E498" s="115">
        <v>73</v>
      </c>
      <c r="F498" s="115">
        <v>73</v>
      </c>
      <c r="G498" s="115">
        <v>73</v>
      </c>
      <c r="H498" s="112">
        <f>G498</f>
        <v>73</v>
      </c>
      <c r="I498" s="112">
        <f>H498</f>
        <v>73</v>
      </c>
    </row>
    <row r="499" spans="1:17">
      <c r="A499" s="43" t="s">
        <v>305</v>
      </c>
      <c r="B499" s="189">
        <f>AVERAGE(C499:Q499)</f>
        <v>5049.5464768150987</v>
      </c>
      <c r="C499" s="116">
        <f>SUM(C495:C498)</f>
        <v>2858</v>
      </c>
      <c r="D499" s="116">
        <f t="shared" ref="D499:I499" si="5">SUM(D495:D498)</f>
        <v>1573</v>
      </c>
      <c r="E499" s="116">
        <f t="shared" si="5"/>
        <v>1496</v>
      </c>
      <c r="F499" s="116">
        <f t="shared" si="5"/>
        <v>2178</v>
      </c>
      <c r="G499" s="116">
        <f t="shared" si="5"/>
        <v>2898</v>
      </c>
      <c r="H499" s="116">
        <f t="shared" si="5"/>
        <v>3642.1855218855217</v>
      </c>
      <c r="I499" s="116">
        <f t="shared" si="5"/>
        <v>4470.7542755274408</v>
      </c>
      <c r="J499" s="112">
        <f>I499+I499-H499</f>
        <v>5299.3230291693599</v>
      </c>
      <c r="K499" s="112">
        <f t="shared" ref="K499:L499" si="6">J499+J499-I499</f>
        <v>6127.891782811279</v>
      </c>
      <c r="L499" s="112">
        <f t="shared" si="6"/>
        <v>6956.4605364531981</v>
      </c>
      <c r="M499" s="112">
        <f>L499+(L499-K499)*M500</f>
        <v>7702.1724147309251</v>
      </c>
      <c r="N499" s="112">
        <f t="shared" ref="N499:P499" si="7">M499+(M499-L499)*N500</f>
        <v>8261.4563234392208</v>
      </c>
      <c r="O499" s="112">
        <f t="shared" si="7"/>
        <v>8569.0624732287833</v>
      </c>
      <c r="P499" s="112">
        <f t="shared" si="7"/>
        <v>8661.3443181656512</v>
      </c>
    </row>
    <row r="500" spans="1:17">
      <c r="A500" s="30"/>
      <c r="B500" s="115"/>
      <c r="C500" s="30"/>
      <c r="D500" s="30"/>
      <c r="E500" s="30"/>
      <c r="F500" s="30"/>
      <c r="G500" s="30"/>
      <c r="M500" s="4">
        <v>0.9</v>
      </c>
      <c r="N500" s="4">
        <v>0.75</v>
      </c>
      <c r="O500" s="4">
        <v>0.55000000000000004</v>
      </c>
      <c r="P500" s="4">
        <v>0.3</v>
      </c>
    </row>
    <row r="501" spans="1:17" s="2" customFormat="1">
      <c r="A501" s="43" t="s">
        <v>304</v>
      </c>
      <c r="B501" s="43" t="s">
        <v>555</v>
      </c>
      <c r="C501" s="43" t="s">
        <v>294</v>
      </c>
      <c r="D501" s="43" t="s">
        <v>295</v>
      </c>
      <c r="E501" s="43" t="s">
        <v>296</v>
      </c>
      <c r="F501" s="43" t="s">
        <v>297</v>
      </c>
      <c r="G501" s="43" t="s">
        <v>298</v>
      </c>
      <c r="H501" s="43" t="s">
        <v>321</v>
      </c>
      <c r="I501" s="43" t="s">
        <v>322</v>
      </c>
      <c r="J501" s="43" t="s">
        <v>541</v>
      </c>
      <c r="K501" s="43" t="s">
        <v>542</v>
      </c>
      <c r="L501" s="43" t="s">
        <v>543</v>
      </c>
      <c r="M501" s="43" t="s">
        <v>544</v>
      </c>
      <c r="N501" s="43" t="s">
        <v>545</v>
      </c>
      <c r="O501" s="43" t="s">
        <v>546</v>
      </c>
      <c r="P501" s="43" t="s">
        <v>547</v>
      </c>
      <c r="Q501"/>
    </row>
    <row r="502" spans="1:17">
      <c r="A502" s="30" t="s">
        <v>299</v>
      </c>
      <c r="B502" s="115"/>
      <c r="C502" s="112">
        <v>923</v>
      </c>
      <c r="D502" s="112">
        <v>955</v>
      </c>
      <c r="E502" s="112">
        <v>989</v>
      </c>
      <c r="F502" s="112">
        <v>1023</v>
      </c>
      <c r="G502" s="113">
        <v>1059</v>
      </c>
      <c r="H502" s="112">
        <f>G502/F502*G502</f>
        <v>1096.266862170088</v>
      </c>
      <c r="I502" s="112">
        <f>H502/G502*H502</f>
        <v>1134.8451681702084</v>
      </c>
    </row>
    <row r="503" spans="1:17">
      <c r="A503" s="30" t="s">
        <v>300</v>
      </c>
      <c r="B503" s="115"/>
      <c r="C503" s="112">
        <v>222</v>
      </c>
      <c r="D503" s="112">
        <v>612</v>
      </c>
      <c r="E503" s="112">
        <v>386</v>
      </c>
      <c r="F503" s="112">
        <v>883</v>
      </c>
      <c r="G503" s="113">
        <v>1330</v>
      </c>
      <c r="H503" s="112">
        <f>G503+(G503-E503)/2</f>
        <v>1802</v>
      </c>
      <c r="I503" s="112">
        <f>H503+(G503-E503)/2</f>
        <v>2274</v>
      </c>
    </row>
    <row r="504" spans="1:17">
      <c r="A504" s="30" t="s">
        <v>301</v>
      </c>
      <c r="B504" s="115"/>
      <c r="C504" s="112">
        <v>0</v>
      </c>
      <c r="D504" s="112">
        <v>0</v>
      </c>
      <c r="E504" s="112">
        <v>101</v>
      </c>
      <c r="F504" s="112">
        <v>241</v>
      </c>
      <c r="G504" s="113">
        <v>351</v>
      </c>
      <c r="H504" s="112">
        <f>G504/F504*G504</f>
        <v>511.207468879668</v>
      </c>
      <c r="I504" s="112">
        <f>H504/G504*H504</f>
        <v>744.53867874175705</v>
      </c>
    </row>
    <row r="505" spans="1:17">
      <c r="A505" s="30" t="s">
        <v>302</v>
      </c>
      <c r="B505" s="115"/>
      <c r="C505" s="112">
        <v>1772</v>
      </c>
      <c r="D505" s="112">
        <v>93</v>
      </c>
      <c r="E505" s="112">
        <v>93</v>
      </c>
      <c r="F505" s="112">
        <v>93</v>
      </c>
      <c r="G505" s="113">
        <v>93</v>
      </c>
      <c r="H505" s="112">
        <f>G505</f>
        <v>93</v>
      </c>
      <c r="I505" s="112">
        <f>H505</f>
        <v>93</v>
      </c>
    </row>
    <row r="506" spans="1:17">
      <c r="A506" s="43" t="s">
        <v>305</v>
      </c>
      <c r="B506" s="189">
        <f>AVERAGE(C506:Q506)</f>
        <v>4778.7580826033591</v>
      </c>
      <c r="C506" s="114">
        <f>SUM(C502:C505)</f>
        <v>2917</v>
      </c>
      <c r="D506" s="114">
        <f t="shared" ref="D506:I506" si="8">SUM(D502:D505)</f>
        <v>1660</v>
      </c>
      <c r="E506" s="114">
        <f t="shared" si="8"/>
        <v>1569</v>
      </c>
      <c r="F506" s="114">
        <f t="shared" si="8"/>
        <v>2240</v>
      </c>
      <c r="G506" s="114">
        <f t="shared" si="8"/>
        <v>2833</v>
      </c>
      <c r="H506" s="114">
        <f t="shared" si="8"/>
        <v>3502.4743310497556</v>
      </c>
      <c r="I506" s="114">
        <f t="shared" si="8"/>
        <v>4246.3838469119655</v>
      </c>
      <c r="J506" s="112">
        <f>I506+I506-H506</f>
        <v>4990.293362774175</v>
      </c>
      <c r="K506" s="112">
        <f t="shared" ref="K506" si="9">J506+J506-I506</f>
        <v>5734.2028786363844</v>
      </c>
      <c r="L506" s="112">
        <f t="shared" ref="L506" si="10">K506+K506-J506</f>
        <v>6478.1123944985939</v>
      </c>
      <c r="M506" s="112">
        <f>L506+(L506-K506)*M507</f>
        <v>7147.6309587745827</v>
      </c>
      <c r="N506" s="112">
        <f t="shared" ref="N506" si="11">M506+(M506-L506)*N507</f>
        <v>7649.7698819815741</v>
      </c>
      <c r="O506" s="112">
        <f t="shared" ref="O506" si="12">N506+(N506-M506)*O507</f>
        <v>7925.9462897454196</v>
      </c>
      <c r="P506" s="112">
        <f t="shared" ref="P506" si="13">O506+(O506-N506)*P507</f>
        <v>8008.799212074573</v>
      </c>
    </row>
    <row r="507" spans="1:17">
      <c r="M507" s="4">
        <v>0.9</v>
      </c>
      <c r="N507" s="4">
        <v>0.75</v>
      </c>
      <c r="O507" s="4">
        <v>0.55000000000000004</v>
      </c>
      <c r="P507" s="4">
        <v>0.3</v>
      </c>
    </row>
    <row r="509" spans="1:17" ht="16.5" thickBot="1"/>
    <row r="510" spans="1:17" ht="16.5" thickBot="1">
      <c r="A510" s="117"/>
    </row>
    <row r="511" spans="1:17" ht="16.5" thickBot="1">
      <c r="A511" s="118" t="s">
        <v>49</v>
      </c>
      <c r="B511" s="119" t="s">
        <v>306</v>
      </c>
      <c r="C511" s="120" t="s">
        <v>307</v>
      </c>
      <c r="D511" s="120" t="s">
        <v>308</v>
      </c>
      <c r="E511" s="120" t="s">
        <v>309</v>
      </c>
      <c r="F511" s="120" t="s">
        <v>310</v>
      </c>
      <c r="G511" s="120" t="s">
        <v>311</v>
      </c>
    </row>
    <row r="512" spans="1:17" ht="16.5" thickBot="1">
      <c r="A512" s="121" t="s">
        <v>52</v>
      </c>
      <c r="B512" s="122">
        <v>1.4E-2</v>
      </c>
      <c r="C512" s="123">
        <v>1.4E-2</v>
      </c>
      <c r="D512" s="123">
        <v>1.4E-2</v>
      </c>
      <c r="E512" s="123">
        <v>1.4E-2</v>
      </c>
      <c r="F512" s="123">
        <v>1.4E-2</v>
      </c>
      <c r="G512" s="123">
        <v>1.4E-2</v>
      </c>
    </row>
    <row r="513" spans="1:7" ht="16.5" thickBot="1">
      <c r="A513" s="121" t="s">
        <v>249</v>
      </c>
      <c r="B513" s="122">
        <v>-7.0000000000000001E-3</v>
      </c>
      <c r="C513" s="123">
        <v>2.8000000000000001E-2</v>
      </c>
      <c r="D513" s="123">
        <v>1.2999999999999999E-2</v>
      </c>
      <c r="E513" s="123">
        <v>1.2E-2</v>
      </c>
      <c r="F513" s="123">
        <v>-8.4000000000000005E-2</v>
      </c>
      <c r="G513" s="123">
        <v>-4.0000000000000001E-3</v>
      </c>
    </row>
    <row r="514" spans="1:7" ht="16.5" thickBot="1">
      <c r="A514" s="121" t="s">
        <v>55</v>
      </c>
      <c r="B514" s="122">
        <v>0.06</v>
      </c>
      <c r="C514" s="123">
        <v>0.06</v>
      </c>
      <c r="D514" s="123">
        <v>0.06</v>
      </c>
      <c r="E514" s="123">
        <v>0.06</v>
      </c>
      <c r="F514" s="123">
        <v>0.06</v>
      </c>
      <c r="G514" s="123">
        <v>0.06</v>
      </c>
    </row>
    <row r="515" spans="1:7" ht="16.5" thickBot="1">
      <c r="A515" s="121" t="s">
        <v>56</v>
      </c>
      <c r="B515" s="122">
        <v>-2E-3</v>
      </c>
      <c r="C515" s="123">
        <v>-2E-3</v>
      </c>
      <c r="D515" s="123">
        <v>-2E-3</v>
      </c>
      <c r="E515" s="123">
        <v>-2E-3</v>
      </c>
      <c r="F515" s="123">
        <v>-2E-3</v>
      </c>
      <c r="G515" s="123">
        <v>-2E-3</v>
      </c>
    </row>
    <row r="516" spans="1:7" ht="16.5" thickBot="1">
      <c r="A516" s="121" t="s">
        <v>58</v>
      </c>
      <c r="B516" s="122">
        <v>1.9E-2</v>
      </c>
      <c r="C516" s="123">
        <v>3.0000000000000001E-3</v>
      </c>
      <c r="D516" s="123">
        <v>0.01</v>
      </c>
      <c r="E516" s="123">
        <v>0.01</v>
      </c>
      <c r="F516" s="123">
        <v>5.7000000000000002E-2</v>
      </c>
      <c r="G516" s="123">
        <v>1.7999999999999999E-2</v>
      </c>
    </row>
    <row r="517" spans="1:7" ht="16.5" thickBot="1">
      <c r="A517" s="121" t="s">
        <v>60</v>
      </c>
      <c r="B517" s="122">
        <v>3.9E-2</v>
      </c>
      <c r="C517" s="123">
        <v>5.0000000000000001E-3</v>
      </c>
      <c r="D517" s="123">
        <v>1.9E-2</v>
      </c>
      <c r="E517" s="123">
        <v>2.1000000000000001E-2</v>
      </c>
      <c r="F517" s="123">
        <v>0.113</v>
      </c>
      <c r="G517" s="123">
        <v>3.5999999999999997E-2</v>
      </c>
    </row>
    <row r="518" spans="1:7" ht="16.5" thickBot="1">
      <c r="A518" s="121" t="s">
        <v>62</v>
      </c>
      <c r="B518" s="122">
        <v>0.04</v>
      </c>
      <c r="C518" s="123">
        <v>5.0000000000000001E-3</v>
      </c>
      <c r="D518" s="123">
        <v>0.02</v>
      </c>
      <c r="E518" s="123">
        <v>2.1000000000000001E-2</v>
      </c>
      <c r="F518" s="123">
        <v>0.11600000000000001</v>
      </c>
      <c r="G518" s="123">
        <v>3.6999999999999998E-2</v>
      </c>
    </row>
    <row r="519" spans="1:7" ht="16.5" thickBot="1">
      <c r="A519" s="124" t="s">
        <v>164</v>
      </c>
      <c r="B519" s="125">
        <v>0.16300000000000001</v>
      </c>
      <c r="C519" s="126">
        <v>0.113</v>
      </c>
      <c r="D519" s="126">
        <v>0.13400000000000001</v>
      </c>
      <c r="E519" s="126">
        <v>0.13600000000000001</v>
      </c>
      <c r="F519" s="126">
        <v>0.27500000000000002</v>
      </c>
      <c r="G519" s="126">
        <v>0.159</v>
      </c>
    </row>
    <row r="541" spans="1:2">
      <c r="B541" s="225"/>
    </row>
    <row r="542" spans="1:2">
      <c r="A542" s="4" t="s">
        <v>550</v>
      </c>
      <c r="B542" s="226">
        <v>-300</v>
      </c>
    </row>
    <row r="543" spans="1:2">
      <c r="A543" s="4" t="s">
        <v>553</v>
      </c>
    </row>
    <row r="544" spans="1:2">
      <c r="A544" s="224" t="s">
        <v>551</v>
      </c>
    </row>
    <row r="545" spans="1:1">
      <c r="A545" s="223"/>
    </row>
    <row r="546" spans="1:1">
      <c r="A546"/>
    </row>
    <row r="547" spans="1:1">
      <c r="A547" s="223"/>
    </row>
    <row r="548" spans="1:1">
      <c r="A548" s="223" t="s">
        <v>552</v>
      </c>
    </row>
  </sheetData>
  <mergeCells count="1">
    <mergeCell ref="A279:C279"/>
  </mergeCells>
  <hyperlinks>
    <hyperlink ref="D340" r:id="rId1"/>
    <hyperlink ref="D337" r:id="rId2"/>
    <hyperlink ref="D19" r:id="rId3"/>
    <hyperlink ref="A397" r:id="rId4" location="style=401757616"/>
    <hyperlink ref="E397" r:id="rId5"/>
    <hyperlink ref="A478" r:id="rId6" display="https://eur03.safelinks.protection.outlook.com/?url=https%3A%2F%2Fwww.researchgate.net%2Fpublication%2F308033461_SIMULATION_BASED_LIFE-CYCLE_ANALYSIS_OF_A_VEHICLE_FLEET&amp;data=05%7C02%7CP.E.Brockway%40leeds.ac.uk%7Cb9471947725046df0d5c08dc773a3900%7Cbdeaeda8c81d45ce863e5232a535b7cb%7C0%7C0%7C638516339156681256%7CUnknown%7CTWFpbGZsb3d8eyJWIjoiMC4wLjAwMDAiLCJQIjoiV2luMzIiLCJBTiI6Ik1haWwiLCJXVCI6Mn0%3D%7C0%7C%7C%7C&amp;sdata=rhURKs2tsUsUQ76Ul7rmmTAnzLJ4nU%2B9CTc%2FbBs6Pxk%3D&amp;reserved=0"/>
    <hyperlink ref="A544" r:id="rId7" display="https://eur03.safelinks.protection.outlook.com/?url=https%3A%2F%2Fwww.junkcarmedics.com%2Fprices%2F&amp;data=05%7C02%7CP.E.Brockway%40leeds.ac.uk%7Cb9471947725046df0d5c08dc773a3900%7Cbdeaeda8c81d45ce863e5232a535b7cb%7C0%7C0%7C638516339156668326%7CUnknown%7CTWFpbGZsb3d8eyJWIjoiMC4wLjAwMDAiLCJQIjoiV2luMzIiLCJBTiI6Ik1haWwiLCJXVCI6Mn0%3D%7C0%7C%7C%7C&amp;sdata=JqRHc0xGJhMUSAtvGF0W7hrpZVanVaNfjGduFv3Uzbg%3D&amp;reserved=0"/>
  </hyperlinks>
  <pageMargins left="0.7" right="0.7" top="0.75" bottom="0.75" header="0.3" footer="0.3"/>
  <pageSetup paperSize="9" orientation="portrait" r:id="rId8"/>
  <drawing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6"/>
  <sheetViews>
    <sheetView zoomScaleNormal="100" workbookViewId="0">
      <pane ySplit="8505" topLeftCell="A276"/>
      <selection activeCell="H114" sqref="H113:H114"/>
      <selection pane="bottomLeft" activeCell="F279" sqref="F279"/>
    </sheetView>
  </sheetViews>
  <sheetFormatPr defaultColWidth="11" defaultRowHeight="15.75"/>
  <cols>
    <col min="1" max="1" width="42.75" style="4" customWidth="1"/>
    <col min="2" max="2" width="13.875" style="4" customWidth="1"/>
    <col min="3" max="3" width="16.625" style="4" customWidth="1"/>
    <col min="4" max="4" width="17" style="4" customWidth="1"/>
    <col min="5" max="5" width="19" style="4" customWidth="1"/>
    <col min="6" max="6" width="17.125" style="5" customWidth="1"/>
    <col min="7" max="7" width="20.375" style="4" customWidth="1"/>
    <col min="8" max="8" width="18.75" style="4" customWidth="1"/>
    <col min="9" max="10" width="11" style="4"/>
    <col min="11" max="11" width="7.875" style="4" customWidth="1"/>
    <col min="12" max="12" width="11" style="4"/>
    <col min="13" max="13" width="7.875" style="4" customWidth="1"/>
    <col min="14" max="14" width="11" style="4"/>
    <col min="15" max="15" width="7.875" style="4" customWidth="1"/>
    <col min="16" max="16" width="11" style="4"/>
  </cols>
  <sheetData>
    <row r="1" spans="1:16">
      <c r="A1" s="9" t="s">
        <v>391</v>
      </c>
      <c r="D1" s="4" t="s">
        <v>119</v>
      </c>
      <c r="F1" s="4"/>
    </row>
    <row r="2" spans="1:16">
      <c r="D2" s="6"/>
      <c r="E2" s="4" t="s">
        <v>120</v>
      </c>
    </row>
    <row r="3" spans="1:16">
      <c r="A3" s="26" t="s">
        <v>403</v>
      </c>
      <c r="B3" s="53">
        <v>1</v>
      </c>
      <c r="D3" s="41"/>
      <c r="E3" s="26" t="s">
        <v>407</v>
      </c>
      <c r="F3" s="4"/>
    </row>
    <row r="4" spans="1:16">
      <c r="A4" s="4" t="s">
        <v>189</v>
      </c>
      <c r="B4" s="62">
        <f>E61</f>
        <v>0.12870000000000001</v>
      </c>
      <c r="C4" s="4" t="s">
        <v>280</v>
      </c>
      <c r="F4" s="4"/>
    </row>
    <row r="5" spans="1:16">
      <c r="A5" s="4" t="s">
        <v>189</v>
      </c>
      <c r="B5" s="62">
        <f>B4/3.6</f>
        <v>3.5750000000000004E-2</v>
      </c>
      <c r="C5" s="4" t="s">
        <v>5</v>
      </c>
    </row>
    <row r="6" spans="1:16">
      <c r="A6" s="4" t="str">
        <f>A322</f>
        <v>incandescent bulb - capital expenditure</v>
      </c>
      <c r="B6" s="71">
        <f>B322</f>
        <v>1.875</v>
      </c>
      <c r="C6" s="4" t="s">
        <v>157</v>
      </c>
      <c r="F6" s="26"/>
      <c r="P6" s="66"/>
    </row>
    <row r="7" spans="1:16">
      <c r="A7" s="4" t="str">
        <f>A323</f>
        <v>incandescent bulb - lifetime</v>
      </c>
      <c r="B7" s="71">
        <f>B323</f>
        <v>1.8</v>
      </c>
      <c r="C7" s="4" t="s">
        <v>67</v>
      </c>
    </row>
    <row r="8" spans="1:16">
      <c r="A8" s="4" t="str">
        <f>A326</f>
        <v>incandescent bulb - efficacy</v>
      </c>
      <c r="B8" s="71">
        <f>B326</f>
        <v>8.8333333333333339</v>
      </c>
      <c r="C8" s="4" t="s">
        <v>188</v>
      </c>
    </row>
    <row r="9" spans="1:16">
      <c r="A9" s="4" t="str">
        <f>A331</f>
        <v>incandescent bulb - embodied energy</v>
      </c>
      <c r="B9" s="71">
        <f>B331</f>
        <v>2.2146156000000001</v>
      </c>
      <c r="C9" s="4" t="s">
        <v>65</v>
      </c>
    </row>
    <row r="10" spans="1:16">
      <c r="A10" s="4" t="s">
        <v>526</v>
      </c>
      <c r="B10" s="206">
        <v>1.0000000000000001E-5</v>
      </c>
      <c r="C10" s="10" t="s">
        <v>535</v>
      </c>
    </row>
    <row r="11" spans="1:16">
      <c r="A11" s="4" t="s">
        <v>527</v>
      </c>
      <c r="B11" s="206">
        <v>0</v>
      </c>
      <c r="C11" s="10" t="s">
        <v>535</v>
      </c>
    </row>
    <row r="12" spans="1:16">
      <c r="A12" s="4" t="str">
        <f t="shared" ref="A12:B13" si="0">A332</f>
        <v>LED bulb - capital expenditure</v>
      </c>
      <c r="B12" s="71">
        <f t="shared" si="0"/>
        <v>1.21</v>
      </c>
      <c r="C12" s="4" t="s">
        <v>157</v>
      </c>
    </row>
    <row r="13" spans="1:16">
      <c r="A13" s="26" t="str">
        <f t="shared" si="0"/>
        <v>LED bulb - lifetime</v>
      </c>
      <c r="B13" s="23">
        <f t="shared" si="0"/>
        <v>10</v>
      </c>
      <c r="C13" s="4" t="s">
        <v>67</v>
      </c>
    </row>
    <row r="14" spans="1:16">
      <c r="A14" s="26" t="str">
        <f>A336</f>
        <v>LED bulb - efficacy</v>
      </c>
      <c r="B14" s="76">
        <v>81.8</v>
      </c>
      <c r="C14" s="4" t="s">
        <v>188</v>
      </c>
    </row>
    <row r="15" spans="1:16">
      <c r="A15" s="4" t="str">
        <f>A341</f>
        <v>LED bulb - embodied energy</v>
      </c>
      <c r="B15" s="71">
        <f>B341</f>
        <v>6.5028546</v>
      </c>
      <c r="C15" s="4" t="s">
        <v>65</v>
      </c>
    </row>
    <row r="16" spans="1:16">
      <c r="A16" s="4" t="s">
        <v>528</v>
      </c>
      <c r="B16" s="206">
        <v>1.0000000000000001E-5</v>
      </c>
      <c r="C16" s="10" t="s">
        <v>535</v>
      </c>
    </row>
    <row r="17" spans="1:9">
      <c r="A17" s="4" t="s">
        <v>529</v>
      </c>
      <c r="B17" s="206">
        <v>0</v>
      </c>
      <c r="C17" s="10" t="s">
        <v>535</v>
      </c>
    </row>
    <row r="18" spans="1:9">
      <c r="A18" s="4" t="s">
        <v>197</v>
      </c>
      <c r="B18" s="18">
        <f>B324*B328</f>
        <v>580350</v>
      </c>
      <c r="C18" s="4" t="s">
        <v>196</v>
      </c>
    </row>
    <row r="19" spans="1:9">
      <c r="A19" s="4" t="s">
        <v>126</v>
      </c>
      <c r="B19" s="18">
        <f>'1_Case study 1 - Car'!B19</f>
        <v>34317</v>
      </c>
      <c r="C19" s="4" t="s">
        <v>59</v>
      </c>
      <c r="D19" s="145" t="s">
        <v>46</v>
      </c>
    </row>
    <row r="20" spans="1:9">
      <c r="A20" s="4" t="s">
        <v>127</v>
      </c>
      <c r="B20" s="139">
        <v>0.88319000000000003</v>
      </c>
      <c r="C20" s="20" t="s">
        <v>18</v>
      </c>
      <c r="D20" s="4" t="s">
        <v>48</v>
      </c>
      <c r="E20" s="4" t="s">
        <v>374</v>
      </c>
    </row>
    <row r="21" spans="1:9" ht="16.5" thickBot="1">
      <c r="A21" s="4" t="s">
        <v>128</v>
      </c>
      <c r="B21" s="6">
        <v>7.8479999999999994E-2</v>
      </c>
      <c r="C21" s="20" t="s">
        <v>18</v>
      </c>
      <c r="D21" s="4" t="s">
        <v>48</v>
      </c>
      <c r="E21" s="4" t="s">
        <v>374</v>
      </c>
    </row>
    <row r="22" spans="1:9">
      <c r="A22" s="4" t="s">
        <v>383</v>
      </c>
      <c r="B22" s="88">
        <f>D169/(D169+D170)</f>
        <v>3.0275552863788237E-4</v>
      </c>
      <c r="C22" s="20"/>
      <c r="D22" s="146" t="s">
        <v>364</v>
      </c>
      <c r="E22" s="147"/>
      <c r="F22" s="160"/>
      <c r="G22" s="147"/>
      <c r="H22" s="147"/>
      <c r="I22" s="148"/>
    </row>
    <row r="23" spans="1:9">
      <c r="A23" s="51" t="s">
        <v>490</v>
      </c>
      <c r="B23" s="201">
        <v>3</v>
      </c>
      <c r="C23" s="51" t="s">
        <v>484</v>
      </c>
      <c r="D23" s="149" t="s">
        <v>365</v>
      </c>
      <c r="E23" s="150" t="s">
        <v>366</v>
      </c>
      <c r="F23" s="161"/>
      <c r="G23" s="150"/>
      <c r="H23" s="150"/>
      <c r="I23" s="151">
        <v>2018</v>
      </c>
    </row>
    <row r="24" spans="1:9">
      <c r="D24" s="149">
        <v>1</v>
      </c>
      <c r="E24" s="150" t="s">
        <v>367</v>
      </c>
      <c r="F24" s="161"/>
      <c r="G24" s="150"/>
      <c r="H24" s="150"/>
      <c r="I24" s="140">
        <v>17851.8</v>
      </c>
    </row>
    <row r="25" spans="1:9">
      <c r="D25" s="149">
        <v>27</v>
      </c>
      <c r="E25" s="150" t="s">
        <v>368</v>
      </c>
      <c r="F25" s="161"/>
      <c r="G25" s="150"/>
      <c r="H25" s="150"/>
      <c r="I25" s="140">
        <v>15766.5</v>
      </c>
    </row>
    <row r="26" spans="1:9">
      <c r="A26" s="25" t="s">
        <v>156</v>
      </c>
      <c r="D26" s="149">
        <v>34</v>
      </c>
      <c r="E26" s="150" t="s">
        <v>369</v>
      </c>
      <c r="F26" s="161"/>
      <c r="G26" s="150"/>
      <c r="H26" s="150"/>
      <c r="I26" s="140">
        <v>1237.3</v>
      </c>
    </row>
    <row r="27" spans="1:9">
      <c r="A27" s="43" t="s">
        <v>164</v>
      </c>
      <c r="B27" s="128">
        <f>E286</f>
        <v>0.41056114178566472</v>
      </c>
      <c r="D27" s="152" t="s">
        <v>370</v>
      </c>
      <c r="E27" s="150" t="s">
        <v>371</v>
      </c>
      <c r="F27" s="161"/>
      <c r="G27" s="150"/>
      <c r="H27" s="150"/>
      <c r="I27" s="153">
        <f>I25/I24</f>
        <v>0.88318824992437739</v>
      </c>
    </row>
    <row r="28" spans="1:9" ht="16.5" thickBot="1">
      <c r="A28" s="43" t="s">
        <v>165</v>
      </c>
      <c r="B28" s="128">
        <f>E297</f>
        <v>0.41056114178566466</v>
      </c>
      <c r="D28" s="154" t="s">
        <v>372</v>
      </c>
      <c r="E28" s="155" t="s">
        <v>373</v>
      </c>
      <c r="F28" s="36"/>
      <c r="G28" s="155"/>
      <c r="H28" s="155"/>
      <c r="I28" s="156">
        <f>I26/I25</f>
        <v>7.8476516665081028E-2</v>
      </c>
    </row>
    <row r="29" spans="1:9">
      <c r="A29" s="43" t="s">
        <v>171</v>
      </c>
      <c r="B29" s="137">
        <f>B27-B28</f>
        <v>0</v>
      </c>
      <c r="E29" s="98"/>
      <c r="F29" s="13"/>
    </row>
    <row r="30" spans="1:9">
      <c r="A30" s="43" t="s">
        <v>185</v>
      </c>
      <c r="B30" s="34">
        <f>B27*E106</f>
        <v>86.619667393667413</v>
      </c>
      <c r="C30" s="4" t="s">
        <v>11</v>
      </c>
    </row>
    <row r="31" spans="1:9">
      <c r="A31" s="43"/>
      <c r="B31" s="34"/>
    </row>
    <row r="32" spans="1:9">
      <c r="A32" s="10"/>
      <c r="B32" s="110"/>
      <c r="C32" s="10"/>
      <c r="D32" s="10"/>
      <c r="E32" s="13"/>
      <c r="F32" s="98"/>
      <c r="H32" s="51"/>
    </row>
    <row r="33" spans="1:16">
      <c r="A33" s="10"/>
      <c r="B33" s="10"/>
      <c r="C33" s="68"/>
      <c r="D33" s="13"/>
      <c r="E33" s="13"/>
      <c r="F33" s="98"/>
    </row>
    <row r="34" spans="1:16">
      <c r="A34" s="10"/>
      <c r="B34" s="10"/>
      <c r="C34" s="10"/>
      <c r="D34" s="13"/>
      <c r="E34" s="13"/>
      <c r="F34" s="98"/>
    </row>
    <row r="35" spans="1:16">
      <c r="A35" s="10"/>
      <c r="B35" s="10"/>
      <c r="C35" s="68"/>
      <c r="D35" s="13"/>
      <c r="E35" s="13"/>
      <c r="F35" s="98"/>
    </row>
    <row r="36" spans="1:16" ht="30">
      <c r="A36" s="202" t="s">
        <v>530</v>
      </c>
      <c r="B36" s="89" t="s">
        <v>399</v>
      </c>
      <c r="C36" s="8" t="s">
        <v>14</v>
      </c>
      <c r="D36" s="8" t="s">
        <v>14</v>
      </c>
      <c r="E36" s="9" t="s">
        <v>16</v>
      </c>
      <c r="F36" s="9" t="s">
        <v>252</v>
      </c>
      <c r="G36"/>
      <c r="H36"/>
      <c r="I36"/>
      <c r="J36"/>
    </row>
    <row r="37" spans="1:16">
      <c r="A37" s="51" t="s">
        <v>253</v>
      </c>
      <c r="D37" s="4" t="s">
        <v>400</v>
      </c>
      <c r="E37" s="103">
        <f>B22</f>
        <v>3.0275552863788237E-4</v>
      </c>
      <c r="F37" s="4"/>
      <c r="G37"/>
      <c r="H37"/>
      <c r="I37"/>
      <c r="J37"/>
    </row>
    <row r="38" spans="1:16">
      <c r="A38" s="51" t="s">
        <v>523</v>
      </c>
      <c r="D38" s="4" t="s">
        <v>398</v>
      </c>
      <c r="E38" s="6">
        <v>-0.4</v>
      </c>
      <c r="F38" s="4"/>
      <c r="G38"/>
      <c r="H38"/>
      <c r="I38"/>
      <c r="J38"/>
    </row>
    <row r="39" spans="1:16">
      <c r="A39" s="4" t="s">
        <v>254</v>
      </c>
      <c r="D39" s="4" t="s">
        <v>255</v>
      </c>
      <c r="E39" s="6">
        <v>1</v>
      </c>
      <c r="F39" s="4" t="s">
        <v>58</v>
      </c>
      <c r="G39"/>
      <c r="H39"/>
      <c r="I39"/>
      <c r="J39"/>
    </row>
    <row r="40" spans="1:16">
      <c r="A40" s="4" t="s">
        <v>256</v>
      </c>
      <c r="D40" s="4" t="s">
        <v>257</v>
      </c>
      <c r="E40" s="6">
        <v>1</v>
      </c>
      <c r="F40" s="4" t="s">
        <v>60</v>
      </c>
      <c r="G40"/>
      <c r="H40"/>
      <c r="I40"/>
      <c r="J40"/>
      <c r="P40" s="65"/>
    </row>
    <row r="41" spans="1:16" s="3" customFormat="1">
      <c r="A41" s="4" t="s">
        <v>337</v>
      </c>
      <c r="B41" s="4"/>
      <c r="C41" s="133" t="s">
        <v>339</v>
      </c>
      <c r="D41" s="4" t="s">
        <v>340</v>
      </c>
      <c r="E41" s="12">
        <f>(E37+E38)/(E37-1)</f>
        <v>0.39981829166961563</v>
      </c>
      <c r="F41"/>
      <c r="G41"/>
      <c r="H41"/>
      <c r="I41"/>
      <c r="J41"/>
      <c r="K41" s="7"/>
      <c r="L41" s="7"/>
      <c r="M41" s="7"/>
      <c r="N41" s="7"/>
      <c r="O41" s="7"/>
      <c r="P41" s="4"/>
    </row>
    <row r="42" spans="1:16">
      <c r="C42" s="133" t="s">
        <v>338</v>
      </c>
      <c r="D42" s="4" t="s">
        <v>342</v>
      </c>
      <c r="E42" s="12">
        <f>(E41-1)/E41</f>
        <v>-1.5011361932043279</v>
      </c>
      <c r="F42" s="10"/>
    </row>
    <row r="43" spans="1:16">
      <c r="A43" s="51" t="s">
        <v>503</v>
      </c>
      <c r="B43" s="15"/>
      <c r="C43" s="10"/>
      <c r="D43" s="10" t="s">
        <v>509</v>
      </c>
      <c r="E43" s="14">
        <f>(1+B$23/100)/((1+B$23/100)-1)</f>
        <v>34.333333333333307</v>
      </c>
      <c r="F43" s="63"/>
    </row>
    <row r="44" spans="1:16">
      <c r="A44" s="51" t="s">
        <v>504</v>
      </c>
      <c r="B44" s="15"/>
      <c r="C44" s="10"/>
      <c r="D44" s="10" t="s">
        <v>510</v>
      </c>
      <c r="E44" s="14">
        <f>(1+B$23/100)^B$7/((1+B$23/100)^B$7-1)</f>
        <v>19.299361464314845</v>
      </c>
      <c r="F44" s="63"/>
    </row>
    <row r="45" spans="1:16">
      <c r="A45" s="51" t="s">
        <v>505</v>
      </c>
      <c r="B45" s="15"/>
      <c r="C45" s="10"/>
      <c r="D45" s="10" t="s">
        <v>511</v>
      </c>
      <c r="E45" s="14">
        <f>(1+B$23/100)/((1+B$23/100)-1)</f>
        <v>34.333333333333307</v>
      </c>
      <c r="F45" s="63"/>
    </row>
    <row r="46" spans="1:16">
      <c r="A46" s="51" t="s">
        <v>506</v>
      </c>
      <c r="B46" s="15"/>
      <c r="C46" s="10"/>
      <c r="D46" s="10" t="s">
        <v>512</v>
      </c>
      <c r="E46" s="14">
        <f>1/((1+B$23/100)^B$7-1)</f>
        <v>18.299361464314845</v>
      </c>
      <c r="F46" s="63"/>
    </row>
    <row r="47" spans="1:16">
      <c r="A47" s="51" t="s">
        <v>507</v>
      </c>
      <c r="B47" s="15"/>
      <c r="C47" s="10"/>
      <c r="D47" s="10" t="s">
        <v>513</v>
      </c>
      <c r="E47" s="14">
        <f>E44/E43*B$7/1</f>
        <v>1.011811183566022</v>
      </c>
      <c r="F47" s="63"/>
    </row>
    <row r="48" spans="1:16">
      <c r="A48" s="51" t="s">
        <v>508</v>
      </c>
      <c r="B48" s="15"/>
      <c r="C48" s="10"/>
      <c r="D48" s="10" t="s">
        <v>514</v>
      </c>
      <c r="E48" s="14">
        <f>E46/E43*B$7/1</f>
        <v>0.95938399910000227</v>
      </c>
      <c r="F48" s="63"/>
    </row>
    <row r="49" spans="1:15">
      <c r="A49" s="51" t="s">
        <v>491</v>
      </c>
      <c r="B49" s="15"/>
      <c r="C49" s="10"/>
      <c r="D49" s="10" t="s">
        <v>497</v>
      </c>
      <c r="E49" s="14">
        <f>(1+B$23/100)/((1+B$23/100)-1)</f>
        <v>34.333333333333307</v>
      </c>
      <c r="F49" s="63"/>
    </row>
    <row r="50" spans="1:15">
      <c r="A50" s="51" t="s">
        <v>492</v>
      </c>
      <c r="B50" s="15"/>
      <c r="C50" s="10"/>
      <c r="D50" s="10" t="s">
        <v>498</v>
      </c>
      <c r="E50" s="14">
        <f>(1+B$23/100)^B$13/((1+B$23/100)^B$13-1)</f>
        <v>3.9076835535053212</v>
      </c>
      <c r="F50" s="63"/>
    </row>
    <row r="51" spans="1:15">
      <c r="A51" s="51" t="s">
        <v>493</v>
      </c>
      <c r="B51" s="15"/>
      <c r="C51" s="10"/>
      <c r="D51" s="10" t="s">
        <v>499</v>
      </c>
      <c r="E51" s="14">
        <f>(1+B$23/100)/((1+B$23/100)-1)</f>
        <v>34.333333333333307</v>
      </c>
      <c r="F51" s="63"/>
    </row>
    <row r="52" spans="1:15">
      <c r="A52" s="51" t="s">
        <v>494</v>
      </c>
      <c r="B52" s="15"/>
      <c r="C52" s="10"/>
      <c r="D52" s="10" t="s">
        <v>500</v>
      </c>
      <c r="E52" s="14">
        <f>1/((1+B$23/100)^B$13-1)</f>
        <v>2.9076835535053212</v>
      </c>
      <c r="F52" s="63"/>
    </row>
    <row r="53" spans="1:15">
      <c r="A53" s="51" t="s">
        <v>495</v>
      </c>
      <c r="B53" s="15"/>
      <c r="C53" s="10"/>
      <c r="D53" s="10" t="s">
        <v>501</v>
      </c>
      <c r="E53" s="14">
        <f>E50/E49*B$13/1</f>
        <v>1.1381602583025217</v>
      </c>
      <c r="F53" s="63"/>
    </row>
    <row r="54" spans="1:15">
      <c r="A54" s="51" t="s">
        <v>496</v>
      </c>
      <c r="B54" s="15"/>
      <c r="C54" s="10"/>
      <c r="D54" s="10" t="s">
        <v>502</v>
      </c>
      <c r="E54" s="14">
        <f>E52/E49*B$13/1</f>
        <v>0.84689812238019124</v>
      </c>
      <c r="F54" s="63"/>
    </row>
    <row r="55" spans="1:15">
      <c r="A55" s="10"/>
      <c r="B55" s="10"/>
      <c r="C55" s="10"/>
      <c r="D55" s="13"/>
      <c r="E55" s="13"/>
      <c r="F55" s="63"/>
    </row>
    <row r="56" spans="1:15">
      <c r="A56" s="10"/>
      <c r="B56" s="10"/>
      <c r="C56" s="10"/>
      <c r="D56" s="13"/>
      <c r="E56" s="13"/>
      <c r="F56" s="63"/>
    </row>
    <row r="57" spans="1:15">
      <c r="A57" s="10"/>
      <c r="B57" s="10"/>
      <c r="C57" s="10"/>
      <c r="D57" s="13"/>
      <c r="E57" s="13"/>
      <c r="F57" s="63"/>
    </row>
    <row r="58" spans="1:15">
      <c r="C58" s="10"/>
      <c r="D58" s="5"/>
      <c r="E58" s="11"/>
      <c r="F58" s="4"/>
    </row>
    <row r="59" spans="1:15">
      <c r="A59" s="7" t="s">
        <v>121</v>
      </c>
      <c r="B59" s="7"/>
      <c r="C59" s="8" t="s">
        <v>14</v>
      </c>
      <c r="D59" s="8" t="s">
        <v>14</v>
      </c>
      <c r="E59" s="8" t="s">
        <v>16</v>
      </c>
      <c r="F59" s="7" t="s">
        <v>13</v>
      </c>
      <c r="G59" s="7" t="s">
        <v>143</v>
      </c>
    </row>
    <row r="60" spans="1:15">
      <c r="A60" s="10" t="s">
        <v>361</v>
      </c>
      <c r="B60" s="10"/>
      <c r="C60" s="5"/>
      <c r="D60" s="5" t="s">
        <v>15</v>
      </c>
      <c r="E60" s="73">
        <f>E61*E64</f>
        <v>3.5750028600000004E-2</v>
      </c>
      <c r="F60" s="4" t="s">
        <v>5</v>
      </c>
      <c r="G60" s="4" t="s">
        <v>376</v>
      </c>
    </row>
    <row r="61" spans="1:15">
      <c r="A61" s="69"/>
      <c r="B61" s="69"/>
      <c r="C61" s="10"/>
      <c r="D61" s="13"/>
      <c r="E61" s="77">
        <v>0.12870000000000001</v>
      </c>
      <c r="F61" s="10" t="s">
        <v>207</v>
      </c>
      <c r="G61" s="138" t="s">
        <v>360</v>
      </c>
      <c r="H61" s="10"/>
      <c r="I61" s="10"/>
      <c r="J61" s="10"/>
      <c r="K61" s="10"/>
      <c r="L61" s="10"/>
      <c r="M61" s="10"/>
      <c r="N61" s="10"/>
      <c r="O61" s="10"/>
    </row>
    <row r="62" spans="1:15">
      <c r="A62" s="10"/>
      <c r="B62" s="10"/>
      <c r="C62" s="10"/>
      <c r="D62" s="13"/>
      <c r="E62" s="90" t="s">
        <v>192</v>
      </c>
      <c r="F62" s="10"/>
      <c r="H62" s="10"/>
      <c r="I62" s="10"/>
      <c r="J62" s="10"/>
      <c r="K62" s="10"/>
      <c r="L62" s="13"/>
      <c r="M62" s="10"/>
      <c r="N62" s="10"/>
      <c r="O62" s="10"/>
    </row>
    <row r="63" spans="1:15">
      <c r="A63" s="9" t="s">
        <v>24</v>
      </c>
      <c r="B63" s="9"/>
      <c r="F63" s="4"/>
    </row>
    <row r="64" spans="1:15">
      <c r="A64" s="4" t="s">
        <v>201</v>
      </c>
      <c r="E64" s="62">
        <v>0.27777800000000002</v>
      </c>
      <c r="F64" s="4" t="s">
        <v>202</v>
      </c>
    </row>
    <row r="65" spans="1:16">
      <c r="A65" s="4" t="s">
        <v>203</v>
      </c>
      <c r="E65" s="62">
        <f>1/E64</f>
        <v>3.5999971200023038</v>
      </c>
      <c r="F65" s="4" t="s">
        <v>65</v>
      </c>
    </row>
    <row r="66" spans="1:16">
      <c r="A66" s="9"/>
      <c r="B66" s="9"/>
      <c r="F66" s="4"/>
    </row>
    <row r="67" spans="1:16" s="1" customFormat="1">
      <c r="A67" s="10"/>
      <c r="B67" s="10"/>
      <c r="C67" s="10"/>
      <c r="D67" s="13"/>
      <c r="E67" s="14"/>
      <c r="F67" s="10"/>
      <c r="G67" s="10"/>
      <c r="H67" s="10"/>
      <c r="I67" s="10"/>
      <c r="J67" s="10"/>
      <c r="K67" s="10"/>
      <c r="L67" s="13"/>
      <c r="M67" s="10"/>
      <c r="N67" s="10"/>
      <c r="O67" s="10"/>
      <c r="P67" s="10"/>
    </row>
    <row r="68" spans="1:16" s="1" customFormat="1">
      <c r="A68" s="10"/>
      <c r="B68" s="10"/>
      <c r="C68" s="10"/>
      <c r="D68" s="13"/>
      <c r="E68" s="14"/>
      <c r="F68" s="10"/>
      <c r="G68" s="10"/>
      <c r="H68" s="10"/>
      <c r="I68" s="10"/>
      <c r="J68" s="10"/>
      <c r="K68" s="10"/>
      <c r="L68" s="13"/>
      <c r="M68" s="10"/>
      <c r="N68" s="10"/>
      <c r="O68" s="10"/>
      <c r="P68" s="10"/>
    </row>
    <row r="69" spans="1:16" s="1" customFormat="1">
      <c r="A69" s="10"/>
      <c r="B69" s="10"/>
      <c r="C69" s="10"/>
      <c r="D69" s="13"/>
      <c r="E69" s="14"/>
      <c r="F69" s="10"/>
      <c r="G69" s="10"/>
      <c r="H69" s="10"/>
      <c r="I69" s="10"/>
      <c r="J69" s="10"/>
      <c r="K69" s="10"/>
      <c r="L69" s="13"/>
      <c r="M69" s="10"/>
      <c r="N69" s="10"/>
      <c r="O69" s="10"/>
      <c r="P69" s="10"/>
    </row>
    <row r="70" spans="1:16" s="1" customFormat="1">
      <c r="A70" s="10"/>
      <c r="B70" s="10"/>
      <c r="C70" s="10"/>
      <c r="D70" s="13"/>
      <c r="E70" s="14"/>
      <c r="F70" s="10"/>
      <c r="G70" s="10"/>
      <c r="H70" s="10"/>
      <c r="I70" s="10"/>
      <c r="J70" s="10"/>
      <c r="K70" s="10"/>
      <c r="L70" s="13"/>
      <c r="M70" s="10"/>
      <c r="N70" s="10"/>
      <c r="O70" s="10"/>
      <c r="P70" s="10"/>
    </row>
    <row r="71" spans="1:16" s="1" customFormat="1">
      <c r="A71" s="10"/>
      <c r="B71" s="10"/>
      <c r="C71" s="10"/>
      <c r="D71" s="13"/>
      <c r="E71" s="14"/>
      <c r="F71" s="10"/>
      <c r="G71" s="10"/>
      <c r="H71" s="10"/>
      <c r="I71" s="10"/>
      <c r="J71" s="10"/>
      <c r="K71" s="10"/>
      <c r="L71" s="13"/>
      <c r="M71" s="10"/>
      <c r="N71" s="10"/>
      <c r="O71" s="10"/>
      <c r="P71" s="10"/>
    </row>
    <row r="72" spans="1:16" s="1" customFormat="1">
      <c r="A72" s="10"/>
      <c r="B72" s="10"/>
      <c r="C72" s="10"/>
      <c r="D72" s="13"/>
      <c r="E72" s="14"/>
      <c r="F72" s="10"/>
      <c r="G72" s="10"/>
      <c r="H72" s="10"/>
      <c r="I72" s="10"/>
      <c r="J72" s="10"/>
      <c r="K72" s="10"/>
      <c r="L72" s="13"/>
      <c r="M72" s="10"/>
      <c r="N72" s="10"/>
      <c r="O72" s="10"/>
      <c r="P72" s="10"/>
    </row>
    <row r="73" spans="1:16" s="1" customFormat="1">
      <c r="A73" s="10"/>
      <c r="B73" s="10"/>
      <c r="C73" s="10"/>
      <c r="D73" s="13"/>
      <c r="E73" s="14"/>
      <c r="F73" s="10"/>
      <c r="G73" s="10"/>
      <c r="H73" s="10"/>
      <c r="I73" s="10"/>
      <c r="J73" s="10"/>
      <c r="K73" s="10"/>
      <c r="L73" s="13"/>
      <c r="M73" s="10"/>
      <c r="N73" s="10"/>
      <c r="O73" s="10"/>
      <c r="P73" s="10"/>
    </row>
    <row r="74" spans="1:16" s="1" customFormat="1">
      <c r="A74" s="10"/>
      <c r="B74" s="10"/>
      <c r="C74" s="10"/>
      <c r="D74" s="13"/>
      <c r="E74" s="14"/>
      <c r="F74" s="10"/>
      <c r="G74" s="10"/>
      <c r="H74" s="10"/>
      <c r="I74" s="10"/>
      <c r="J74" s="10"/>
      <c r="K74" s="10"/>
      <c r="L74" s="13"/>
      <c r="M74" s="10"/>
      <c r="N74" s="10"/>
      <c r="O74" s="10"/>
      <c r="P74" s="10"/>
    </row>
    <row r="75" spans="1:16" s="1" customFormat="1">
      <c r="A75" s="15" t="s">
        <v>32</v>
      </c>
      <c r="B75" s="15"/>
      <c r="C75" s="10"/>
      <c r="D75" s="13"/>
      <c r="E75" s="14"/>
      <c r="F75" s="10"/>
      <c r="G75" s="10"/>
      <c r="H75" s="10"/>
      <c r="I75" s="10"/>
      <c r="J75" s="10"/>
      <c r="K75" s="10"/>
      <c r="L75" s="13"/>
      <c r="M75" s="10"/>
      <c r="N75" s="10"/>
      <c r="O75" s="10"/>
      <c r="P75" s="10"/>
    </row>
    <row r="76" spans="1:16">
      <c r="A76" s="4" t="s">
        <v>363</v>
      </c>
      <c r="C76" s="4" t="s">
        <v>362</v>
      </c>
      <c r="D76" s="5"/>
      <c r="E76" s="16">
        <f>'1_Case study 1 - Car'!E76</f>
        <v>1594129.6070000001</v>
      </c>
      <c r="F76" s="4" t="s">
        <v>6</v>
      </c>
      <c r="H76" s="4" t="s">
        <v>375</v>
      </c>
    </row>
    <row r="77" spans="1:16">
      <c r="A77" s="4" t="s">
        <v>363</v>
      </c>
      <c r="C77" s="4" t="s">
        <v>19</v>
      </c>
      <c r="D77" s="5"/>
      <c r="E77" s="17">
        <f>E76*41.868*1000000</f>
        <v>66743018385876.008</v>
      </c>
      <c r="F77" s="4" t="s">
        <v>11</v>
      </c>
      <c r="H77" s="4" t="s">
        <v>20</v>
      </c>
    </row>
    <row r="78" spans="1:16">
      <c r="A78" s="4" t="s">
        <v>7</v>
      </c>
      <c r="C78" s="4" t="s">
        <v>382</v>
      </c>
      <c r="D78" s="5"/>
      <c r="E78" s="16">
        <f>'1_Case study 1 - Car'!E78</f>
        <v>20612</v>
      </c>
      <c r="F78" s="4" t="s">
        <v>12</v>
      </c>
      <c r="H78" s="4" t="s">
        <v>8</v>
      </c>
      <c r="I78" s="4" t="s">
        <v>374</v>
      </c>
    </row>
    <row r="79" spans="1:16">
      <c r="A79" s="10" t="s">
        <v>9</v>
      </c>
      <c r="B79" s="10"/>
      <c r="C79" s="5"/>
      <c r="D79" s="5" t="s">
        <v>53</v>
      </c>
      <c r="E79" s="19">
        <f>E77/E78/1000000000</f>
        <v>3.2380660967337476</v>
      </c>
      <c r="F79" s="4" t="s">
        <v>10</v>
      </c>
    </row>
    <row r="80" spans="1:16">
      <c r="A80" s="10" t="s">
        <v>17</v>
      </c>
      <c r="B80" s="10"/>
      <c r="C80" s="10"/>
      <c r="D80" s="13" t="s">
        <v>181</v>
      </c>
      <c r="E80" s="67">
        <f>E60*E79</f>
        <v>0.11576095556692186</v>
      </c>
      <c r="F80" s="63" t="s">
        <v>18</v>
      </c>
      <c r="H80" s="10"/>
      <c r="I80" s="10"/>
      <c r="J80" s="10"/>
      <c r="K80" s="10"/>
      <c r="L80" s="10"/>
      <c r="M80" s="10"/>
      <c r="N80" s="10"/>
      <c r="O80" s="10"/>
    </row>
    <row r="81" spans="1:16">
      <c r="D81" s="5"/>
      <c r="F81" s="20"/>
      <c r="H81" s="10"/>
      <c r="I81" s="10"/>
      <c r="J81" s="10"/>
      <c r="K81" s="10"/>
      <c r="L81" s="13"/>
      <c r="M81" s="10"/>
      <c r="N81" s="10"/>
      <c r="O81" s="10"/>
    </row>
    <row r="82" spans="1:16">
      <c r="A82" s="9" t="s">
        <v>193</v>
      </c>
      <c r="B82" s="9"/>
      <c r="D82" s="5"/>
      <c r="F82" s="4"/>
    </row>
    <row r="83" spans="1:16">
      <c r="A83" s="4" t="s">
        <v>187</v>
      </c>
      <c r="C83" s="5"/>
      <c r="D83" s="5" t="s">
        <v>41</v>
      </c>
      <c r="E83" s="71">
        <f>B6</f>
        <v>1.875</v>
      </c>
      <c r="F83" s="4" t="s">
        <v>157</v>
      </c>
    </row>
    <row r="84" spans="1:16">
      <c r="A84" s="4" t="s">
        <v>194</v>
      </c>
      <c r="C84" s="5"/>
      <c r="D84" s="5" t="s">
        <v>71</v>
      </c>
      <c r="E84" s="87">
        <f>B8</f>
        <v>8.8333333333333339</v>
      </c>
      <c r="F84" s="4" t="s">
        <v>188</v>
      </c>
    </row>
    <row r="85" spans="1:16">
      <c r="A85" s="4" t="s">
        <v>118</v>
      </c>
      <c r="C85" s="5"/>
      <c r="D85" s="5" t="s">
        <v>35</v>
      </c>
      <c r="E85" s="88">
        <f>E$61/E84/1000</f>
        <v>1.4569811320754717E-5</v>
      </c>
      <c r="F85" s="4" t="s">
        <v>206</v>
      </c>
      <c r="H85" s="10"/>
      <c r="I85" s="10"/>
      <c r="J85" s="10"/>
      <c r="K85" s="10"/>
      <c r="L85" s="13"/>
      <c r="M85" s="10"/>
      <c r="N85" s="10"/>
      <c r="O85" s="10"/>
      <c r="P85" s="10"/>
    </row>
    <row r="86" spans="1:16">
      <c r="A86" s="4" t="s">
        <v>197</v>
      </c>
      <c r="C86" s="5"/>
      <c r="D86" s="5" t="s">
        <v>137</v>
      </c>
      <c r="E86" s="23">
        <f>B18</f>
        <v>580350</v>
      </c>
      <c r="F86" s="4" t="s">
        <v>196</v>
      </c>
      <c r="H86" s="10"/>
      <c r="I86" s="10"/>
      <c r="J86" s="10"/>
      <c r="K86" s="10"/>
      <c r="L86" s="13"/>
      <c r="M86" s="10"/>
      <c r="N86" s="10"/>
      <c r="O86" s="10"/>
      <c r="P86" s="10"/>
    </row>
    <row r="87" spans="1:16">
      <c r="A87" s="4" t="s">
        <v>138</v>
      </c>
      <c r="C87" s="5"/>
      <c r="D87" s="5" t="s">
        <v>136</v>
      </c>
      <c r="E87" s="23">
        <f>B327</f>
        <v>236.51981078415136</v>
      </c>
      <c r="F87" s="4" t="s">
        <v>11</v>
      </c>
    </row>
    <row r="88" spans="1:16">
      <c r="A88" s="4" t="s">
        <v>66</v>
      </c>
      <c r="C88" s="5"/>
      <c r="D88" s="5" t="s">
        <v>559</v>
      </c>
      <c r="E88" s="74">
        <f>B9</f>
        <v>2.2146156000000001</v>
      </c>
      <c r="F88" s="4" t="s">
        <v>65</v>
      </c>
    </row>
    <row r="89" spans="1:16">
      <c r="A89" s="51" t="s">
        <v>531</v>
      </c>
      <c r="B89" s="51"/>
      <c r="C89" s="51"/>
      <c r="D89" s="205" t="s">
        <v>488</v>
      </c>
      <c r="E89" s="200">
        <f>B7</f>
        <v>1.8</v>
      </c>
      <c r="F89" s="51" t="s">
        <v>67</v>
      </c>
    </row>
    <row r="90" spans="1:16">
      <c r="A90" s="51" t="s">
        <v>161</v>
      </c>
      <c r="B90" s="51"/>
      <c r="C90" s="51"/>
      <c r="D90" s="205" t="s">
        <v>162</v>
      </c>
      <c r="E90" s="212">
        <f>E83/E89</f>
        <v>1.0416666666666667</v>
      </c>
      <c r="F90" s="51" t="s">
        <v>45</v>
      </c>
    </row>
    <row r="91" spans="1:16">
      <c r="A91" s="51" t="s">
        <v>42</v>
      </c>
      <c r="B91" s="51"/>
      <c r="C91" s="205"/>
      <c r="D91" s="205" t="s">
        <v>68</v>
      </c>
      <c r="E91" s="208">
        <f>E88/E89</f>
        <v>1.230342</v>
      </c>
      <c r="F91" s="51" t="s">
        <v>11</v>
      </c>
    </row>
    <row r="92" spans="1:16">
      <c r="A92" s="51" t="s">
        <v>486</v>
      </c>
      <c r="B92" s="51"/>
      <c r="C92" s="51"/>
      <c r="D92" s="205" t="s">
        <v>538</v>
      </c>
      <c r="E92" s="213">
        <f>B10</f>
        <v>1.0000000000000001E-5</v>
      </c>
      <c r="F92" s="51" t="s">
        <v>45</v>
      </c>
    </row>
    <row r="93" spans="1:16">
      <c r="A93" s="51" t="s">
        <v>487</v>
      </c>
      <c r="B93" s="51"/>
      <c r="C93" s="51"/>
      <c r="D93" s="205" t="s">
        <v>539</v>
      </c>
      <c r="E93" s="213">
        <f>B11</f>
        <v>0</v>
      </c>
      <c r="F93" s="51" t="s">
        <v>45</v>
      </c>
    </row>
    <row r="94" spans="1:16">
      <c r="A94" s="51" t="s">
        <v>485</v>
      </c>
      <c r="B94" s="51"/>
      <c r="C94" s="51"/>
      <c r="D94" s="205" t="s">
        <v>540</v>
      </c>
      <c r="E94" s="213">
        <f>E92+E48*E93</f>
        <v>1.0000000000000001E-5</v>
      </c>
      <c r="F94" s="51" t="s">
        <v>45</v>
      </c>
      <c r="H94" s="10"/>
    </row>
    <row r="95" spans="1:16">
      <c r="A95" s="192"/>
      <c r="D95" s="193"/>
      <c r="E95" s="203"/>
      <c r="F95" s="192"/>
    </row>
    <row r="96" spans="1:16">
      <c r="A96" s="9" t="s">
        <v>190</v>
      </c>
      <c r="B96" s="9"/>
      <c r="D96" s="25"/>
      <c r="F96" s="4"/>
    </row>
    <row r="97" spans="1:9">
      <c r="A97" s="4" t="s">
        <v>187</v>
      </c>
      <c r="C97" s="5"/>
      <c r="D97" s="5" t="s">
        <v>139</v>
      </c>
      <c r="E97" s="71">
        <f>B12</f>
        <v>1.21</v>
      </c>
      <c r="F97" s="4" t="s">
        <v>157</v>
      </c>
      <c r="G97" s="5"/>
    </row>
    <row r="98" spans="1:9">
      <c r="A98" s="4" t="s">
        <v>195</v>
      </c>
      <c r="C98" s="5"/>
      <c r="D98" s="5" t="s">
        <v>106</v>
      </c>
      <c r="E98" s="91">
        <f>B14</f>
        <v>81.8</v>
      </c>
      <c r="F98" s="4" t="s">
        <v>188</v>
      </c>
      <c r="G98" s="5"/>
    </row>
    <row r="99" spans="1:9">
      <c r="A99" s="4" t="s">
        <v>36</v>
      </c>
      <c r="C99" s="5"/>
      <c r="D99" s="5" t="s">
        <v>142</v>
      </c>
      <c r="E99" s="88">
        <f>E$61/E98/1000</f>
        <v>1.5733496332518339E-6</v>
      </c>
      <c r="F99" s="4" t="s">
        <v>191</v>
      </c>
      <c r="G99" s="5"/>
    </row>
    <row r="100" spans="1:9">
      <c r="A100" s="4" t="s">
        <v>198</v>
      </c>
      <c r="D100" s="5" t="s">
        <v>86</v>
      </c>
      <c r="E100" s="23">
        <f>E86</f>
        <v>580350</v>
      </c>
      <c r="F100" s="4" t="s">
        <v>196</v>
      </c>
      <c r="H100" s="5"/>
      <c r="I100" s="5"/>
    </row>
    <row r="101" spans="1:9">
      <c r="A101" s="4" t="s">
        <v>199</v>
      </c>
      <c r="D101" s="5" t="s">
        <v>72</v>
      </c>
      <c r="E101" s="23">
        <f>((E37+(1-E37)*(((1-E37)/(E37))*(E99*E100/D170))^(E42/(1-E42)))^(-1/E42))*E100</f>
        <v>1412866.900720001</v>
      </c>
      <c r="F101" s="4" t="s">
        <v>196</v>
      </c>
      <c r="H101" s="22"/>
      <c r="I101" s="23"/>
    </row>
    <row r="102" spans="1:9">
      <c r="A102" s="4" t="s">
        <v>200</v>
      </c>
      <c r="D102" s="5" t="s">
        <v>111</v>
      </c>
      <c r="E102" s="23">
        <f>E101*((E121+F172)/E121)^E39</f>
        <v>1413438.7371252221</v>
      </c>
      <c r="F102" s="4" t="s">
        <v>196</v>
      </c>
      <c r="H102" s="22"/>
      <c r="I102" s="23"/>
    </row>
    <row r="103" spans="1:9">
      <c r="A103" s="4" t="s">
        <v>89</v>
      </c>
      <c r="D103" s="5" t="s">
        <v>107</v>
      </c>
      <c r="E103" s="74">
        <f>E100/E$98/277.7777</f>
        <v>25.541082946124256</v>
      </c>
      <c r="F103" s="4" t="s">
        <v>11</v>
      </c>
      <c r="G103" s="26"/>
    </row>
    <row r="104" spans="1:9">
      <c r="A104" s="4" t="s">
        <v>88</v>
      </c>
      <c r="D104" s="5" t="s">
        <v>108</v>
      </c>
      <c r="E104" s="74">
        <f>E101/E$98/277.7777</f>
        <v>62.179978811274303</v>
      </c>
      <c r="F104" s="4" t="s">
        <v>11</v>
      </c>
    </row>
    <row r="105" spans="1:9">
      <c r="A105" s="4" t="s">
        <v>113</v>
      </c>
      <c r="D105" s="5" t="s">
        <v>112</v>
      </c>
      <c r="E105" s="74">
        <f>E102/E$98/277.7777</f>
        <v>62.205145212682716</v>
      </c>
      <c r="F105" s="4" t="s">
        <v>11</v>
      </c>
    </row>
    <row r="106" spans="1:9">
      <c r="A106" s="4" t="s">
        <v>140</v>
      </c>
      <c r="D106" s="5" t="s">
        <v>51</v>
      </c>
      <c r="E106" s="23">
        <f>E87-E103</f>
        <v>210.97872783802711</v>
      </c>
      <c r="F106" s="4" t="s">
        <v>11</v>
      </c>
    </row>
    <row r="107" spans="1:9">
      <c r="A107" s="51" t="s">
        <v>66</v>
      </c>
      <c r="B107" s="51"/>
      <c r="C107" s="205"/>
      <c r="D107" s="205" t="s">
        <v>50</v>
      </c>
      <c r="E107" s="212">
        <f>B15</f>
        <v>6.5028546</v>
      </c>
      <c r="F107" s="4" t="s">
        <v>65</v>
      </c>
    </row>
    <row r="108" spans="1:9">
      <c r="A108" s="51" t="s">
        <v>532</v>
      </c>
      <c r="B108" s="51"/>
      <c r="C108" s="51"/>
      <c r="D108" s="205" t="s">
        <v>489</v>
      </c>
      <c r="E108" s="209">
        <f>B13</f>
        <v>10</v>
      </c>
      <c r="F108" s="4" t="s">
        <v>67</v>
      </c>
    </row>
    <row r="109" spans="1:9">
      <c r="A109" s="51" t="s">
        <v>161</v>
      </c>
      <c r="B109" s="51"/>
      <c r="C109" s="205"/>
      <c r="D109" s="205" t="s">
        <v>163</v>
      </c>
      <c r="E109" s="212">
        <f>E97/E108</f>
        <v>0.121</v>
      </c>
      <c r="F109" s="4" t="s">
        <v>45</v>
      </c>
    </row>
    <row r="110" spans="1:9">
      <c r="A110" s="51" t="s">
        <v>42</v>
      </c>
      <c r="B110" s="51"/>
      <c r="C110" s="205"/>
      <c r="D110" s="205" t="s">
        <v>109</v>
      </c>
      <c r="E110" s="214">
        <f>E107/E108</f>
        <v>0.65028545999999998</v>
      </c>
      <c r="F110" s="4" t="s">
        <v>11</v>
      </c>
      <c r="G110" s="5"/>
    </row>
    <row r="111" spans="1:9">
      <c r="A111" s="51" t="s">
        <v>486</v>
      </c>
      <c r="B111" s="51"/>
      <c r="C111" s="205"/>
      <c r="D111" s="205" t="s">
        <v>515</v>
      </c>
      <c r="E111" s="215">
        <f>B16</f>
        <v>1.0000000000000001E-5</v>
      </c>
      <c r="F111" s="4" t="s">
        <v>45</v>
      </c>
      <c r="G111" s="5"/>
    </row>
    <row r="112" spans="1:9">
      <c r="A112" s="51" t="s">
        <v>487</v>
      </c>
      <c r="B112" s="51"/>
      <c r="C112" s="51"/>
      <c r="D112" s="205" t="s">
        <v>516</v>
      </c>
      <c r="E112" s="215">
        <f>B17</f>
        <v>0</v>
      </c>
      <c r="F112" s="4" t="s">
        <v>45</v>
      </c>
      <c r="G112" s="5"/>
    </row>
    <row r="113" spans="1:9">
      <c r="A113" s="51" t="s">
        <v>485</v>
      </c>
      <c r="B113" s="51"/>
      <c r="C113" s="51"/>
      <c r="D113" s="205" t="s">
        <v>483</v>
      </c>
      <c r="E113" s="215">
        <f>E111+E54*E112</f>
        <v>1.0000000000000001E-5</v>
      </c>
      <c r="F113" s="4" t="s">
        <v>45</v>
      </c>
    </row>
    <row r="114" spans="1:9">
      <c r="A114" s="51" t="s">
        <v>166</v>
      </c>
      <c r="B114" s="51"/>
      <c r="C114" s="205"/>
      <c r="D114" s="216" t="s">
        <v>167</v>
      </c>
      <c r="E114" s="212">
        <f>E98/E84</f>
        <v>9.2603773584905653</v>
      </c>
      <c r="F114" s="57" t="s">
        <v>18</v>
      </c>
    </row>
    <row r="115" spans="1:9">
      <c r="D115" s="5"/>
      <c r="E115" s="22"/>
      <c r="F115" s="4"/>
    </row>
    <row r="116" spans="1:9">
      <c r="A116" s="9" t="s">
        <v>144</v>
      </c>
      <c r="B116" s="9"/>
      <c r="D116" s="5"/>
      <c r="F116" s="20"/>
    </row>
    <row r="117" spans="1:9">
      <c r="A117" s="4" t="s">
        <v>126</v>
      </c>
      <c r="D117" s="5"/>
      <c r="E117" s="23">
        <f>B19</f>
        <v>34317</v>
      </c>
      <c r="F117" s="57" t="s">
        <v>45</v>
      </c>
    </row>
    <row r="118" spans="1:9">
      <c r="A118" s="4" t="s">
        <v>127</v>
      </c>
      <c r="D118" s="5"/>
      <c r="E118" s="14">
        <f>B20</f>
        <v>0.88319000000000003</v>
      </c>
      <c r="F118" s="57" t="s">
        <v>18</v>
      </c>
    </row>
    <row r="119" spans="1:9">
      <c r="A119" s="4" t="s">
        <v>128</v>
      </c>
      <c r="D119" s="5"/>
      <c r="E119" s="10">
        <f>B21</f>
        <v>7.8479999999999994E-2</v>
      </c>
      <c r="F119" s="57" t="s">
        <v>18</v>
      </c>
    </row>
    <row r="120" spans="1:9">
      <c r="A120" s="4" t="s">
        <v>47</v>
      </c>
      <c r="C120" s="5"/>
      <c r="D120" s="5" t="s">
        <v>57</v>
      </c>
      <c r="E120" s="22">
        <f>E117*E118*(1-E119)</f>
        <v>27929.825547069602</v>
      </c>
      <c r="F120" s="57" t="s">
        <v>45</v>
      </c>
    </row>
    <row r="121" spans="1:9">
      <c r="A121" s="51"/>
      <c r="B121" s="51"/>
      <c r="C121" s="51"/>
      <c r="D121" s="217" t="s">
        <v>315</v>
      </c>
      <c r="E121" s="218">
        <f>E120-E53*E109-E113-E133</f>
        <v>27918.388276329028</v>
      </c>
      <c r="F121" s="57" t="s">
        <v>45</v>
      </c>
    </row>
    <row r="122" spans="1:9">
      <c r="A122" s="219" t="s">
        <v>141</v>
      </c>
      <c r="B122" s="51"/>
      <c r="C122" s="51"/>
      <c r="D122" s="205" t="s">
        <v>70</v>
      </c>
      <c r="E122" s="212">
        <f>E60*E106</f>
        <v>7.5424955542010865</v>
      </c>
      <c r="F122" s="26" t="s">
        <v>45</v>
      </c>
    </row>
    <row r="123" spans="1:9">
      <c r="A123" s="51" t="s">
        <v>168</v>
      </c>
      <c r="B123" s="51"/>
      <c r="C123" s="51"/>
      <c r="D123" s="205" t="s">
        <v>169</v>
      </c>
      <c r="E123" s="212">
        <f>E184</f>
        <v>-0.92066666666666674</v>
      </c>
      <c r="F123" s="26" t="s">
        <v>45</v>
      </c>
    </row>
    <row r="124" spans="1:9">
      <c r="A124" s="51" t="s">
        <v>521</v>
      </c>
      <c r="B124" s="51"/>
      <c r="C124" s="51"/>
      <c r="D124" s="205" t="s">
        <v>520</v>
      </c>
      <c r="E124" s="212">
        <f>E53*E109-E47*E90</f>
        <v>-0.91625259162666783</v>
      </c>
      <c r="F124" s="26" t="s">
        <v>45</v>
      </c>
    </row>
    <row r="125" spans="1:9">
      <c r="A125" s="51" t="s">
        <v>534</v>
      </c>
      <c r="B125" s="51"/>
      <c r="C125" s="51"/>
      <c r="D125" s="205" t="s">
        <v>519</v>
      </c>
      <c r="E125" s="212">
        <f>E185</f>
        <v>0</v>
      </c>
      <c r="F125" s="26" t="s">
        <v>45</v>
      </c>
    </row>
    <row r="126" spans="1:9">
      <c r="A126" s="51" t="s">
        <v>149</v>
      </c>
      <c r="B126" s="51"/>
      <c r="C126" s="51"/>
      <c r="D126" s="217" t="s">
        <v>259</v>
      </c>
      <c r="E126" s="209">
        <f>E120 - E60*E87 - E47*E90 - E94</f>
        <v>27920.315977086721</v>
      </c>
      <c r="F126" s="26" t="s">
        <v>45</v>
      </c>
    </row>
    <row r="127" spans="1:9">
      <c r="A127" s="51" t="s">
        <v>90</v>
      </c>
      <c r="B127" s="51"/>
      <c r="C127" s="51"/>
      <c r="D127" s="205" t="s">
        <v>258</v>
      </c>
      <c r="E127" s="209">
        <f>E126</f>
        <v>27920.315977086721</v>
      </c>
      <c r="F127" s="26" t="s">
        <v>45</v>
      </c>
      <c r="H127" s="5"/>
      <c r="I127" s="5"/>
    </row>
    <row r="128" spans="1:9">
      <c r="A128" s="51" t="s">
        <v>91</v>
      </c>
      <c r="B128" s="51"/>
      <c r="C128" s="51"/>
      <c r="D128" s="217" t="s">
        <v>73</v>
      </c>
      <c r="E128" s="209">
        <f>E126*(1/(1+E37*(((((1-E37)/(E37))*(H163*D164/D170))^(E42/(E42-1)))-1)))^(1/E42)</f>
        <v>27916.165340308176</v>
      </c>
      <c r="F128" s="26" t="s">
        <v>45</v>
      </c>
      <c r="H128" s="22"/>
      <c r="I128" s="23"/>
    </row>
    <row r="129" spans="1:9">
      <c r="A129" s="51" t="s">
        <v>115</v>
      </c>
      <c r="B129" s="51"/>
      <c r="C129" s="51"/>
      <c r="D129" s="205" t="s">
        <v>74</v>
      </c>
      <c r="E129" s="209">
        <f>E133 - E60*G182 + E128</f>
        <v>27927.463983957925</v>
      </c>
      <c r="F129" s="26" t="s">
        <v>45</v>
      </c>
      <c r="H129" s="22"/>
      <c r="I129" s="23"/>
    </row>
    <row r="130" spans="1:9">
      <c r="A130" s="51" t="s">
        <v>148</v>
      </c>
      <c r="B130" s="51"/>
      <c r="C130" s="51"/>
      <c r="D130" s="205" t="s">
        <v>282</v>
      </c>
      <c r="E130" s="209">
        <f>E129</f>
        <v>27927.463983957925</v>
      </c>
      <c r="F130" s="26" t="s">
        <v>45</v>
      </c>
    </row>
    <row r="131" spans="1:9">
      <c r="A131" s="51" t="s">
        <v>150</v>
      </c>
      <c r="B131" s="51"/>
      <c r="C131" s="205"/>
      <c r="D131" s="216" t="s">
        <v>151</v>
      </c>
      <c r="E131" s="209">
        <v>0</v>
      </c>
      <c r="F131" s="26" t="s">
        <v>45</v>
      </c>
    </row>
    <row r="132" spans="1:9">
      <c r="A132" s="51" t="s">
        <v>145</v>
      </c>
      <c r="B132" s="51"/>
      <c r="C132" s="51"/>
      <c r="D132" s="217" t="s">
        <v>152</v>
      </c>
      <c r="E132" s="212">
        <f>E122-E124-E125</f>
        <v>8.4587481458277551</v>
      </c>
      <c r="F132" s="26" t="s">
        <v>45</v>
      </c>
    </row>
    <row r="133" spans="1:9">
      <c r="A133" s="51" t="s">
        <v>146</v>
      </c>
      <c r="B133" s="51"/>
      <c r="C133" s="51"/>
      <c r="D133" s="217" t="s">
        <v>69</v>
      </c>
      <c r="E133" s="212">
        <f>E122-E124-E125-E60*F182 - F187</f>
        <v>11.299543349320359</v>
      </c>
      <c r="F133" s="26" t="s">
        <v>45</v>
      </c>
    </row>
    <row r="134" spans="1:9">
      <c r="A134" s="4" t="s">
        <v>147</v>
      </c>
      <c r="D134" s="13" t="s">
        <v>153</v>
      </c>
      <c r="E134" s="23">
        <v>0</v>
      </c>
      <c r="F134" s="26" t="s">
        <v>45</v>
      </c>
    </row>
    <row r="135" spans="1:9">
      <c r="A135" s="4" t="s">
        <v>154</v>
      </c>
      <c r="D135" s="13" t="s">
        <v>180</v>
      </c>
      <c r="E135" s="23">
        <v>0</v>
      </c>
      <c r="F135" s="26" t="s">
        <v>45</v>
      </c>
    </row>
    <row r="136" spans="1:9">
      <c r="D136" s="13"/>
      <c r="E136" s="23"/>
      <c r="F136" s="26"/>
    </row>
    <row r="137" spans="1:9">
      <c r="E137" s="22"/>
    </row>
    <row r="138" spans="1:9">
      <c r="E138" s="22"/>
    </row>
    <row r="157" spans="1:11">
      <c r="K157" s="27"/>
    </row>
    <row r="158" spans="1:11" ht="16.5" thickBot="1"/>
    <row r="159" spans="1:11">
      <c r="A159" s="28"/>
      <c r="B159" s="29" t="s">
        <v>83</v>
      </c>
      <c r="C159" s="29" t="s">
        <v>84</v>
      </c>
      <c r="D159" s="29" t="s">
        <v>85</v>
      </c>
      <c r="E159" s="29" t="s">
        <v>93</v>
      </c>
      <c r="F159" s="29" t="s">
        <v>94</v>
      </c>
      <c r="G159" s="29" t="s">
        <v>96</v>
      </c>
      <c r="H159" s="29" t="s">
        <v>95</v>
      </c>
    </row>
    <row r="160" spans="1:11">
      <c r="A160" s="30" t="s">
        <v>76</v>
      </c>
      <c r="B160" s="5" t="s">
        <v>5</v>
      </c>
      <c r="C160" s="5"/>
      <c r="D160" s="31">
        <f>$E60</f>
        <v>3.5750028600000004E-2</v>
      </c>
      <c r="E160" s="31">
        <f>$E60</f>
        <v>3.5750028600000004E-2</v>
      </c>
      <c r="F160" s="31">
        <f>$E60</f>
        <v>3.5750028600000004E-2</v>
      </c>
      <c r="G160" s="31">
        <f>$E60</f>
        <v>3.5750028600000004E-2</v>
      </c>
      <c r="H160" s="31">
        <f>$E60</f>
        <v>3.5750028600000004E-2</v>
      </c>
    </row>
    <row r="161" spans="1:13">
      <c r="A161" s="30" t="s">
        <v>9</v>
      </c>
      <c r="B161" s="5" t="s">
        <v>10</v>
      </c>
      <c r="C161" s="5"/>
      <c r="D161" s="31">
        <f>$E79</f>
        <v>3.2380660967337476</v>
      </c>
      <c r="E161" s="31">
        <f>$E79</f>
        <v>3.2380660967337476</v>
      </c>
      <c r="F161" s="31">
        <f>$E79</f>
        <v>3.2380660967337476</v>
      </c>
      <c r="G161" s="31">
        <f>$E79</f>
        <v>3.2380660967337476</v>
      </c>
      <c r="H161" s="31">
        <f>$E79</f>
        <v>3.2380660967337476</v>
      </c>
    </row>
    <row r="162" spans="1:13">
      <c r="A162" s="30" t="s">
        <v>77</v>
      </c>
      <c r="B162" s="5" t="s">
        <v>188</v>
      </c>
      <c r="C162" s="5"/>
      <c r="D162" s="101">
        <f>E84</f>
        <v>8.8333333333333339</v>
      </c>
      <c r="E162" s="101">
        <f t="shared" ref="E162:H163" si="1">$E98</f>
        <v>81.8</v>
      </c>
      <c r="F162" s="101">
        <f t="shared" si="1"/>
        <v>81.8</v>
      </c>
      <c r="G162" s="101">
        <f t="shared" si="1"/>
        <v>81.8</v>
      </c>
      <c r="H162" s="101">
        <f t="shared" si="1"/>
        <v>81.8</v>
      </c>
    </row>
    <row r="163" spans="1:13">
      <c r="A163" s="30" t="s">
        <v>78</v>
      </c>
      <c r="B163" s="5" t="s">
        <v>206</v>
      </c>
      <c r="C163" s="5"/>
      <c r="D163" s="99">
        <f>E85</f>
        <v>1.4569811320754717E-5</v>
      </c>
      <c r="E163" s="100">
        <f t="shared" si="1"/>
        <v>1.5733496332518339E-6</v>
      </c>
      <c r="F163" s="100">
        <f t="shared" si="1"/>
        <v>1.5733496332518339E-6</v>
      </c>
      <c r="G163" s="100">
        <f t="shared" si="1"/>
        <v>1.5733496332518339E-6</v>
      </c>
      <c r="H163" s="100">
        <f t="shared" si="1"/>
        <v>1.5733496332518339E-6</v>
      </c>
    </row>
    <row r="164" spans="1:13">
      <c r="A164" s="30" t="s">
        <v>79</v>
      </c>
      <c r="B164" s="5" t="s">
        <v>196</v>
      </c>
      <c r="C164" s="5"/>
      <c r="D164" s="33">
        <f>$E86</f>
        <v>580350</v>
      </c>
      <c r="E164" s="33">
        <f>E100</f>
        <v>580350</v>
      </c>
      <c r="F164" s="33">
        <f>E101</f>
        <v>1412866.900720001</v>
      </c>
      <c r="G164" s="33">
        <f>E102</f>
        <v>1413438.7371252221</v>
      </c>
      <c r="H164" s="33">
        <f>E102</f>
        <v>1413438.7371252221</v>
      </c>
    </row>
    <row r="165" spans="1:13">
      <c r="A165" s="30" t="s">
        <v>39</v>
      </c>
      <c r="B165" s="5" t="s">
        <v>11</v>
      </c>
      <c r="C165" s="5"/>
      <c r="D165" s="33">
        <f>E87</f>
        <v>236.51981078415136</v>
      </c>
      <c r="E165" s="33">
        <f>E103</f>
        <v>25.541082946124256</v>
      </c>
      <c r="F165" s="33">
        <f>E104</f>
        <v>62.179978811274303</v>
      </c>
      <c r="G165" s="33">
        <f>E105</f>
        <v>62.205145212682716</v>
      </c>
      <c r="H165" s="33">
        <f>G165</f>
        <v>62.205145212682716</v>
      </c>
      <c r="I165" s="4" t="s">
        <v>404</v>
      </c>
    </row>
    <row r="166" spans="1:13">
      <c r="A166" s="30" t="s">
        <v>42</v>
      </c>
      <c r="B166" s="5" t="s">
        <v>11</v>
      </c>
      <c r="C166" s="5"/>
      <c r="D166" s="143">
        <f>E88/E89</f>
        <v>1.230342</v>
      </c>
      <c r="E166" s="143">
        <f>$E107/$E108</f>
        <v>0.65028545999999998</v>
      </c>
      <c r="F166" s="143">
        <f>$E107/$E108</f>
        <v>0.65028545999999998</v>
      </c>
      <c r="G166" s="143">
        <f>$E107/$E108</f>
        <v>0.65028545999999998</v>
      </c>
      <c r="H166" s="143">
        <f>$E107/$E108</f>
        <v>0.65028545999999998</v>
      </c>
    </row>
    <row r="167" spans="1:13">
      <c r="A167" s="30" t="s">
        <v>80</v>
      </c>
      <c r="B167" s="5" t="s">
        <v>45</v>
      </c>
      <c r="C167" s="5"/>
      <c r="D167" s="94">
        <f>E83/E89</f>
        <v>1.0416666666666667</v>
      </c>
      <c r="E167" s="94">
        <f>$E97/$E108</f>
        <v>0.121</v>
      </c>
      <c r="F167" s="94">
        <f>$E97/$E108</f>
        <v>0.121</v>
      </c>
      <c r="G167" s="94">
        <f>$E97/$E108</f>
        <v>0.121</v>
      </c>
      <c r="H167" s="94">
        <f>$E97/$E108</f>
        <v>0.121</v>
      </c>
    </row>
    <row r="168" spans="1:13">
      <c r="A168" s="204" t="s">
        <v>482</v>
      </c>
      <c r="B168" s="5" t="s">
        <v>45</v>
      </c>
      <c r="C168" s="24"/>
      <c r="D168" s="102">
        <f>E94</f>
        <v>1.0000000000000001E-5</v>
      </c>
      <c r="E168" s="102">
        <f>$E113</f>
        <v>1.0000000000000001E-5</v>
      </c>
      <c r="F168" s="102">
        <f>$E113</f>
        <v>1.0000000000000001E-5</v>
      </c>
      <c r="G168" s="102">
        <f>$E113</f>
        <v>1.0000000000000001E-5</v>
      </c>
      <c r="H168" s="102">
        <f>$E113</f>
        <v>1.0000000000000001E-5</v>
      </c>
    </row>
    <row r="169" spans="1:13">
      <c r="A169" s="30" t="s">
        <v>260</v>
      </c>
      <c r="B169" s="5" t="s">
        <v>45</v>
      </c>
      <c r="C169" s="5"/>
      <c r="D169" s="143">
        <f>D163*D164</f>
        <v>8.4555899999999991</v>
      </c>
      <c r="E169" s="94">
        <f>E163*E164</f>
        <v>0.91309345965770183</v>
      </c>
      <c r="F169" s="94">
        <f>F163*F164</f>
        <v>2.2229336200814687</v>
      </c>
      <c r="G169" s="94">
        <f>G163*G164</f>
        <v>2.2238333186799033</v>
      </c>
      <c r="H169" s="94">
        <f>H163*H164</f>
        <v>2.2238333186799033</v>
      </c>
    </row>
    <row r="170" spans="1:13">
      <c r="A170" s="30" t="s">
        <v>81</v>
      </c>
      <c r="B170" s="5" t="s">
        <v>45</v>
      </c>
      <c r="C170" s="24"/>
      <c r="D170" s="34">
        <f>E126</f>
        <v>27920.315977086721</v>
      </c>
      <c r="E170" s="34">
        <f>E127</f>
        <v>27920.315977086721</v>
      </c>
      <c r="F170" s="34">
        <f>E128</f>
        <v>27916.165340308176</v>
      </c>
      <c r="G170" s="34">
        <f>E129</f>
        <v>27927.463983957925</v>
      </c>
      <c r="H170" s="34">
        <f>E130</f>
        <v>27927.463983957925</v>
      </c>
      <c r="I170" s="4" t="s">
        <v>283</v>
      </c>
      <c r="J170" s="72">
        <f>F172</f>
        <v>11.299543349320359</v>
      </c>
      <c r="K170" s="4" t="s">
        <v>284</v>
      </c>
    </row>
    <row r="171" spans="1:13">
      <c r="A171" s="30" t="s">
        <v>314</v>
      </c>
      <c r="B171" s="5" t="s">
        <v>45</v>
      </c>
      <c r="C171" s="5"/>
      <c r="D171" s="33">
        <f>E120</f>
        <v>27929.825547069602</v>
      </c>
      <c r="E171" s="33">
        <f>E120</f>
        <v>27929.825547069602</v>
      </c>
      <c r="F171" s="34">
        <f>E120</f>
        <v>27929.825547069602</v>
      </c>
      <c r="G171" s="33">
        <f>E120</f>
        <v>27929.825547069602</v>
      </c>
      <c r="H171" s="33">
        <f>E120</f>
        <v>27929.825547069602</v>
      </c>
      <c r="J171" s="107">
        <f>D160*G182 + G187</f>
        <v>11.299543349318666</v>
      </c>
      <c r="K171" s="107" t="s">
        <v>285</v>
      </c>
      <c r="L171" s="107"/>
      <c r="M171" s="107"/>
    </row>
    <row r="172" spans="1:13">
      <c r="A172" s="30" t="s">
        <v>82</v>
      </c>
      <c r="B172" s="5" t="s">
        <v>45</v>
      </c>
      <c r="C172" s="5"/>
      <c r="D172" s="95">
        <f>E131</f>
        <v>0</v>
      </c>
      <c r="E172" s="95">
        <f>E132</f>
        <v>8.4587481458277551</v>
      </c>
      <c r="F172" s="95">
        <f>E133</f>
        <v>11.299543349320359</v>
      </c>
      <c r="G172" s="95">
        <f>E134</f>
        <v>0</v>
      </c>
      <c r="H172" s="95">
        <f>E135</f>
        <v>0</v>
      </c>
      <c r="J172" s="22">
        <f>J170-J171</f>
        <v>1.6928680679484387E-12</v>
      </c>
      <c r="K172" s="4" t="s">
        <v>286</v>
      </c>
    </row>
    <row r="173" spans="1:13" ht="16.5" thickBot="1">
      <c r="A173" s="35" t="s">
        <v>97</v>
      </c>
      <c r="B173" s="36" t="s">
        <v>45</v>
      </c>
      <c r="C173" s="36"/>
      <c r="D173" s="97">
        <v>0</v>
      </c>
      <c r="E173" s="96">
        <f>$E122</f>
        <v>7.5424955542010865</v>
      </c>
      <c r="F173" s="96">
        <f>$E122</f>
        <v>7.5424955542010865</v>
      </c>
      <c r="G173" s="96">
        <f>$E122</f>
        <v>7.5424955542010865</v>
      </c>
      <c r="H173" s="96">
        <f>$E122</f>
        <v>7.5424955542010865</v>
      </c>
    </row>
    <row r="174" spans="1:13">
      <c r="D174" s="5"/>
      <c r="E174" s="34"/>
      <c r="F174" s="34"/>
      <c r="G174" s="34"/>
      <c r="H174" s="33"/>
    </row>
    <row r="175" spans="1:13" ht="16.5" thickBot="1">
      <c r="C175" s="30" t="s">
        <v>102</v>
      </c>
      <c r="D175" s="5"/>
      <c r="E175" s="34"/>
      <c r="F175" s="34"/>
      <c r="G175" s="34"/>
      <c r="H175" s="33"/>
    </row>
    <row r="176" spans="1:13">
      <c r="A176" s="28"/>
      <c r="B176" s="29" t="s">
        <v>83</v>
      </c>
      <c r="C176" s="29" t="s">
        <v>84</v>
      </c>
      <c r="D176" s="29"/>
      <c r="E176" s="29" t="s">
        <v>98</v>
      </c>
      <c r="F176" s="29" t="s">
        <v>99</v>
      </c>
      <c r="G176" s="29" t="s">
        <v>100</v>
      </c>
      <c r="H176" s="29" t="s">
        <v>101</v>
      </c>
    </row>
    <row r="177" spans="1:8">
      <c r="A177" s="30" t="s">
        <v>76</v>
      </c>
      <c r="B177" s="5" t="s">
        <v>5</v>
      </c>
      <c r="C177" s="5"/>
      <c r="D177" s="38"/>
      <c r="E177" s="34">
        <f t="shared" ref="E177:H189" si="2">E160-D160</f>
        <v>0</v>
      </c>
      <c r="F177" s="34">
        <f t="shared" si="2"/>
        <v>0</v>
      </c>
      <c r="G177" s="34">
        <f t="shared" si="2"/>
        <v>0</v>
      </c>
      <c r="H177" s="34">
        <f t="shared" si="2"/>
        <v>0</v>
      </c>
    </row>
    <row r="178" spans="1:8">
      <c r="A178" s="30" t="s">
        <v>9</v>
      </c>
      <c r="B178" s="5" t="s">
        <v>10</v>
      </c>
      <c r="C178" s="5"/>
      <c r="D178" s="31"/>
      <c r="E178" s="34">
        <f t="shared" si="2"/>
        <v>0</v>
      </c>
      <c r="F178" s="34">
        <f t="shared" si="2"/>
        <v>0</v>
      </c>
      <c r="G178" s="34">
        <f t="shared" si="2"/>
        <v>0</v>
      </c>
      <c r="H178" s="34">
        <f t="shared" si="2"/>
        <v>0</v>
      </c>
    </row>
    <row r="179" spans="1:8">
      <c r="A179" s="30" t="s">
        <v>77</v>
      </c>
      <c r="B179" s="5" t="s">
        <v>188</v>
      </c>
      <c r="C179" s="5"/>
      <c r="D179" s="39"/>
      <c r="E179" s="34">
        <f t="shared" si="2"/>
        <v>72.966666666666669</v>
      </c>
      <c r="F179" s="34">
        <f t="shared" si="2"/>
        <v>0</v>
      </c>
      <c r="G179" s="34">
        <f t="shared" si="2"/>
        <v>0</v>
      </c>
      <c r="H179" s="34">
        <f t="shared" si="2"/>
        <v>0</v>
      </c>
    </row>
    <row r="180" spans="1:8">
      <c r="A180" s="30" t="s">
        <v>78</v>
      </c>
      <c r="B180" s="5" t="s">
        <v>206</v>
      </c>
      <c r="C180" s="5"/>
      <c r="D180" s="38"/>
      <c r="E180" s="78">
        <f t="shared" si="2"/>
        <v>-1.2996461687502882E-5</v>
      </c>
      <c r="F180" s="78">
        <f t="shared" si="2"/>
        <v>0</v>
      </c>
      <c r="G180" s="78">
        <f t="shared" si="2"/>
        <v>0</v>
      </c>
      <c r="H180" s="78">
        <f t="shared" si="2"/>
        <v>0</v>
      </c>
    </row>
    <row r="181" spans="1:8">
      <c r="A181" s="30" t="s">
        <v>79</v>
      </c>
      <c r="B181" s="5" t="s">
        <v>196</v>
      </c>
      <c r="C181" s="5"/>
      <c r="D181" s="34"/>
      <c r="E181" s="34">
        <f t="shared" si="2"/>
        <v>0</v>
      </c>
      <c r="F181" s="34">
        <f t="shared" si="2"/>
        <v>832516.90072000097</v>
      </c>
      <c r="G181" s="34">
        <f t="shared" si="2"/>
        <v>571.83640522114001</v>
      </c>
      <c r="H181" s="34">
        <f t="shared" si="2"/>
        <v>0</v>
      </c>
    </row>
    <row r="182" spans="1:8">
      <c r="A182" s="30" t="s">
        <v>39</v>
      </c>
      <c r="B182" s="5" t="s">
        <v>11</v>
      </c>
      <c r="C182" s="5"/>
      <c r="D182" s="34"/>
      <c r="E182" s="34">
        <f t="shared" si="2"/>
        <v>-210.97872783802711</v>
      </c>
      <c r="F182" s="34">
        <f t="shared" si="2"/>
        <v>36.638895865150047</v>
      </c>
      <c r="G182" s="34">
        <f t="shared" si="2"/>
        <v>2.5166401408412753E-2</v>
      </c>
      <c r="H182" s="34">
        <f t="shared" si="2"/>
        <v>0</v>
      </c>
    </row>
    <row r="183" spans="1:8">
      <c r="A183" s="30" t="s">
        <v>42</v>
      </c>
      <c r="B183" s="5" t="s">
        <v>11</v>
      </c>
      <c r="C183" s="5"/>
      <c r="D183" s="34"/>
      <c r="E183" s="95">
        <f t="shared" si="2"/>
        <v>-0.58005654000000006</v>
      </c>
      <c r="F183" s="95">
        <f t="shared" si="2"/>
        <v>0</v>
      </c>
      <c r="G183" s="95">
        <f t="shared" si="2"/>
        <v>0</v>
      </c>
      <c r="H183" s="95">
        <f t="shared" si="2"/>
        <v>0</v>
      </c>
    </row>
    <row r="184" spans="1:8">
      <c r="A184" s="30" t="s">
        <v>80</v>
      </c>
      <c r="B184" s="5" t="s">
        <v>45</v>
      </c>
      <c r="C184" s="5"/>
      <c r="D184" s="34"/>
      <c r="E184" s="95">
        <f t="shared" si="2"/>
        <v>-0.92066666666666674</v>
      </c>
      <c r="F184" s="95">
        <f t="shared" si="2"/>
        <v>0</v>
      </c>
      <c r="G184" s="95">
        <f t="shared" si="2"/>
        <v>0</v>
      </c>
      <c r="H184" s="95">
        <f t="shared" si="2"/>
        <v>0</v>
      </c>
    </row>
    <row r="185" spans="1:8">
      <c r="A185" s="204" t="s">
        <v>482</v>
      </c>
      <c r="B185" s="5" t="s">
        <v>45</v>
      </c>
      <c r="C185" s="24"/>
      <c r="D185" s="34"/>
      <c r="E185" s="95">
        <f t="shared" si="2"/>
        <v>0</v>
      </c>
      <c r="F185" s="95">
        <f t="shared" si="2"/>
        <v>0</v>
      </c>
      <c r="G185" s="95">
        <f t="shared" si="2"/>
        <v>0</v>
      </c>
      <c r="H185" s="95">
        <f t="shared" si="2"/>
        <v>0</v>
      </c>
    </row>
    <row r="186" spans="1:8">
      <c r="A186" s="30" t="s">
        <v>260</v>
      </c>
      <c r="B186" s="5" t="s">
        <v>45</v>
      </c>
      <c r="C186" s="5"/>
      <c r="D186" s="33"/>
      <c r="E186" s="94">
        <f t="shared" si="2"/>
        <v>-7.542496540342297</v>
      </c>
      <c r="F186" s="94">
        <f t="shared" si="2"/>
        <v>1.3098401604237668</v>
      </c>
      <c r="G186" s="94">
        <f t="shared" si="2"/>
        <v>8.9969859843463951E-4</v>
      </c>
      <c r="H186" s="94">
        <f t="shared" si="2"/>
        <v>0</v>
      </c>
    </row>
    <row r="187" spans="1:8">
      <c r="A187" s="30" t="s">
        <v>81</v>
      </c>
      <c r="B187" s="5" t="s">
        <v>45</v>
      </c>
      <c r="C187" s="24"/>
      <c r="D187" s="34"/>
      <c r="E187" s="95">
        <f t="shared" si="2"/>
        <v>0</v>
      </c>
      <c r="F187" s="95">
        <f>F170-E170</f>
        <v>-4.1506367785441398</v>
      </c>
      <c r="G187" s="95">
        <f t="shared" si="2"/>
        <v>11.298643649748556</v>
      </c>
      <c r="H187" s="95">
        <f t="shared" si="2"/>
        <v>0</v>
      </c>
    </row>
    <row r="188" spans="1:8">
      <c r="A188" s="30" t="s">
        <v>314</v>
      </c>
      <c r="B188" s="5" t="s">
        <v>45</v>
      </c>
      <c r="C188" s="5"/>
      <c r="D188" s="33"/>
      <c r="E188" s="34">
        <f t="shared" si="2"/>
        <v>0</v>
      </c>
      <c r="F188" s="34">
        <f t="shared" si="2"/>
        <v>0</v>
      </c>
      <c r="G188" s="34">
        <f t="shared" si="2"/>
        <v>0</v>
      </c>
      <c r="H188" s="34">
        <f t="shared" si="2"/>
        <v>0</v>
      </c>
    </row>
    <row r="189" spans="1:8">
      <c r="A189" s="30" t="s">
        <v>82</v>
      </c>
      <c r="B189" s="5" t="s">
        <v>45</v>
      </c>
      <c r="C189" s="5"/>
      <c r="D189" s="34"/>
      <c r="E189" s="95">
        <f t="shared" si="2"/>
        <v>8.4587481458277551</v>
      </c>
      <c r="F189" s="95">
        <f t="shared" si="2"/>
        <v>2.8407952034926041</v>
      </c>
      <c r="G189" s="95">
        <f t="shared" si="2"/>
        <v>-11.299543349320359</v>
      </c>
      <c r="H189" s="95">
        <f t="shared" si="2"/>
        <v>0</v>
      </c>
    </row>
    <row r="190" spans="1:8" ht="16.5" thickBot="1">
      <c r="A190" s="35" t="s">
        <v>97</v>
      </c>
      <c r="B190" s="36" t="s">
        <v>45</v>
      </c>
      <c r="C190" s="36"/>
      <c r="D190" s="40"/>
      <c r="E190" s="96">
        <f>E173-D173</f>
        <v>7.5424955542010865</v>
      </c>
      <c r="F190" s="96">
        <f>F173-E173</f>
        <v>0</v>
      </c>
      <c r="G190" s="96">
        <f>G173-F173</f>
        <v>0</v>
      </c>
      <c r="H190" s="96">
        <f>H173-G173</f>
        <v>0</v>
      </c>
    </row>
    <row r="193" spans="4:7">
      <c r="D193" s="41" t="s">
        <v>64</v>
      </c>
      <c r="E193" s="42">
        <v>0</v>
      </c>
    </row>
    <row r="196" spans="4:7">
      <c r="D196" s="9" t="s">
        <v>49</v>
      </c>
      <c r="E196" s="43" t="s">
        <v>92</v>
      </c>
      <c r="F196" s="44" t="s">
        <v>13</v>
      </c>
    </row>
    <row r="197" spans="4:7" ht="17.25">
      <c r="D197" s="207" t="s">
        <v>558</v>
      </c>
      <c r="E197" s="211">
        <f>E88</f>
        <v>2.2146156000000001</v>
      </c>
      <c r="F197" s="205" t="s">
        <v>65</v>
      </c>
    </row>
    <row r="198" spans="4:7">
      <c r="D198" s="207" t="s">
        <v>50</v>
      </c>
      <c r="E198" s="211">
        <f>E107</f>
        <v>6.5028546</v>
      </c>
      <c r="F198" s="205" t="s">
        <v>65</v>
      </c>
    </row>
    <row r="199" spans="4:7" ht="17.25">
      <c r="D199" s="207" t="s">
        <v>537</v>
      </c>
      <c r="E199" s="211">
        <f>E91</f>
        <v>1.230342</v>
      </c>
      <c r="F199" s="205" t="s">
        <v>11</v>
      </c>
    </row>
    <row r="200" spans="4:7">
      <c r="D200" s="207" t="str">
        <f>D89</f>
        <v>t⁰_life</v>
      </c>
      <c r="E200" s="212">
        <f>E89</f>
        <v>1.8</v>
      </c>
      <c r="F200" s="205" t="s">
        <v>67</v>
      </c>
    </row>
    <row r="201" spans="4:7">
      <c r="D201" s="207" t="str">
        <f>D108</f>
        <v>t*_life</v>
      </c>
      <c r="E201" s="209">
        <f>E108</f>
        <v>10</v>
      </c>
      <c r="F201" s="205" t="s">
        <v>67</v>
      </c>
    </row>
    <row r="202" spans="4:7">
      <c r="D202" s="4" t="s">
        <v>51</v>
      </c>
      <c r="E202" s="22">
        <f>E$106</f>
        <v>210.97872783802711</v>
      </c>
      <c r="F202" s="5" t="s">
        <v>11</v>
      </c>
      <c r="G202" s="22"/>
    </row>
    <row r="203" spans="4:7">
      <c r="D203" s="41" t="s">
        <v>52</v>
      </c>
      <c r="E203" s="42">
        <f>((E198/E197*E200/E201)-1)*E199/E202</f>
        <v>-2.7493603072880493E-3</v>
      </c>
    </row>
    <row r="205" spans="4:7">
      <c r="D205" s="9" t="s">
        <v>49</v>
      </c>
      <c r="E205" s="43" t="s">
        <v>92</v>
      </c>
      <c r="F205" s="44" t="s">
        <v>13</v>
      </c>
    </row>
    <row r="206" spans="4:7" ht="17.25">
      <c r="D206" s="190" t="s">
        <v>480</v>
      </c>
      <c r="E206" s="142">
        <f>D168</f>
        <v>1.0000000000000001E-5</v>
      </c>
      <c r="F206" s="5" t="s">
        <v>45</v>
      </c>
    </row>
    <row r="207" spans="4:7">
      <c r="D207" s="190" t="s">
        <v>481</v>
      </c>
      <c r="E207" s="142">
        <f>E168</f>
        <v>1.0000000000000001E-5</v>
      </c>
      <c r="F207" s="5" t="s">
        <v>45</v>
      </c>
    </row>
    <row r="208" spans="4:7">
      <c r="D208" s="4" t="s">
        <v>53</v>
      </c>
      <c r="E208" s="19">
        <f>D$161</f>
        <v>3.2380660967337476</v>
      </c>
      <c r="F208" s="5" t="s">
        <v>10</v>
      </c>
    </row>
    <row r="209" spans="4:6">
      <c r="D209" s="4" t="s">
        <v>51</v>
      </c>
      <c r="E209" s="22">
        <f>E$106</f>
        <v>210.97872783802711</v>
      </c>
      <c r="F209" s="5" t="s">
        <v>11</v>
      </c>
    </row>
    <row r="210" spans="4:6">
      <c r="D210" s="41" t="s">
        <v>536</v>
      </c>
      <c r="E210" s="42">
        <f>((E207/E206)-1)*E206*E208/E209</f>
        <v>0</v>
      </c>
    </row>
    <row r="211" spans="4:6">
      <c r="D211" s="10"/>
      <c r="E211" s="45"/>
    </row>
    <row r="212" spans="4:6">
      <c r="D212" s="9" t="s">
        <v>49</v>
      </c>
      <c r="E212" s="43" t="s">
        <v>92</v>
      </c>
      <c r="F212" s="44" t="s">
        <v>13</v>
      </c>
    </row>
    <row r="213" spans="4:6">
      <c r="D213" s="4" t="s">
        <v>103</v>
      </c>
      <c r="E213" s="11">
        <f>H162</f>
        <v>81.8</v>
      </c>
      <c r="F213" s="5" t="s">
        <v>188</v>
      </c>
    </row>
    <row r="214" spans="4:6">
      <c r="D214" s="4" t="s">
        <v>54</v>
      </c>
      <c r="E214" s="11">
        <f>D162</f>
        <v>8.8333333333333339</v>
      </c>
      <c r="F214" s="5" t="s">
        <v>188</v>
      </c>
    </row>
    <row r="215" spans="4:6" ht="17.25">
      <c r="D215" s="4" t="s">
        <v>335</v>
      </c>
      <c r="E215" s="23">
        <f>D164</f>
        <v>580350</v>
      </c>
      <c r="F215" s="13" t="s">
        <v>343</v>
      </c>
    </row>
    <row r="216" spans="4:6">
      <c r="D216" s="4" t="s">
        <v>336</v>
      </c>
      <c r="E216" s="23">
        <f>F164</f>
        <v>1412866.900720001</v>
      </c>
      <c r="F216" s="13" t="s">
        <v>343</v>
      </c>
    </row>
    <row r="217" spans="4:6">
      <c r="D217" s="41" t="s">
        <v>55</v>
      </c>
      <c r="E217" s="42">
        <f>((E216/E215)-1) / ((E213/E214)-1)</f>
        <v>0.17366135382600031</v>
      </c>
    </row>
    <row r="220" spans="4:6">
      <c r="D220" s="9" t="s">
        <v>49</v>
      </c>
      <c r="E220" s="43" t="s">
        <v>92</v>
      </c>
      <c r="F220" s="44" t="s">
        <v>13</v>
      </c>
    </row>
    <row r="221" spans="4:6">
      <c r="D221" s="4" t="s">
        <v>103</v>
      </c>
      <c r="E221" s="11">
        <f>H162</f>
        <v>81.8</v>
      </c>
      <c r="F221" s="5" t="s">
        <v>188</v>
      </c>
    </row>
    <row r="222" spans="4:6" ht="17.25">
      <c r="D222" s="4" t="s">
        <v>331</v>
      </c>
      <c r="E222" s="11">
        <f>D162</f>
        <v>8.8333333333333339</v>
      </c>
      <c r="F222" s="5" t="s">
        <v>188</v>
      </c>
    </row>
    <row r="223" spans="4:6" ht="17.25">
      <c r="D223" s="4" t="s">
        <v>332</v>
      </c>
      <c r="E223" s="22">
        <f>D170</f>
        <v>27920.315977086721</v>
      </c>
      <c r="F223" s="5" t="s">
        <v>45</v>
      </c>
    </row>
    <row r="224" spans="4:6" ht="17.25">
      <c r="D224" s="4" t="s">
        <v>334</v>
      </c>
      <c r="E224" s="22">
        <f>F170</f>
        <v>27916.165340308176</v>
      </c>
      <c r="F224" s="5" t="s">
        <v>45</v>
      </c>
    </row>
    <row r="225" spans="4:6">
      <c r="D225" s="4" t="s">
        <v>53</v>
      </c>
      <c r="E225" s="19">
        <f>D$161</f>
        <v>3.2380660967337476</v>
      </c>
      <c r="F225" s="5" t="s">
        <v>10</v>
      </c>
    </row>
    <row r="226" spans="4:6">
      <c r="D226" s="4" t="s">
        <v>155</v>
      </c>
      <c r="E226" s="22">
        <f>D165</f>
        <v>236.51981078415136</v>
      </c>
      <c r="F226" s="5" t="s">
        <v>11</v>
      </c>
    </row>
    <row r="227" spans="4:6">
      <c r="D227" s="41" t="s">
        <v>56</v>
      </c>
      <c r="E227" s="42">
        <f>(((E224/E223)-1)/((E221/E222)-1))*(E221/E222)*(E223*E225/E226)</f>
        <v>-6.3703268158718504E-2</v>
      </c>
    </row>
    <row r="231" spans="4:6">
      <c r="D231" s="9" t="s">
        <v>49</v>
      </c>
      <c r="E231" s="43" t="s">
        <v>92</v>
      </c>
      <c r="F231" s="44" t="s">
        <v>13</v>
      </c>
    </row>
    <row r="232" spans="4:6">
      <c r="D232" s="4" t="s">
        <v>69</v>
      </c>
      <c r="E232" s="23">
        <f>F172</f>
        <v>11.299543349320359</v>
      </c>
      <c r="F232" s="5" t="s">
        <v>45</v>
      </c>
    </row>
    <row r="233" spans="4:6">
      <c r="D233" s="70" t="s">
        <v>315</v>
      </c>
      <c r="E233" s="23">
        <f>E121</f>
        <v>27918.388276329028</v>
      </c>
      <c r="F233" s="13" t="s">
        <v>45</v>
      </c>
    </row>
    <row r="234" spans="4:6">
      <c r="D234" s="4" t="str">
        <f>D39</f>
        <v>epsilon_{q_s,M}</v>
      </c>
      <c r="E234" s="10">
        <f>E39</f>
        <v>1</v>
      </c>
      <c r="F234" s="70"/>
    </row>
    <row r="235" spans="4:6" ht="17.25">
      <c r="D235" s="4" t="s">
        <v>335</v>
      </c>
      <c r="E235" s="23">
        <f>D164</f>
        <v>580350</v>
      </c>
      <c r="F235" s="13" t="s">
        <v>343</v>
      </c>
    </row>
    <row r="236" spans="4:6">
      <c r="D236" s="4" t="s">
        <v>336</v>
      </c>
      <c r="E236" s="23">
        <f>F164</f>
        <v>1412866.900720001</v>
      </c>
      <c r="F236" s="13" t="s">
        <v>343</v>
      </c>
    </row>
    <row r="237" spans="4:6">
      <c r="D237" s="4" t="s">
        <v>103</v>
      </c>
      <c r="E237" s="11">
        <f>H162</f>
        <v>81.8</v>
      </c>
      <c r="F237" s="5" t="s">
        <v>188</v>
      </c>
    </row>
    <row r="238" spans="4:6" ht="17.25">
      <c r="D238" s="4" t="s">
        <v>331</v>
      </c>
      <c r="E238" s="11">
        <f>D162</f>
        <v>8.8333333333333339</v>
      </c>
      <c r="F238" s="5" t="s">
        <v>188</v>
      </c>
    </row>
    <row r="239" spans="4:6">
      <c r="D239" s="41" t="s">
        <v>58</v>
      </c>
      <c r="E239" s="42">
        <f>(((1+E232/E233)^E234)-1)*(E236/E235)/(E237/E238-1)</f>
        <v>1.1928392590205594E-4</v>
      </c>
    </row>
    <row r="240" spans="4:6">
      <c r="D240" s="5"/>
      <c r="E240" s="5"/>
    </row>
    <row r="244" spans="4:6">
      <c r="D244" s="9" t="s">
        <v>49</v>
      </c>
      <c r="E244" s="43" t="s">
        <v>92</v>
      </c>
      <c r="F244" s="44" t="s">
        <v>13</v>
      </c>
    </row>
    <row r="245" spans="4:6">
      <c r="D245" s="4" t="s">
        <v>75</v>
      </c>
      <c r="E245" s="22">
        <f>G187</f>
        <v>11.298643649748556</v>
      </c>
      <c r="F245" s="5" t="s">
        <v>59</v>
      </c>
    </row>
    <row r="246" spans="4:6">
      <c r="D246" s="4" t="s">
        <v>53</v>
      </c>
      <c r="E246" s="19">
        <f>D$161</f>
        <v>3.2380660967337476</v>
      </c>
      <c r="F246" s="5" t="s">
        <v>10</v>
      </c>
    </row>
    <row r="247" spans="4:6">
      <c r="D247" s="4" t="s">
        <v>51</v>
      </c>
      <c r="E247" s="22">
        <f>E$106</f>
        <v>210.97872783802711</v>
      </c>
      <c r="F247" s="33" t="str">
        <f>F209</f>
        <v>MJ/yr</v>
      </c>
    </row>
    <row r="248" spans="4:6">
      <c r="D248" s="41" t="s">
        <v>60</v>
      </c>
      <c r="E248" s="42">
        <f>E245*E246/E247</f>
        <v>0.17340968597277026</v>
      </c>
    </row>
    <row r="250" spans="4:6">
      <c r="D250" s="9" t="s">
        <v>49</v>
      </c>
      <c r="E250" s="43" t="s">
        <v>92</v>
      </c>
      <c r="F250" s="44" t="s">
        <v>13</v>
      </c>
    </row>
    <row r="251" spans="4:6">
      <c r="D251" s="4" t="str">
        <f>D232</f>
        <v>Ndot_hat</v>
      </c>
      <c r="E251" s="23">
        <f>E232</f>
        <v>11.299543349320359</v>
      </c>
      <c r="F251" s="5" t="s">
        <v>45</v>
      </c>
    </row>
    <row r="252" spans="4:6">
      <c r="D252" s="4" t="str">
        <f>D233</f>
        <v>Mdot_prime_hat</v>
      </c>
      <c r="E252" s="23">
        <f>E233</f>
        <v>27918.388276329028</v>
      </c>
      <c r="F252" s="13" t="s">
        <v>45</v>
      </c>
    </row>
    <row r="253" spans="4:6">
      <c r="D253" s="4" t="s">
        <v>257</v>
      </c>
      <c r="E253" s="23">
        <f>E40</f>
        <v>1</v>
      </c>
      <c r="F253" s="70"/>
    </row>
    <row r="254" spans="4:6">
      <c r="D254" s="4" t="str">
        <f t="shared" ref="D254:F255" si="3">D237</f>
        <v>eta_tilde</v>
      </c>
      <c r="E254" s="23">
        <f t="shared" si="3"/>
        <v>81.8</v>
      </c>
      <c r="F254" s="5" t="str">
        <f t="shared" si="3"/>
        <v>Lm/W</v>
      </c>
    </row>
    <row r="255" spans="4:6">
      <c r="D255" s="4" t="str">
        <f t="shared" si="3"/>
        <v>etao</v>
      </c>
      <c r="E255" s="23">
        <f t="shared" si="3"/>
        <v>8.8333333333333339</v>
      </c>
      <c r="F255" s="5" t="str">
        <f t="shared" si="3"/>
        <v>Lm/W</v>
      </c>
    </row>
    <row r="256" spans="4:6">
      <c r="D256" s="4" t="s">
        <v>261</v>
      </c>
      <c r="E256" s="23">
        <f>E126</f>
        <v>27920.315977086721</v>
      </c>
      <c r="F256" s="5" t="s">
        <v>59</v>
      </c>
    </row>
    <row r="257" spans="4:8">
      <c r="D257" s="4" t="s">
        <v>341</v>
      </c>
      <c r="E257" s="23">
        <f>F170</f>
        <v>27916.165340308176</v>
      </c>
      <c r="F257" s="5" t="s">
        <v>59</v>
      </c>
    </row>
    <row r="258" spans="4:8">
      <c r="D258" s="4" t="str">
        <f>D246</f>
        <v>I_E</v>
      </c>
      <c r="E258" s="71">
        <f>E246</f>
        <v>3.2380660967337476</v>
      </c>
      <c r="F258" s="5" t="s">
        <v>10</v>
      </c>
    </row>
    <row r="259" spans="4:8">
      <c r="D259" s="4" t="s">
        <v>316</v>
      </c>
      <c r="E259" s="23">
        <f>D165</f>
        <v>236.51981078415136</v>
      </c>
      <c r="F259" s="33" t="s">
        <v>11</v>
      </c>
    </row>
    <row r="260" spans="4:8">
      <c r="D260" s="41" t="s">
        <v>60</v>
      </c>
      <c r="E260" s="42">
        <f>((1 + E251/E252)^E253 - 1) / (E254/E255 - 1) * E254/E255 * E257 * E258 / E259</f>
        <v>0.17340966330038299</v>
      </c>
    </row>
    <row r="262" spans="4:8">
      <c r="D262" s="9"/>
      <c r="E262" s="43"/>
      <c r="F262" s="44"/>
    </row>
    <row r="263" spans="4:8">
      <c r="D263" s="9" t="s">
        <v>49</v>
      </c>
      <c r="E263" s="43" t="s">
        <v>92</v>
      </c>
      <c r="F263" s="44" t="s">
        <v>13</v>
      </c>
    </row>
    <row r="264" spans="4:8">
      <c r="D264" s="207" t="s">
        <v>522</v>
      </c>
      <c r="E264" s="208">
        <f>E124</f>
        <v>-0.91625259162666783</v>
      </c>
      <c r="F264" s="205" t="s">
        <v>45</v>
      </c>
    </row>
    <row r="265" spans="4:8">
      <c r="D265" s="4" t="s">
        <v>53</v>
      </c>
      <c r="E265" s="19">
        <f>D$161</f>
        <v>3.2380660967337476</v>
      </c>
      <c r="F265" s="5" t="str">
        <f>F246</f>
        <v>MJ/$</v>
      </c>
    </row>
    <row r="266" spans="4:8">
      <c r="D266" s="4" t="s">
        <v>51</v>
      </c>
      <c r="E266" s="22">
        <f>E$106</f>
        <v>210.97872783802711</v>
      </c>
      <c r="F266" s="33" t="str">
        <f>F247</f>
        <v>MJ/yr</v>
      </c>
    </row>
    <row r="267" spans="4:8">
      <c r="D267" s="41" t="s">
        <v>63</v>
      </c>
      <c r="E267" s="42">
        <f>E264*E265/E266</f>
        <v>-1.4062490960076729E-2</v>
      </c>
      <c r="F267" s="46"/>
    </row>
    <row r="268" spans="4:8">
      <c r="F268" s="46"/>
    </row>
    <row r="269" spans="4:8">
      <c r="F269" s="46"/>
    </row>
    <row r="270" spans="4:8">
      <c r="D270" s="9" t="s">
        <v>49</v>
      </c>
      <c r="E270" s="43" t="s">
        <v>92</v>
      </c>
      <c r="F270" s="44" t="s">
        <v>13</v>
      </c>
    </row>
    <row r="271" spans="4:8">
      <c r="D271" s="4" t="s">
        <v>61</v>
      </c>
      <c r="E271" s="52">
        <f>B3</f>
        <v>1</v>
      </c>
      <c r="G271" s="7" t="s">
        <v>177</v>
      </c>
    </row>
    <row r="272" spans="4:8">
      <c r="D272" s="4" t="s">
        <v>152</v>
      </c>
      <c r="E272" s="23">
        <f>E172</f>
        <v>8.4587481458277551</v>
      </c>
      <c r="F272" s="5" t="s">
        <v>59</v>
      </c>
      <c r="G272" s="10" t="s">
        <v>172</v>
      </c>
      <c r="H272" s="61">
        <f>E271*E80</f>
        <v>0.11576095556692186</v>
      </c>
    </row>
    <row r="273" spans="1:8">
      <c r="D273" s="4" t="s">
        <v>53</v>
      </c>
      <c r="E273" s="19">
        <f>D$161</f>
        <v>3.2380660967337476</v>
      </c>
      <c r="F273" s="60" t="str">
        <f>F246</f>
        <v>MJ/$</v>
      </c>
      <c r="G273" s="10" t="s">
        <v>173</v>
      </c>
      <c r="H273" s="61">
        <f>-E271*E267</f>
        <v>1.4062490960076729E-2</v>
      </c>
    </row>
    <row r="274" spans="1:8">
      <c r="D274" s="4" t="s">
        <v>51</v>
      </c>
      <c r="E274" s="22">
        <f>E$106</f>
        <v>210.97872783802711</v>
      </c>
      <c r="F274" s="60" t="str">
        <f>F247</f>
        <v>MJ/yr</v>
      </c>
      <c r="G274" s="10" t="s">
        <v>174</v>
      </c>
      <c r="H274" s="61">
        <f>-E271*E210</f>
        <v>0</v>
      </c>
    </row>
    <row r="275" spans="1:8">
      <c r="D275" s="41" t="s">
        <v>392</v>
      </c>
      <c r="E275" s="42">
        <f>E271*E272*E273/E274</f>
        <v>0.12982344652699862</v>
      </c>
      <c r="G275" s="41" t="s">
        <v>392</v>
      </c>
      <c r="H275" s="42">
        <f>SUM(H272:H274)</f>
        <v>0.12982344652699859</v>
      </c>
    </row>
    <row r="277" spans="1:8">
      <c r="F277" s="46"/>
    </row>
    <row r="278" spans="1:8">
      <c r="A278" s="9" t="s">
        <v>178</v>
      </c>
      <c r="D278" s="9" t="s">
        <v>49</v>
      </c>
      <c r="E278" s="43" t="s">
        <v>92</v>
      </c>
    </row>
    <row r="279" spans="1:8">
      <c r="A279" s="242" t="s">
        <v>251</v>
      </c>
      <c r="B279" s="242"/>
      <c r="C279" s="242"/>
      <c r="D279" s="4" t="s">
        <v>52</v>
      </c>
      <c r="E279" s="210">
        <f>E$203</f>
        <v>-2.7493603072880493E-3</v>
      </c>
    </row>
    <row r="280" spans="1:8">
      <c r="D280" s="4" t="s">
        <v>536</v>
      </c>
      <c r="E280" s="210">
        <f>E$210</f>
        <v>0</v>
      </c>
    </row>
    <row r="281" spans="1:8">
      <c r="D281" s="4" t="s">
        <v>55</v>
      </c>
      <c r="E281" s="210">
        <f>E$217</f>
        <v>0.17366135382600031</v>
      </c>
    </row>
    <row r="282" spans="1:8">
      <c r="D282" s="4" t="s">
        <v>56</v>
      </c>
      <c r="E282" s="210">
        <f>E$227</f>
        <v>-6.3703268158718504E-2</v>
      </c>
    </row>
    <row r="283" spans="1:8">
      <c r="D283" s="4" t="s">
        <v>58</v>
      </c>
      <c r="E283" s="210">
        <f>E$239</f>
        <v>1.1928392590205594E-4</v>
      </c>
    </row>
    <row r="284" spans="1:8">
      <c r="D284" s="4" t="s">
        <v>60</v>
      </c>
      <c r="E284" s="210">
        <f>E248</f>
        <v>0.17340968597277026</v>
      </c>
    </row>
    <row r="285" spans="1:8">
      <c r="D285" s="4" t="s">
        <v>392</v>
      </c>
      <c r="E285" s="210">
        <f>E275</f>
        <v>0.12982344652699862</v>
      </c>
    </row>
    <row r="286" spans="1:8">
      <c r="D286" s="41" t="s">
        <v>164</v>
      </c>
      <c r="E286" s="42">
        <f>SUM(E279:E285)</f>
        <v>0.41056114178566472</v>
      </c>
      <c r="F286" s="26"/>
    </row>
    <row r="287" spans="1:8">
      <c r="B287" s="9"/>
    </row>
    <row r="288" spans="1:8">
      <c r="A288" s="9" t="s">
        <v>179</v>
      </c>
      <c r="D288" s="9" t="s">
        <v>49</v>
      </c>
      <c r="E288" s="43" t="s">
        <v>92</v>
      </c>
      <c r="F288" s="44"/>
    </row>
    <row r="289" spans="1:5">
      <c r="D289" s="4" t="s">
        <v>61</v>
      </c>
      <c r="E289" s="19">
        <f>B3</f>
        <v>1</v>
      </c>
    </row>
    <row r="290" spans="1:5">
      <c r="D290" s="4" t="s">
        <v>52</v>
      </c>
      <c r="E290" s="59">
        <f>E279</f>
        <v>-2.7493603072880493E-3</v>
      </c>
    </row>
    <row r="291" spans="1:5">
      <c r="D291" s="4" t="s">
        <v>173</v>
      </c>
      <c r="E291" s="59">
        <f>-E289*E267</f>
        <v>1.4062490960076729E-2</v>
      </c>
    </row>
    <row r="292" spans="1:5">
      <c r="D292" s="4" t="s">
        <v>317</v>
      </c>
      <c r="E292" s="59">
        <f>(1-E289)*E210</f>
        <v>0</v>
      </c>
    </row>
    <row r="293" spans="1:5">
      <c r="D293" s="4" t="s">
        <v>55</v>
      </c>
      <c r="E293" s="59">
        <f>E217</f>
        <v>0.17366135382600031</v>
      </c>
    </row>
    <row r="294" spans="1:5">
      <c r="D294" s="4" t="s">
        <v>56</v>
      </c>
      <c r="E294" s="45">
        <f>E227</f>
        <v>-6.3703268158718504E-2</v>
      </c>
    </row>
    <row r="295" spans="1:5">
      <c r="D295" s="4" t="s">
        <v>319</v>
      </c>
      <c r="E295" s="59">
        <f>E239+E248</f>
        <v>0.17352896989867231</v>
      </c>
    </row>
    <row r="296" spans="1:5">
      <c r="D296" s="4" t="s">
        <v>318</v>
      </c>
      <c r="E296" s="49">
        <f>E289*E80</f>
        <v>0.11576095556692186</v>
      </c>
    </row>
    <row r="297" spans="1:5">
      <c r="D297" s="41" t="s">
        <v>165</v>
      </c>
      <c r="E297" s="42">
        <f>SUM(E290:E296)</f>
        <v>0.41056114178566466</v>
      </c>
    </row>
    <row r="299" spans="1:5">
      <c r="D299" s="9" t="s">
        <v>49</v>
      </c>
      <c r="E299" s="43" t="s">
        <v>92</v>
      </c>
    </row>
    <row r="300" spans="1:5">
      <c r="A300" s="9" t="s">
        <v>397</v>
      </c>
      <c r="D300" s="4" t="s">
        <v>61</v>
      </c>
      <c r="E300" s="19">
        <f>E289</f>
        <v>1</v>
      </c>
    </row>
    <row r="301" spans="1:5">
      <c r="D301" s="4" t="s">
        <v>52</v>
      </c>
      <c r="E301" s="59">
        <f>E203</f>
        <v>-2.7493603072880493E-3</v>
      </c>
    </row>
    <row r="302" spans="1:5">
      <c r="D302" s="4" t="s">
        <v>173</v>
      </c>
      <c r="E302" s="59">
        <f>-E300*E267</f>
        <v>1.4062490960076729E-2</v>
      </c>
    </row>
    <row r="303" spans="1:5">
      <c r="D303" s="4" t="s">
        <v>317</v>
      </c>
      <c r="E303" s="59">
        <f>(1-E300)*E$210</f>
        <v>0</v>
      </c>
    </row>
    <row r="304" spans="1:5">
      <c r="D304" s="4" t="s">
        <v>55</v>
      </c>
      <c r="E304" s="59">
        <f>E217</f>
        <v>0.17366135382600031</v>
      </c>
    </row>
    <row r="305" spans="1:11">
      <c r="D305" s="4" t="s">
        <v>56</v>
      </c>
      <c r="E305" s="45">
        <f>E227</f>
        <v>-6.3703268158718504E-2</v>
      </c>
    </row>
    <row r="306" spans="1:11">
      <c r="D306" s="4" t="s">
        <v>319</v>
      </c>
      <c r="E306" s="59">
        <f>E239+E260</f>
        <v>0.17352894722628504</v>
      </c>
    </row>
    <row r="307" spans="1:11">
      <c r="D307" s="4" t="s">
        <v>318</v>
      </c>
      <c r="E307" s="49">
        <f>E300*E79*E60</f>
        <v>0.11576095556692186</v>
      </c>
    </row>
    <row r="308" spans="1:11">
      <c r="D308" s="41" t="s">
        <v>320</v>
      </c>
      <c r="E308" s="42">
        <f>SUM(E301:E307)</f>
        <v>0.41056111911327736</v>
      </c>
    </row>
    <row r="312" spans="1:11" ht="16.5" thickBot="1"/>
    <row r="313" spans="1:11" ht="18.75">
      <c r="A313" s="47"/>
      <c r="B313" s="47"/>
      <c r="C313" s="47"/>
      <c r="D313" s="47"/>
      <c r="E313" s="47"/>
      <c r="F313" s="47"/>
      <c r="G313" s="47"/>
      <c r="H313" s="47"/>
      <c r="I313" s="47"/>
      <c r="J313" s="30" t="s">
        <v>129</v>
      </c>
    </row>
    <row r="314" spans="1:11" ht="18.75">
      <c r="A314" s="30" t="s">
        <v>104</v>
      </c>
      <c r="B314" s="30" t="s">
        <v>130</v>
      </c>
      <c r="C314" s="48">
        <f>E193</f>
        <v>0</v>
      </c>
      <c r="D314" s="30" t="s">
        <v>131</v>
      </c>
      <c r="E314" s="48">
        <f>E217</f>
        <v>0.17366135382600031</v>
      </c>
      <c r="F314" s="30" t="s">
        <v>132</v>
      </c>
      <c r="G314" s="48">
        <f>E239</f>
        <v>1.1928392590205594E-4</v>
      </c>
      <c r="I314" s="49"/>
      <c r="J314" s="49">
        <f>SUM(C314:I314)</f>
        <v>0.17378063775190236</v>
      </c>
    </row>
    <row r="315" spans="1:11">
      <c r="A315" s="30"/>
      <c r="B315" s="30"/>
      <c r="C315" s="48"/>
      <c r="D315" s="30"/>
      <c r="E315" s="48"/>
      <c r="F315" s="4"/>
      <c r="G315" s="48"/>
      <c r="I315" s="49"/>
      <c r="J315" s="49"/>
    </row>
    <row r="316" spans="1:11" ht="18.75">
      <c r="A316" s="30" t="s">
        <v>105</v>
      </c>
      <c r="B316" s="30" t="s">
        <v>133</v>
      </c>
      <c r="C316" s="48">
        <f>E203</f>
        <v>-2.7493603072880493E-3</v>
      </c>
      <c r="D316" s="30" t="s">
        <v>134</v>
      </c>
      <c r="E316" s="48">
        <f>E227</f>
        <v>-6.3703268158718504E-2</v>
      </c>
      <c r="F316" s="30" t="s">
        <v>135</v>
      </c>
      <c r="G316" s="48">
        <f>E248</f>
        <v>0.17340968597277026</v>
      </c>
      <c r="H316" s="30" t="s">
        <v>449</v>
      </c>
      <c r="I316" s="48">
        <f>E275</f>
        <v>0.12982344652699862</v>
      </c>
      <c r="J316" s="64">
        <f>SUM(C316:I317)</f>
        <v>0.23678050403376233</v>
      </c>
    </row>
    <row r="317" spans="1:11" ht="19.5" thickBot="1">
      <c r="A317" s="35"/>
      <c r="B317" s="35" t="s">
        <v>250</v>
      </c>
      <c r="C317" s="56">
        <f>E210</f>
        <v>0</v>
      </c>
      <c r="D317" s="35"/>
      <c r="E317" s="56"/>
      <c r="F317" s="35"/>
      <c r="G317" s="56"/>
      <c r="H317" s="35"/>
      <c r="I317" s="56"/>
      <c r="K317" s="49">
        <f>SUM(J314:J317)</f>
        <v>0.41056114178566472</v>
      </c>
    </row>
    <row r="318" spans="1:11">
      <c r="A318" s="30" t="s">
        <v>110</v>
      </c>
      <c r="C318" s="48">
        <f>SUM(C314:C317)</f>
        <v>-2.7493603072880493E-3</v>
      </c>
      <c r="D318" s="5"/>
      <c r="E318" s="48">
        <f>SUM(E314:E317)</f>
        <v>0.10995808566728181</v>
      </c>
      <c r="G318" s="48">
        <f>SUM(G314:G317)</f>
        <v>0.17352896989867231</v>
      </c>
      <c r="H318" s="5"/>
      <c r="I318" s="48">
        <f>SUM(I316:I317)</f>
        <v>0.12982344652699862</v>
      </c>
      <c r="J318" s="50">
        <f>SUM(C318:I318)</f>
        <v>0.41056114178566472</v>
      </c>
    </row>
    <row r="321" spans="1:16" s="2" customFormat="1">
      <c r="A321" s="9" t="s">
        <v>225</v>
      </c>
      <c r="B321" s="9"/>
      <c r="C321" s="9"/>
      <c r="D321" s="9"/>
      <c r="E321" s="9"/>
      <c r="F321" s="44"/>
      <c r="G321" s="9"/>
      <c r="H321" s="9"/>
      <c r="I321" s="9"/>
      <c r="J321" s="9"/>
      <c r="K321" s="9"/>
      <c r="L321" s="9"/>
      <c r="M321" s="9"/>
      <c r="N321" s="9"/>
      <c r="O321" s="9"/>
      <c r="P321" s="9"/>
    </row>
    <row r="322" spans="1:16">
      <c r="A322" s="4" t="s">
        <v>226</v>
      </c>
      <c r="B322" s="76">
        <f>3.75/2</f>
        <v>1.875</v>
      </c>
      <c r="C322" s="4" t="s">
        <v>157</v>
      </c>
      <c r="G322" s="5"/>
    </row>
    <row r="323" spans="1:16">
      <c r="A323" s="4" t="s">
        <v>227</v>
      </c>
      <c r="B323" s="55">
        <v>1.8</v>
      </c>
      <c r="C323" s="4" t="s">
        <v>67</v>
      </c>
      <c r="G323" s="5"/>
    </row>
    <row r="324" spans="1:16">
      <c r="A324" s="4" t="s">
        <v>228</v>
      </c>
      <c r="B324" s="54">
        <v>530</v>
      </c>
      <c r="C324" s="4" t="s">
        <v>204</v>
      </c>
      <c r="G324" s="5"/>
    </row>
    <row r="325" spans="1:16">
      <c r="A325" s="4" t="s">
        <v>229</v>
      </c>
      <c r="B325" s="54">
        <v>60</v>
      </c>
      <c r="C325" s="4" t="s">
        <v>205</v>
      </c>
      <c r="G325" s="5"/>
    </row>
    <row r="326" spans="1:16">
      <c r="A326" s="4" t="s">
        <v>230</v>
      </c>
      <c r="B326" s="75">
        <f>B324/B325</f>
        <v>8.8333333333333339</v>
      </c>
      <c r="C326" s="4" t="s">
        <v>188</v>
      </c>
      <c r="G326" s="5"/>
    </row>
    <row r="327" spans="1:16">
      <c r="A327" s="4" t="s">
        <v>231</v>
      </c>
      <c r="B327" s="23">
        <f>(B325/1000)*B328*E$65</f>
        <v>236.51981078415136</v>
      </c>
      <c r="C327" s="4" t="s">
        <v>65</v>
      </c>
      <c r="G327" s="5"/>
    </row>
    <row r="328" spans="1:16">
      <c r="A328" s="4" t="s">
        <v>233</v>
      </c>
      <c r="B328" s="23">
        <f>3*365</f>
        <v>1095</v>
      </c>
      <c r="C328" s="4" t="s">
        <v>281</v>
      </c>
      <c r="G328" s="5"/>
    </row>
    <row r="329" spans="1:16">
      <c r="A329" s="4" t="s">
        <v>273</v>
      </c>
      <c r="B329" s="23">
        <f>B324*B328*B323</f>
        <v>1044630</v>
      </c>
      <c r="C329" s="4" t="s">
        <v>278</v>
      </c>
      <c r="G329" s="5"/>
    </row>
    <row r="330" spans="1:16">
      <c r="A330" s="4" t="s">
        <v>276</v>
      </c>
      <c r="B330" s="18">
        <v>42.4</v>
      </c>
      <c r="C330" s="4" t="s">
        <v>277</v>
      </c>
      <c r="G330" s="5"/>
    </row>
    <row r="331" spans="1:16">
      <c r="A331" s="4" t="s">
        <v>232</v>
      </c>
      <c r="B331" s="74">
        <f>B330*B329/20000000</f>
        <v>2.2146156000000001</v>
      </c>
      <c r="C331" s="4" t="s">
        <v>65</v>
      </c>
      <c r="G331" s="5"/>
    </row>
    <row r="332" spans="1:16">
      <c r="A332" s="4" t="s">
        <v>234</v>
      </c>
      <c r="B332" s="76">
        <v>1.21</v>
      </c>
      <c r="C332" s="4" t="s">
        <v>157</v>
      </c>
      <c r="D332" s="52"/>
      <c r="G332" s="5"/>
    </row>
    <row r="333" spans="1:16">
      <c r="A333" s="26" t="s">
        <v>235</v>
      </c>
      <c r="B333" s="6">
        <v>10</v>
      </c>
      <c r="C333" s="4" t="s">
        <v>67</v>
      </c>
      <c r="E333" s="26"/>
      <c r="G333" s="5"/>
    </row>
    <row r="334" spans="1:16">
      <c r="A334" s="4" t="s">
        <v>236</v>
      </c>
      <c r="B334" s="91">
        <f>B335*B336</f>
        <v>449.9</v>
      </c>
      <c r="C334" s="4" t="s">
        <v>204</v>
      </c>
      <c r="G334" s="5"/>
    </row>
    <row r="335" spans="1:16">
      <c r="A335" s="4" t="s">
        <v>237</v>
      </c>
      <c r="B335" s="75">
        <v>5.5</v>
      </c>
      <c r="C335" s="4" t="s">
        <v>205</v>
      </c>
      <c r="G335" s="5"/>
    </row>
    <row r="336" spans="1:16">
      <c r="A336" s="4" t="s">
        <v>238</v>
      </c>
      <c r="B336" s="87">
        <f>B14</f>
        <v>81.8</v>
      </c>
      <c r="C336" s="4" t="s">
        <v>188</v>
      </c>
      <c r="D336" s="52"/>
      <c r="G336" s="5"/>
    </row>
    <row r="337" spans="1:17">
      <c r="A337" s="4" t="s">
        <v>239</v>
      </c>
      <c r="B337" s="23">
        <f>(B335/1000)*B328*E$65</f>
        <v>21.680982655213874</v>
      </c>
      <c r="C337" s="4" t="s">
        <v>11</v>
      </c>
      <c r="G337" s="5"/>
    </row>
    <row r="338" spans="1:17">
      <c r="A338" s="4" t="s">
        <v>275</v>
      </c>
      <c r="B338" s="18">
        <f>3*365</f>
        <v>1095</v>
      </c>
      <c r="C338" s="4" t="s">
        <v>281</v>
      </c>
      <c r="G338" s="5"/>
    </row>
    <row r="339" spans="1:17">
      <c r="A339" s="4" t="s">
        <v>274</v>
      </c>
      <c r="B339" s="23">
        <f>B334*B338*B333</f>
        <v>4926405</v>
      </c>
      <c r="C339" s="4" t="s">
        <v>278</v>
      </c>
      <c r="G339" s="5"/>
    </row>
    <row r="340" spans="1:17">
      <c r="A340" s="4" t="s">
        <v>276</v>
      </c>
      <c r="B340" s="18">
        <f>132/5</f>
        <v>26.4</v>
      </c>
      <c r="C340" s="4" t="s">
        <v>277</v>
      </c>
      <c r="G340" s="5"/>
    </row>
    <row r="341" spans="1:17">
      <c r="A341" s="4" t="s">
        <v>240</v>
      </c>
      <c r="B341" s="74">
        <f>B340*B339/20000000</f>
        <v>6.5028546</v>
      </c>
      <c r="C341" s="4" t="s">
        <v>65</v>
      </c>
      <c r="G341" s="5"/>
    </row>
    <row r="342" spans="1:17" s="4" customFormat="1">
      <c r="A342" s="4" t="s">
        <v>186</v>
      </c>
      <c r="B342" s="62">
        <f>B5</f>
        <v>3.5750000000000004E-2</v>
      </c>
      <c r="C342" s="4" t="s">
        <v>5</v>
      </c>
      <c r="D342" s="4">
        <f>3.6*B342</f>
        <v>0.12870000000000001</v>
      </c>
      <c r="E342" s="4" t="s">
        <v>280</v>
      </c>
      <c r="F342" s="5"/>
      <c r="Q342"/>
    </row>
    <row r="346" spans="1:17">
      <c r="A346" s="9" t="s">
        <v>279</v>
      </c>
      <c r="B346" s="4" t="s">
        <v>293</v>
      </c>
    </row>
    <row r="436" spans="1:1">
      <c r="A436" s="9"/>
    </row>
  </sheetData>
  <mergeCells count="1">
    <mergeCell ref="A279:C279"/>
  </mergeCells>
  <hyperlinks>
    <hyperlink ref="G61" r:id="rId1"/>
    <hyperlink ref="D19" r:id="rId2"/>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0" zoomScaleNormal="80" workbookViewId="0">
      <selection activeCell="A7" sqref="A7"/>
    </sheetView>
  </sheetViews>
  <sheetFormatPr defaultColWidth="8.875" defaultRowHeight="15.75"/>
  <cols>
    <col min="1" max="1" width="75" customWidth="1"/>
    <col min="2" max="2" width="39.375" customWidth="1"/>
    <col min="3" max="3" width="62.875" customWidth="1"/>
    <col min="4" max="4" width="87.625" customWidth="1"/>
  </cols>
  <sheetData>
    <row r="1" spans="1:1">
      <c r="A1" t="s">
        <v>401</v>
      </c>
    </row>
    <row r="3" spans="1:1">
      <c r="A3" s="82"/>
    </row>
    <row r="4" spans="1:1" ht="17.25">
      <c r="A4" s="83" t="s">
        <v>451</v>
      </c>
    </row>
    <row r="5" spans="1:1">
      <c r="A5" s="83" t="s">
        <v>452</v>
      </c>
    </row>
    <row r="6" spans="1:1">
      <c r="A6" s="83"/>
    </row>
    <row r="7" spans="1:1">
      <c r="A7" s="82"/>
    </row>
    <row r="8" spans="1:1">
      <c r="A8" s="84" t="s">
        <v>241</v>
      </c>
    </row>
    <row r="9" spans="1:1">
      <c r="A9" s="83" t="s">
        <v>453</v>
      </c>
    </row>
    <row r="10" spans="1:1">
      <c r="A10" s="83" t="s">
        <v>454</v>
      </c>
    </row>
    <row r="11" spans="1:1">
      <c r="A11" s="83" t="s">
        <v>455</v>
      </c>
    </row>
    <row r="12" spans="1:1">
      <c r="A12" s="83" t="s">
        <v>456</v>
      </c>
    </row>
    <row r="13" spans="1:1">
      <c r="A13" s="83" t="s">
        <v>457</v>
      </c>
    </row>
    <row r="14" spans="1:1">
      <c r="A14" s="83" t="s">
        <v>458</v>
      </c>
    </row>
    <row r="15" spans="1:1">
      <c r="A15" s="82"/>
    </row>
    <row r="16" spans="1:1">
      <c r="A16" s="85" t="s">
        <v>459</v>
      </c>
    </row>
    <row r="17" spans="1:1">
      <c r="A17" s="82" t="s">
        <v>242</v>
      </c>
    </row>
    <row r="18" spans="1:1">
      <c r="A18" s="82" t="s">
        <v>243</v>
      </c>
    </row>
    <row r="19" spans="1:1">
      <c r="A19" s="82" t="s">
        <v>244</v>
      </c>
    </row>
    <row r="20" spans="1:1">
      <c r="A20" s="82"/>
    </row>
    <row r="22" spans="1:1">
      <c r="A22" s="84" t="s">
        <v>245</v>
      </c>
    </row>
    <row r="23" spans="1:1">
      <c r="A23" s="83" t="s">
        <v>460</v>
      </c>
    </row>
    <row r="24" spans="1:1">
      <c r="A24" s="83" t="s">
        <v>461</v>
      </c>
    </row>
    <row r="25" spans="1:1">
      <c r="A25" s="82"/>
    </row>
    <row r="26" spans="1:1">
      <c r="A26" s="84" t="s">
        <v>246</v>
      </c>
    </row>
    <row r="27" spans="1:1">
      <c r="A27" s="83" t="s">
        <v>462</v>
      </c>
    </row>
    <row r="28" spans="1:1">
      <c r="A28" s="83" t="s">
        <v>463</v>
      </c>
    </row>
    <row r="29" spans="1:1">
      <c r="A29" s="83" t="s">
        <v>464</v>
      </c>
    </row>
    <row r="30" spans="1:1">
      <c r="A30" s="83" t="s">
        <v>465</v>
      </c>
    </row>
    <row r="31" spans="1:1">
      <c r="A31" s="83" t="s">
        <v>466</v>
      </c>
    </row>
    <row r="32" spans="1:1">
      <c r="A32" s="83"/>
    </row>
    <row r="33" spans="1:1">
      <c r="A33" s="83"/>
    </row>
    <row r="34" spans="1:1">
      <c r="A34" s="83"/>
    </row>
    <row r="35" spans="1:1">
      <c r="A35" s="83"/>
    </row>
    <row r="36" spans="1:1">
      <c r="A36" s="83"/>
    </row>
    <row r="37" spans="1:1">
      <c r="A37" s="83"/>
    </row>
    <row r="38" spans="1:1">
      <c r="A38" s="83"/>
    </row>
    <row r="39" spans="1:1">
      <c r="A39" s="83"/>
    </row>
    <row r="40" spans="1:1">
      <c r="A40" s="83"/>
    </row>
    <row r="41" spans="1:1">
      <c r="A41" s="83"/>
    </row>
    <row r="42" spans="1:1">
      <c r="A42" s="83"/>
    </row>
    <row r="43" spans="1:1">
      <c r="A43" s="83"/>
    </row>
    <row r="44" spans="1:1">
      <c r="A44" s="83"/>
    </row>
    <row r="45" spans="1:1">
      <c r="A45" s="83"/>
    </row>
    <row r="46" spans="1:1">
      <c r="A46" s="83"/>
    </row>
    <row r="47" spans="1:1">
      <c r="A47" s="83"/>
    </row>
    <row r="48" spans="1:1">
      <c r="A48" s="83"/>
    </row>
    <row r="49" spans="1:4">
      <c r="A49" s="83"/>
    </row>
    <row r="50" spans="1:4">
      <c r="A50" s="83"/>
    </row>
    <row r="51" spans="1:4">
      <c r="A51" s="83"/>
    </row>
    <row r="52" spans="1:4">
      <c r="A52" s="83"/>
    </row>
    <row r="53" spans="1:4">
      <c r="A53" s="83"/>
    </row>
    <row r="54" spans="1:4" ht="16.5" thickBot="1">
      <c r="A54" s="82"/>
    </row>
    <row r="55" spans="1:4" ht="178.5" customHeight="1">
      <c r="A55" s="243" t="s">
        <v>467</v>
      </c>
      <c r="B55" s="245" t="s">
        <v>468</v>
      </c>
      <c r="C55" s="243" t="s">
        <v>469</v>
      </c>
      <c r="D55" s="247" t="s">
        <v>470</v>
      </c>
    </row>
    <row r="56" spans="1:4" ht="16.5" thickBot="1">
      <c r="A56" s="244"/>
      <c r="B56" s="246"/>
      <c r="C56" s="244"/>
      <c r="D56" s="248"/>
    </row>
    <row r="57" spans="1:4" ht="409.5" customHeight="1">
      <c r="A57" s="249" t="s">
        <v>247</v>
      </c>
      <c r="B57" s="251"/>
      <c r="C57" s="249"/>
      <c r="D57" s="249"/>
    </row>
    <row r="58" spans="1:4" ht="16.5" thickBot="1">
      <c r="A58" s="250"/>
      <c r="B58" s="252"/>
      <c r="C58" s="250"/>
      <c r="D58" s="250"/>
    </row>
    <row r="59" spans="1:4">
      <c r="A59" s="82"/>
    </row>
    <row r="60" spans="1:4">
      <c r="A60" s="82" t="s">
        <v>248</v>
      </c>
    </row>
    <row r="61" spans="1:4">
      <c r="A61" s="83" t="s">
        <v>471</v>
      </c>
    </row>
    <row r="62" spans="1:4">
      <c r="A62" s="83" t="s">
        <v>472</v>
      </c>
    </row>
    <row r="63" spans="1:4">
      <c r="A63" s="83" t="s">
        <v>473</v>
      </c>
    </row>
    <row r="64" spans="1:4">
      <c r="A64" s="82"/>
    </row>
    <row r="66" spans="1:1">
      <c r="A66" s="82"/>
    </row>
    <row r="67" spans="1:1">
      <c r="A67" s="82"/>
    </row>
    <row r="68" spans="1:1">
      <c r="A68" s="82"/>
    </row>
  </sheetData>
  <mergeCells count="8">
    <mergeCell ref="A55:A56"/>
    <mergeCell ref="B55:B56"/>
    <mergeCell ref="C55:C56"/>
    <mergeCell ref="D55:D56"/>
    <mergeCell ref="A57:A58"/>
    <mergeCell ref="B57:B58"/>
    <mergeCell ref="C57:C58"/>
    <mergeCell ref="D57:D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1_Case study 1 - Car</vt:lpstr>
      <vt:lpstr>2_Case study 2 - LED lamp</vt:lpstr>
      <vt:lpstr>3_Case study 1 battery LCA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dc:creator>
  <cp:lastModifiedBy>Paul Brockway</cp:lastModifiedBy>
  <cp:lastPrinted>2020-12-10T13:44:45Z</cp:lastPrinted>
  <dcterms:created xsi:type="dcterms:W3CDTF">2020-06-23T20:35:45Z</dcterms:created>
  <dcterms:modified xsi:type="dcterms:W3CDTF">2024-05-21T17:07:59Z</dcterms:modified>
</cp:coreProperties>
</file>