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arpebr\Dropbox\MPC Rebound paper_2\calculation example\"/>
    </mc:Choice>
  </mc:AlternateContent>
  <bookViews>
    <workbookView xWindow="0" yWindow="465" windowWidth="0" windowHeight="5460" tabRatio="672"/>
  </bookViews>
  <sheets>
    <sheet name="readme" sheetId="19" r:id="rId1"/>
    <sheet name="1_Case study 1 - Car" sheetId="17" r:id="rId2"/>
    <sheet name="2_Case study 2 - LED lamp" sheetId="16" r:id="rId3"/>
    <sheet name="3_Case study 1 battery LCA data" sheetId="11" r:id="rId4"/>
  </sheets>
  <calcPr calcId="162913"/>
</workbook>
</file>

<file path=xl/calcChain.xml><?xml version="1.0" encoding="utf-8"?>
<calcChain xmlns="http://schemas.openxmlformats.org/spreadsheetml/2006/main">
  <c r="E288" i="17" l="1"/>
  <c r="E287" i="17"/>
  <c r="E271" i="16"/>
  <c r="B472" i="17"/>
  <c r="B465" i="17"/>
  <c r="G472" i="17"/>
  <c r="F472" i="17"/>
  <c r="E472" i="17"/>
  <c r="D472" i="17"/>
  <c r="C472" i="17"/>
  <c r="I471" i="17"/>
  <c r="H471" i="17"/>
  <c r="H470" i="17"/>
  <c r="I470" i="17"/>
  <c r="H469" i="17"/>
  <c r="I469" i="17"/>
  <c r="H468" i="17"/>
  <c r="H472" i="17"/>
  <c r="G465" i="17"/>
  <c r="F465" i="17"/>
  <c r="E465" i="17"/>
  <c r="D465" i="17"/>
  <c r="C465" i="17"/>
  <c r="H464" i="17"/>
  <c r="I464" i="17"/>
  <c r="H463" i="17"/>
  <c r="I463" i="17"/>
  <c r="H462" i="17"/>
  <c r="I462" i="17"/>
  <c r="H461" i="17"/>
  <c r="H465" i="17"/>
  <c r="G458" i="17"/>
  <c r="H457" i="17"/>
  <c r="E458" i="17"/>
  <c r="C458" i="17"/>
  <c r="C454" i="17"/>
  <c r="G451" i="17"/>
  <c r="H450" i="17"/>
  <c r="E451" i="17"/>
  <c r="C451" i="17"/>
  <c r="C448" i="17"/>
  <c r="G440" i="17"/>
  <c r="G439" i="17"/>
  <c r="C438" i="17"/>
  <c r="C436" i="17"/>
  <c r="H451" i="17"/>
  <c r="I450" i="17"/>
  <c r="H458" i="17"/>
  <c r="I457" i="17"/>
  <c r="I468" i="17"/>
  <c r="I472" i="17"/>
  <c r="I461" i="17"/>
  <c r="I465" i="17"/>
  <c r="J321" i="17"/>
  <c r="B14" i="17"/>
  <c r="B451" i="17"/>
  <c r="B458" i="17"/>
  <c r="B4" i="17"/>
  <c r="B5" i="16"/>
  <c r="B6" i="16" s="1"/>
  <c r="B324" i="16" s="1"/>
  <c r="D324" i="16" s="1"/>
  <c r="E271" i="17"/>
  <c r="I25" i="16"/>
  <c r="I24" i="16"/>
  <c r="H25" i="17"/>
  <c r="H24" i="17"/>
  <c r="I324" i="17"/>
  <c r="B310" i="17"/>
  <c r="B15" i="17"/>
  <c r="B16" i="16"/>
  <c r="E101" i="16" s="1"/>
  <c r="E65" i="16"/>
  <c r="E63" i="16"/>
  <c r="E64" i="16" s="1"/>
  <c r="E101" i="17"/>
  <c r="E73" i="17"/>
  <c r="E85" i="17"/>
  <c r="C383" i="17"/>
  <c r="B383" i="17"/>
  <c r="B302" i="17"/>
  <c r="B308" i="17"/>
  <c r="B304" i="17"/>
  <c r="B7" i="17"/>
  <c r="E71" i="17"/>
  <c r="D145" i="17"/>
  <c r="C294" i="17"/>
  <c r="E283" i="17"/>
  <c r="F255" i="17"/>
  <c r="E253" i="17"/>
  <c r="H254" i="17"/>
  <c r="F247" i="17"/>
  <c r="D240" i="17"/>
  <c r="D236" i="17"/>
  <c r="E235" i="17"/>
  <c r="D234" i="17"/>
  <c r="D233" i="17"/>
  <c r="F229" i="17"/>
  <c r="F256" i="17"/>
  <c r="E216" i="17"/>
  <c r="D216" i="17"/>
  <c r="H155" i="17"/>
  <c r="G155" i="17"/>
  <c r="D155" i="17"/>
  <c r="E103" i="17"/>
  <c r="E102" i="17"/>
  <c r="E93" i="17"/>
  <c r="E76" i="17"/>
  <c r="E64" i="17"/>
  <c r="E66" i="17"/>
  <c r="E52" i="17"/>
  <c r="E53" i="17"/>
  <c r="B13" i="17"/>
  <c r="E92" i="17"/>
  <c r="A13" i="17"/>
  <c r="A12" i="17"/>
  <c r="A11" i="17"/>
  <c r="B8" i="17"/>
  <c r="E75" i="17"/>
  <c r="A8" i="17"/>
  <c r="A7" i="17"/>
  <c r="A6" i="17"/>
  <c r="H172" i="17"/>
  <c r="E83" i="17"/>
  <c r="E98" i="17"/>
  <c r="B12" i="17"/>
  <c r="B5" i="17"/>
  <c r="E70" i="17"/>
  <c r="E104" i="17"/>
  <c r="E154" i="17"/>
  <c r="F248" i="17"/>
  <c r="B10" i="17"/>
  <c r="E82" i="17"/>
  <c r="H145" i="17"/>
  <c r="G145" i="17"/>
  <c r="E145" i="17"/>
  <c r="E162" i="17" s="1"/>
  <c r="E220" i="17"/>
  <c r="E237" i="17"/>
  <c r="E196" i="17"/>
  <c r="E204" i="17"/>
  <c r="E95" i="17"/>
  <c r="H149" i="17"/>
  <c r="F149" i="17"/>
  <c r="G149" i="17"/>
  <c r="G166" i="17"/>
  <c r="E149" i="17"/>
  <c r="E144" i="17"/>
  <c r="D144" i="17"/>
  <c r="H144" i="17"/>
  <c r="G144" i="17"/>
  <c r="E147" i="17"/>
  <c r="E88" i="17"/>
  <c r="E148" i="17"/>
  <c r="E74" i="17"/>
  <c r="D147" i="17"/>
  <c r="E84" i="17"/>
  <c r="E55" i="17"/>
  <c r="E72" i="17"/>
  <c r="D146" i="17"/>
  <c r="D149" i="17"/>
  <c r="E180" i="17"/>
  <c r="E78" i="17"/>
  <c r="F144" i="17"/>
  <c r="F161" i="17"/>
  <c r="B306" i="17"/>
  <c r="E96" i="17"/>
  <c r="E235" i="16"/>
  <c r="E216" i="16"/>
  <c r="F145" i="17"/>
  <c r="E290" i="17"/>
  <c r="D152" i="17"/>
  <c r="F166" i="17"/>
  <c r="F154" i="17"/>
  <c r="F171" i="17"/>
  <c r="G154" i="17"/>
  <c r="H154" i="17"/>
  <c r="D154" i="17"/>
  <c r="E171" i="17"/>
  <c r="E94" i="17"/>
  <c r="E150" i="17"/>
  <c r="G161" i="17"/>
  <c r="E161" i="17"/>
  <c r="B9" i="17"/>
  <c r="E79" i="17"/>
  <c r="D151" i="17"/>
  <c r="G162" i="17"/>
  <c r="H146" i="17"/>
  <c r="G146" i="17"/>
  <c r="G163" i="17" s="1"/>
  <c r="E146" i="17"/>
  <c r="F146" i="17"/>
  <c r="E197" i="17"/>
  <c r="E217" i="17"/>
  <c r="H161" i="17"/>
  <c r="D148" i="17"/>
  <c r="E165" i="17"/>
  <c r="E91" i="17"/>
  <c r="E106" i="17"/>
  <c r="E228" i="17"/>
  <c r="E240" i="17"/>
  <c r="E190" i="17"/>
  <c r="E255" i="17"/>
  <c r="E247" i="17"/>
  <c r="E207" i="17"/>
  <c r="F162" i="17"/>
  <c r="E164" i="17"/>
  <c r="E203" i="17"/>
  <c r="E219" i="17"/>
  <c r="E236" i="17" s="1"/>
  <c r="H162" i="17"/>
  <c r="E195" i="17"/>
  <c r="H151" i="17"/>
  <c r="G151" i="17"/>
  <c r="F151" i="17"/>
  <c r="E151" i="17"/>
  <c r="H166" i="17"/>
  <c r="H143" i="17"/>
  <c r="G143" i="17"/>
  <c r="F143" i="17"/>
  <c r="D143" i="17"/>
  <c r="E143" i="17"/>
  <c r="E67" i="17"/>
  <c r="E273" i="17"/>
  <c r="E181" i="17"/>
  <c r="E166" i="17"/>
  <c r="B322" i="16"/>
  <c r="B320" i="16"/>
  <c r="B318" i="16"/>
  <c r="B316" i="16" s="1"/>
  <c r="B310" i="16"/>
  <c r="B15" i="16" s="1"/>
  <c r="E73" i="16" s="1"/>
  <c r="B308" i="16"/>
  <c r="B9" i="16" s="1"/>
  <c r="E71" i="16" s="1"/>
  <c r="B304" i="16"/>
  <c r="B7" i="16" s="1"/>
  <c r="E70" i="16" s="1"/>
  <c r="C296" i="16"/>
  <c r="F255" i="16"/>
  <c r="E253" i="16"/>
  <c r="F247" i="16"/>
  <c r="D240" i="16"/>
  <c r="F237" i="16"/>
  <c r="D237" i="16"/>
  <c r="F236" i="16"/>
  <c r="D236" i="16"/>
  <c r="D234" i="16"/>
  <c r="D233" i="16"/>
  <c r="F229" i="16"/>
  <c r="F248" i="16" s="1"/>
  <c r="D216" i="16"/>
  <c r="H155" i="16"/>
  <c r="G155" i="16"/>
  <c r="D155" i="16"/>
  <c r="H151" i="16"/>
  <c r="G151" i="16"/>
  <c r="F151" i="16"/>
  <c r="F168" i="16" s="1"/>
  <c r="E151" i="16"/>
  <c r="E189" i="16"/>
  <c r="D151" i="16"/>
  <c r="E188" i="16" s="1"/>
  <c r="E103" i="16"/>
  <c r="E83" i="16"/>
  <c r="G145" i="16"/>
  <c r="E52" i="16"/>
  <c r="E47" i="16"/>
  <c r="E143" i="16" s="1"/>
  <c r="E102" i="16"/>
  <c r="A14" i="16"/>
  <c r="A13" i="16"/>
  <c r="B12" i="16"/>
  <c r="E93" i="16" s="1"/>
  <c r="A12" i="16"/>
  <c r="B11" i="16"/>
  <c r="E82" i="16" s="1"/>
  <c r="A11" i="16"/>
  <c r="A10" i="16"/>
  <c r="A9" i="16"/>
  <c r="B8" i="16"/>
  <c r="E76" i="16" s="1"/>
  <c r="A8" i="16"/>
  <c r="A7" i="16"/>
  <c r="G171" i="17"/>
  <c r="E77" i="17"/>
  <c r="H171" i="17"/>
  <c r="F150" i="17"/>
  <c r="G150" i="17"/>
  <c r="E160" i="17"/>
  <c r="F160" i="17"/>
  <c r="F163" i="17"/>
  <c r="E152" i="17"/>
  <c r="E169" i="17"/>
  <c r="E163" i="17"/>
  <c r="G156" i="17"/>
  <c r="F156" i="17"/>
  <c r="E156" i="17"/>
  <c r="E173" i="17"/>
  <c r="H156" i="17"/>
  <c r="E189" i="17"/>
  <c r="E168" i="17"/>
  <c r="E108" i="17" s="1"/>
  <c r="E256" i="17"/>
  <c r="E248" i="17"/>
  <c r="E182" i="17"/>
  <c r="E183" i="17"/>
  <c r="E272" i="17"/>
  <c r="E229" i="17"/>
  <c r="E191" i="17"/>
  <c r="G160" i="17"/>
  <c r="F168" i="17"/>
  <c r="E208" i="17"/>
  <c r="E241" i="17"/>
  <c r="H163" i="17"/>
  <c r="G168" i="17"/>
  <c r="H160" i="17"/>
  <c r="H168" i="17"/>
  <c r="E188" i="17"/>
  <c r="E145" i="16"/>
  <c r="F162" i="16" s="1"/>
  <c r="H145" i="16"/>
  <c r="E219" i="16" s="1"/>
  <c r="E236" i="16" s="1"/>
  <c r="B319" i="16"/>
  <c r="F145" i="16"/>
  <c r="G162" i="16" s="1"/>
  <c r="E84" i="16"/>
  <c r="F146" i="16" s="1"/>
  <c r="D150" i="17"/>
  <c r="E109" i="17"/>
  <c r="F167" i="17"/>
  <c r="H173" i="17"/>
  <c r="F173" i="17"/>
  <c r="G167" i="17"/>
  <c r="H150" i="17"/>
  <c r="H167" i="17"/>
  <c r="E284" i="17"/>
  <c r="E261" i="17"/>
  <c r="C296" i="17"/>
  <c r="G173" i="17"/>
  <c r="E192" i="17"/>
  <c r="E275" i="17"/>
  <c r="E238" i="17"/>
  <c r="D153" i="17"/>
  <c r="B19" i="17"/>
  <c r="E110" i="17"/>
  <c r="E153" i="17"/>
  <c r="E167" i="17"/>
  <c r="E246" i="17" s="1"/>
  <c r="E249" i="17" s="1"/>
  <c r="C297" i="17"/>
  <c r="C298" i="17"/>
  <c r="E262" i="17"/>
  <c r="H256" i="17"/>
  <c r="E286" i="17"/>
  <c r="E170" i="17"/>
  <c r="E34" i="17"/>
  <c r="E205" i="17"/>
  <c r="E40" i="17"/>
  <c r="E37" i="17"/>
  <c r="E36" i="17"/>
  <c r="E41" i="17"/>
  <c r="E86" i="17"/>
  <c r="F147" i="17"/>
  <c r="E89" i="17"/>
  <c r="F148" i="17"/>
  <c r="F165" i="17"/>
  <c r="E198" i="17"/>
  <c r="E199" i="17"/>
  <c r="F164" i="17"/>
  <c r="E218" i="17"/>
  <c r="F152" i="17"/>
  <c r="F169" i="17" s="1"/>
  <c r="E263" i="17"/>
  <c r="E285" i="17" l="1"/>
  <c r="H255" i="17"/>
  <c r="E274" i="17"/>
  <c r="E111" i="17"/>
  <c r="F153" i="17" s="1"/>
  <c r="E107" i="17"/>
  <c r="E294" i="17"/>
  <c r="E276" i="17"/>
  <c r="G168" i="16"/>
  <c r="H168" i="16"/>
  <c r="E146" i="16"/>
  <c r="H150" i="16"/>
  <c r="H167" i="16" s="1"/>
  <c r="F150" i="16"/>
  <c r="E150" i="16"/>
  <c r="E94" i="16"/>
  <c r="H172" i="16"/>
  <c r="E195" i="16"/>
  <c r="F143" i="16"/>
  <c r="F160" i="16" s="1"/>
  <c r="B311" i="16"/>
  <c r="B313" i="16" s="1"/>
  <c r="B10" i="16" s="1"/>
  <c r="E75" i="16" s="1"/>
  <c r="E78" i="16" s="1"/>
  <c r="G143" i="16"/>
  <c r="F256" i="16"/>
  <c r="B321" i="16"/>
  <c r="B323" i="16" s="1"/>
  <c r="B14" i="16" s="1"/>
  <c r="E92" i="16" s="1"/>
  <c r="F149" i="16" s="1"/>
  <c r="H143" i="16"/>
  <c r="H160" i="16" s="1"/>
  <c r="D143" i="16"/>
  <c r="E160" i="16" s="1"/>
  <c r="E203" i="16"/>
  <c r="F163" i="16"/>
  <c r="B309" i="16"/>
  <c r="E74" i="16" s="1"/>
  <c r="D148" i="16"/>
  <c r="E72" i="16"/>
  <c r="D146" i="16" s="1"/>
  <c r="D145" i="16"/>
  <c r="E162" i="16" s="1"/>
  <c r="E98" i="16"/>
  <c r="E149" i="16"/>
  <c r="E77" i="16"/>
  <c r="D150" i="16"/>
  <c r="E167" i="16" s="1"/>
  <c r="E85" i="16"/>
  <c r="D147" i="16"/>
  <c r="H146" i="16"/>
  <c r="E66" i="16"/>
  <c r="E144" i="16" s="1"/>
  <c r="G146" i="16"/>
  <c r="G163" i="16" s="1"/>
  <c r="G150" i="16"/>
  <c r="E104" i="16"/>
  <c r="H154" i="16" s="1"/>
  <c r="E168" i="16"/>
  <c r="E108" i="16" s="1"/>
  <c r="H162" i="16"/>
  <c r="E282" i="16"/>
  <c r="E115" i="17" l="1"/>
  <c r="E155" i="17" s="1"/>
  <c r="E206" i="17"/>
  <c r="E209" i="17" s="1"/>
  <c r="E239" i="17"/>
  <c r="F170" i="17"/>
  <c r="E105" i="17" s="1"/>
  <c r="F166" i="16"/>
  <c r="E289" i="16"/>
  <c r="F154" i="16"/>
  <c r="G167" i="16"/>
  <c r="G149" i="16"/>
  <c r="G166" i="16" s="1"/>
  <c r="F144" i="16"/>
  <c r="F161" i="16" s="1"/>
  <c r="D154" i="16"/>
  <c r="E154" i="16"/>
  <c r="E171" i="16" s="1"/>
  <c r="H149" i="16"/>
  <c r="D149" i="16"/>
  <c r="E180" i="16" s="1"/>
  <c r="G154" i="16"/>
  <c r="E109" i="16"/>
  <c r="D153" i="16" s="1"/>
  <c r="D152" i="16"/>
  <c r="E95" i="16"/>
  <c r="G144" i="16"/>
  <c r="G161" i="16" s="1"/>
  <c r="G160" i="16"/>
  <c r="F167" i="16"/>
  <c r="E163" i="16"/>
  <c r="E246" i="16"/>
  <c r="E107" i="16"/>
  <c r="E67" i="16"/>
  <c r="H254" i="16" s="1"/>
  <c r="E181" i="16"/>
  <c r="H144" i="16"/>
  <c r="E147" i="16"/>
  <c r="E88" i="16"/>
  <c r="H163" i="16"/>
  <c r="D144" i="16"/>
  <c r="E190" i="16" s="1"/>
  <c r="H166" i="16"/>
  <c r="E197" i="16"/>
  <c r="E217" i="16"/>
  <c r="E220" i="16"/>
  <c r="E237" i="16" s="1"/>
  <c r="E196" i="16"/>
  <c r="E204" i="16"/>
  <c r="E208" i="16"/>
  <c r="E241" i="16"/>
  <c r="G171" i="16" l="1"/>
  <c r="E238" i="16"/>
  <c r="E110" i="16"/>
  <c r="E153" i="16" s="1"/>
  <c r="E215" i="17"/>
  <c r="E234" i="17" s="1"/>
  <c r="E254" i="17"/>
  <c r="E257" i="17" s="1"/>
  <c r="E172" i="17"/>
  <c r="E277" i="17"/>
  <c r="H257" i="17"/>
  <c r="E264" i="17"/>
  <c r="E296" i="17"/>
  <c r="E116" i="17"/>
  <c r="F171" i="16"/>
  <c r="E228" i="16"/>
  <c r="E240" i="16" s="1"/>
  <c r="E247" i="16"/>
  <c r="H161" i="16"/>
  <c r="H171" i="16"/>
  <c r="E207" i="16"/>
  <c r="E166" i="16"/>
  <c r="E278" i="16"/>
  <c r="E255" i="16"/>
  <c r="E164" i="16"/>
  <c r="E152" i="16"/>
  <c r="E169" i="16" s="1"/>
  <c r="E148" i="16"/>
  <c r="E165" i="16" s="1"/>
  <c r="E91" i="16"/>
  <c r="E161" i="16"/>
  <c r="E205" i="16"/>
  <c r="B19" i="16"/>
  <c r="E34" i="16" s="1"/>
  <c r="E170" i="16"/>
  <c r="E298" i="17" l="1"/>
  <c r="I296" i="17"/>
  <c r="I298" i="17" s="1"/>
  <c r="E267" i="17"/>
  <c r="F155" i="17"/>
  <c r="E87" i="17"/>
  <c r="E256" i="16"/>
  <c r="E229" i="16"/>
  <c r="E182" i="16"/>
  <c r="E183" i="16" s="1"/>
  <c r="E106" i="16"/>
  <c r="E248" i="16"/>
  <c r="E249" i="16" s="1"/>
  <c r="E273" i="16" s="1"/>
  <c r="E115" i="16"/>
  <c r="E155" i="16" s="1"/>
  <c r="E191" i="16"/>
  <c r="E192" i="16" s="1"/>
  <c r="E274" i="16" s="1"/>
  <c r="E40" i="16"/>
  <c r="E41" i="16" s="1"/>
  <c r="E86" i="16" s="1"/>
  <c r="E37" i="16"/>
  <c r="E36" i="16"/>
  <c r="F172" i="17" l="1"/>
  <c r="J153" i="17"/>
  <c r="G172" i="17"/>
  <c r="E214" i="17"/>
  <c r="H147" i="17"/>
  <c r="G147" i="17"/>
  <c r="E90" i="17"/>
  <c r="G148" i="17" s="1"/>
  <c r="E254" i="16"/>
  <c r="E257" i="16" s="1"/>
  <c r="E172" i="16"/>
  <c r="E283" i="16"/>
  <c r="C298" i="16"/>
  <c r="E261" i="16"/>
  <c r="E272" i="16" s="1"/>
  <c r="C299" i="16"/>
  <c r="C300" i="16" s="1"/>
  <c r="E262" i="16"/>
  <c r="H256" i="16"/>
  <c r="E285" i="16"/>
  <c r="H255" i="16"/>
  <c r="E284" i="16"/>
  <c r="E156" i="16"/>
  <c r="E173" i="16" s="1"/>
  <c r="H156" i="16"/>
  <c r="G156" i="16"/>
  <c r="F156" i="16"/>
  <c r="F147" i="16"/>
  <c r="E89" i="16"/>
  <c r="F148" i="16" s="1"/>
  <c r="F165" i="16" s="1"/>
  <c r="E111" i="16"/>
  <c r="F153" i="16" s="1"/>
  <c r="H164" i="17" l="1"/>
  <c r="H152" i="17"/>
  <c r="G164" i="17"/>
  <c r="G152" i="17"/>
  <c r="G169" i="17" s="1"/>
  <c r="E233" i="17"/>
  <c r="E242" i="17" s="1"/>
  <c r="E279" i="17" s="1"/>
  <c r="E221" i="17"/>
  <c r="H148" i="17"/>
  <c r="H165" i="17" s="1"/>
  <c r="G165" i="17"/>
  <c r="H173" i="16"/>
  <c r="F173" i="16"/>
  <c r="G173" i="16"/>
  <c r="E267" i="16"/>
  <c r="I298" i="16"/>
  <c r="I300" i="16" s="1"/>
  <c r="E206" i="16"/>
  <c r="E209" i="16" s="1"/>
  <c r="E239" i="16"/>
  <c r="F170" i="16"/>
  <c r="E105" i="16" s="1"/>
  <c r="E198" i="16"/>
  <c r="E199" i="16" s="1"/>
  <c r="F152" i="16"/>
  <c r="F169" i="16" s="1"/>
  <c r="E218" i="16"/>
  <c r="F164" i="16"/>
  <c r="E276" i="16" l="1"/>
  <c r="E287" i="16"/>
  <c r="E275" i="16"/>
  <c r="E286" i="16"/>
  <c r="E289" i="17"/>
  <c r="E291" i="17" s="1"/>
  <c r="B22" i="17" s="1"/>
  <c r="G294" i="17"/>
  <c r="E265" i="17"/>
  <c r="E278" i="17"/>
  <c r="E280" i="17" s="1"/>
  <c r="H169" i="17"/>
  <c r="E112" i="17"/>
  <c r="E116" i="16"/>
  <c r="F155" i="16" s="1"/>
  <c r="E215" i="16"/>
  <c r="E234" i="16" s="1"/>
  <c r="E264" i="16"/>
  <c r="E298" i="16"/>
  <c r="E296" i="16"/>
  <c r="E263" i="16"/>
  <c r="E113" i="17" l="1"/>
  <c r="H153" i="17" s="1"/>
  <c r="H170" i="17" s="1"/>
  <c r="G153" i="17"/>
  <c r="G170" i="17" s="1"/>
  <c r="J294" i="17"/>
  <c r="E300" i="16"/>
  <c r="F172" i="16"/>
  <c r="J153" i="16"/>
  <c r="G172" i="16"/>
  <c r="E214" i="16"/>
  <c r="H257" i="16"/>
  <c r="E87" i="16"/>
  <c r="E227" i="17" l="1"/>
  <c r="E230" i="17" s="1"/>
  <c r="J154" i="17"/>
  <c r="J155" i="17" s="1"/>
  <c r="E221" i="16"/>
  <c r="E233" i="16"/>
  <c r="E242" i="16" s="1"/>
  <c r="E90" i="16"/>
  <c r="G148" i="16" s="1"/>
  <c r="G147" i="16"/>
  <c r="H147" i="16"/>
  <c r="G296" i="17" l="1"/>
  <c r="E266" i="17"/>
  <c r="E268" i="17" s="1"/>
  <c r="B21" i="17" s="1"/>
  <c r="G152" i="16"/>
  <c r="G169" i="16" s="1"/>
  <c r="G164" i="16"/>
  <c r="H164" i="16"/>
  <c r="H152" i="16"/>
  <c r="H148" i="16"/>
  <c r="H165" i="16" s="1"/>
  <c r="G165" i="16"/>
  <c r="G296" i="16"/>
  <c r="E265" i="16"/>
  <c r="E288" i="16"/>
  <c r="E290" i="16" s="1"/>
  <c r="B23" i="17" l="1"/>
  <c r="B24" i="17"/>
  <c r="J296" i="17"/>
  <c r="K297" i="17" s="1"/>
  <c r="G298" i="17"/>
  <c r="J298" i="17" s="1"/>
  <c r="H169" i="16"/>
  <c r="E112" i="16"/>
  <c r="J296" i="16"/>
  <c r="E113" i="16" l="1"/>
  <c r="H153" i="16" s="1"/>
  <c r="G153" i="16"/>
  <c r="G170" i="16" s="1"/>
  <c r="H170" i="16" l="1"/>
  <c r="E227" i="16"/>
  <c r="E230" i="16" s="1"/>
  <c r="E277" i="16" s="1"/>
  <c r="E279" i="16" s="1"/>
  <c r="J154" i="16"/>
  <c r="J155" i="16" s="1"/>
  <c r="G298" i="16" l="1"/>
  <c r="E266" i="16"/>
  <c r="E268" i="16" s="1"/>
  <c r="B21" i="16" s="1"/>
  <c r="B22" i="16"/>
  <c r="J298" i="16" l="1"/>
  <c r="K299" i="16" s="1"/>
  <c r="G300" i="16"/>
  <c r="J300" i="16" s="1"/>
  <c r="B23" i="16"/>
  <c r="B24" i="16"/>
</calcChain>
</file>

<file path=xl/comments1.xml><?xml version="1.0" encoding="utf-8"?>
<comments xmlns="http://schemas.openxmlformats.org/spreadsheetml/2006/main">
  <authors>
    <author>Matthew Heun</author>
  </authors>
  <commentList>
    <comment ref="E242" authorId="0" shapeId="0">
      <text>
        <r>
          <rPr>
            <b/>
            <sz val="10"/>
            <color indexed="8"/>
            <rFont val="Tahoma"/>
            <family val="2"/>
          </rPr>
          <t>Matthew Heun:</t>
        </r>
        <r>
          <rPr>
            <sz val="10"/>
            <color indexed="8"/>
            <rFont val="Tahoma"/>
            <family val="2"/>
          </rPr>
          <t xml:space="preserve">
</t>
        </r>
        <r>
          <rPr>
            <sz val="10"/>
            <color indexed="8"/>
            <rFont val="Tahoma"/>
            <family val="2"/>
          </rPr>
          <t>This cell now contains Matt's retyping of the formula from Equation 28. It works for me. I'm not sure what Paul's mistake was. ---Matt</t>
        </r>
      </text>
    </comment>
  </commentList>
</comments>
</file>

<file path=xl/comments2.xml><?xml version="1.0" encoding="utf-8"?>
<comments xmlns="http://schemas.openxmlformats.org/spreadsheetml/2006/main">
  <authors>
    <author>Matthew Heun</author>
  </authors>
  <commentList>
    <comment ref="E242" authorId="0" shapeId="0">
      <text>
        <r>
          <rPr>
            <b/>
            <sz val="10"/>
            <color indexed="8"/>
            <rFont val="Tahoma"/>
            <family val="2"/>
          </rPr>
          <t>Matthew Heun:</t>
        </r>
        <r>
          <rPr>
            <sz val="10"/>
            <color indexed="8"/>
            <rFont val="Tahoma"/>
            <family val="2"/>
          </rPr>
          <t xml:space="preserve">
</t>
        </r>
        <r>
          <rPr>
            <sz val="10"/>
            <color indexed="8"/>
            <rFont val="Tahoma"/>
            <family val="2"/>
          </rPr>
          <t>This cell now contains Matt's retyping of the formula from Equation 28. It works for me. I'm not sure what Paul's mistake was. ---Matt</t>
        </r>
      </text>
    </comment>
    <comment ref="B310" authorId="0" shapeId="0">
      <text>
        <r>
          <rPr>
            <b/>
            <sz val="10"/>
            <color indexed="8"/>
            <rFont val="Tahoma"/>
            <family val="2"/>
          </rPr>
          <t>Matthew Heun:</t>
        </r>
        <r>
          <rPr>
            <sz val="10"/>
            <color indexed="8"/>
            <rFont val="Tahoma"/>
            <family val="2"/>
          </rPr>
          <t xml:space="preserve">
</t>
        </r>
        <r>
          <rPr>
            <sz val="10"/>
            <color indexed="8"/>
            <rFont val="Tahoma"/>
            <family val="2"/>
          </rPr>
          <t xml:space="preserve">Calculated from q_dot_s (in Lm-hr/yr) and luminosity (inLm). 
</t>
        </r>
        <r>
          <rPr>
            <sz val="10"/>
            <color indexed="8"/>
            <rFont val="Tahoma"/>
            <family val="2"/>
          </rPr>
          <t xml:space="preserve">
</t>
        </r>
        <r>
          <rPr>
            <sz val="10"/>
            <color indexed="8"/>
            <rFont val="Tahoma"/>
            <family val="2"/>
          </rPr>
          <t>I moved the input cell to the top of the sheet, because it is easier to make graphs.</t>
        </r>
      </text>
    </comment>
    <comment ref="B318" authorId="0" shapeId="0">
      <text>
        <r>
          <rPr>
            <b/>
            <sz val="10"/>
            <color indexed="8"/>
            <rFont val="Tahoma"/>
            <family val="2"/>
          </rPr>
          <t>Matthew Heun:</t>
        </r>
        <r>
          <rPr>
            <sz val="10"/>
            <color indexed="8"/>
            <rFont val="Tahoma"/>
            <family val="2"/>
          </rPr>
          <t xml:space="preserve">
</t>
        </r>
        <r>
          <rPr>
            <sz val="10"/>
            <color indexed="8"/>
            <rFont val="Tahoma"/>
            <family val="2"/>
          </rPr>
          <t>Note that 81.8 Lm is a given above, thereby enabling easier graph creation. Luminosity is calculated from Lm/W in this section of the spreadsheet.</t>
        </r>
      </text>
    </comment>
  </commentList>
</comments>
</file>

<file path=xl/sharedStrings.xml><?xml version="1.0" encoding="utf-8"?>
<sst xmlns="http://schemas.openxmlformats.org/spreadsheetml/2006/main" count="1244" uniqueCount="507">
  <si>
    <t>Source</t>
  </si>
  <si>
    <t>Jaffe &amp; Taylor, 2018, Physics of Energy, p. 208</t>
  </si>
  <si>
    <t>MJ/kg</t>
  </si>
  <si>
    <t>MJ/L</t>
  </si>
  <si>
    <t>assuming a density of 0.75kg/liter</t>
  </si>
  <si>
    <t>$/MJ</t>
  </si>
  <si>
    <t>ktoe/yr</t>
  </si>
  <si>
    <t>US GDP</t>
  </si>
  <si>
    <t>BEA, NIPA, Table 1.1.5</t>
  </si>
  <si>
    <t>Energy intensity</t>
  </si>
  <si>
    <t>MJ/$</t>
  </si>
  <si>
    <t>MJ/yr</t>
  </si>
  <si>
    <t>$ billion/yr</t>
  </si>
  <si>
    <t>units</t>
  </si>
  <si>
    <t>Symbol in paper</t>
  </si>
  <si>
    <t>p_E</t>
  </si>
  <si>
    <t>Value</t>
  </si>
  <si>
    <t>first approximation of Re_iinc</t>
  </si>
  <si>
    <t>--</t>
  </si>
  <si>
    <t>converted to MJ</t>
  </si>
  <si>
    <t>conversion factor from Table A.II.7, Annex 2, IPCC AR5, https://www.ipcc.ch/site/assets/uploads/2018/02/ipcc_wg3_ar5_annex-ii.pdf</t>
  </si>
  <si>
    <t>Fuel Economy pre upgrade</t>
  </si>
  <si>
    <t>miles/gallon</t>
  </si>
  <si>
    <t>Energy carrier</t>
  </si>
  <si>
    <t>Conversion factors</t>
  </si>
  <si>
    <t>Liters per gallon</t>
  </si>
  <si>
    <t>kilometers per mile</t>
  </si>
  <si>
    <t>km/mile</t>
  </si>
  <si>
    <t>L/gallon</t>
  </si>
  <si>
    <t>MJ/gallon</t>
  </si>
  <si>
    <t>$/gallon</t>
  </si>
  <si>
    <t>Price of energy in gasoline</t>
  </si>
  <si>
    <t>Economy wide intensity</t>
  </si>
  <si>
    <t>Elasticities</t>
  </si>
  <si>
    <t>$/car</t>
  </si>
  <si>
    <t>Fuel Economy post upgrade</t>
  </si>
  <si>
    <t>p_s</t>
  </si>
  <si>
    <t>Energy service price post upgrade</t>
  </si>
  <si>
    <t>https://www.bts.gov/content/us-passenger-miles</t>
  </si>
  <si>
    <t>https://www.carinsurance.com/Articles/average-miles-driven-per-year-by-state.aspx</t>
  </si>
  <si>
    <t>Device energy consumption rate</t>
  </si>
  <si>
    <t>miles/yr</t>
  </si>
  <si>
    <t>C_cap</t>
  </si>
  <si>
    <t>Embodied energy rate</t>
  </si>
  <si>
    <t>E_emb</t>
  </si>
  <si>
    <t>average miles is 13476 according to FHWA, but Edmunds assumes 15000</t>
  </si>
  <si>
    <t>$/yr</t>
  </si>
  <si>
    <t>https://fred.stlouisfed.org/series/MEPAINUSA672N</t>
  </si>
  <si>
    <t>Personal outlays (consumption)</t>
  </si>
  <si>
    <t>BEA NIPA Table 2.1</t>
  </si>
  <si>
    <t>Variables</t>
  </si>
  <si>
    <t>E*_emb</t>
  </si>
  <si>
    <t>Sdot_dev</t>
  </si>
  <si>
    <t>Re_emb</t>
  </si>
  <si>
    <t>I_E</t>
  </si>
  <si>
    <t xml:space="preserve">eta </t>
  </si>
  <si>
    <t>Re_dsub</t>
  </si>
  <si>
    <t>Re_isub</t>
  </si>
  <si>
    <t>Mdot</t>
  </si>
  <si>
    <t>Re_dinc</t>
  </si>
  <si>
    <t>$/year</t>
  </si>
  <si>
    <t>Re_iinc</t>
  </si>
  <si>
    <t>k</t>
  </si>
  <si>
    <t>Re_prod</t>
  </si>
  <si>
    <t>Re_cap</t>
  </si>
  <si>
    <t>Re_dempl</t>
  </si>
  <si>
    <t>MJ</t>
  </si>
  <si>
    <t>Embodied energy</t>
  </si>
  <si>
    <t>lifetime of device</t>
  </si>
  <si>
    <t>yr</t>
  </si>
  <si>
    <t>t</t>
  </si>
  <si>
    <t>Edot_emb</t>
  </si>
  <si>
    <t>t*</t>
  </si>
  <si>
    <t>E*_dot_emb</t>
  </si>
  <si>
    <t>Ndot_hat</t>
  </si>
  <si>
    <t>Gdot</t>
  </si>
  <si>
    <t>Eta</t>
  </si>
  <si>
    <t>qdot_s_hat</t>
  </si>
  <si>
    <t>Cdot_o_hat</t>
  </si>
  <si>
    <t>Cdot_o_bar</t>
  </si>
  <si>
    <t>deltaCbar_dot_o</t>
  </si>
  <si>
    <t>Energy price</t>
  </si>
  <si>
    <t>Energy service efficiency</t>
  </si>
  <si>
    <t>Energy service price</t>
  </si>
  <si>
    <t>Energy service consumption rate</t>
  </si>
  <si>
    <t>Capital expenditure rate</t>
  </si>
  <si>
    <t>OM and disposal expenditure rate</t>
  </si>
  <si>
    <t>Other goods expenditure rate</t>
  </si>
  <si>
    <t>Net income</t>
  </si>
  <si>
    <t>Units</t>
  </si>
  <si>
    <t>symbol</t>
  </si>
  <si>
    <t>Original</t>
  </si>
  <si>
    <t>qdot_s_star</t>
  </si>
  <si>
    <t>Miles driven, after substitution effects</t>
  </si>
  <si>
    <t>Device energy consumption rate, after substitution effects</t>
  </si>
  <si>
    <t>Device energy consumption rate, after emplacement effects</t>
  </si>
  <si>
    <t>Other goods expenditure rate, after emplacement effect</t>
  </si>
  <si>
    <t>Other goods expenditure rate, after substitution effect</t>
  </si>
  <si>
    <t>values</t>
  </si>
  <si>
    <t>* (star)</t>
  </si>
  <si>
    <t>^ (hat)</t>
  </si>
  <si>
    <t>~ (tilde)</t>
  </si>
  <si>
    <t xml:space="preserve">  (bar)</t>
  </si>
  <si>
    <t>Expected savings (gross income) rate</t>
  </si>
  <si>
    <t>∆*</t>
  </si>
  <si>
    <t>∆^</t>
  </si>
  <si>
    <t xml:space="preserve">∆  </t>
  </si>
  <si>
    <t>∆~</t>
  </si>
  <si>
    <t>Cause --&gt;</t>
  </si>
  <si>
    <t>eta_tilde</t>
  </si>
  <si>
    <t>Direct</t>
  </si>
  <si>
    <t>Indirect</t>
  </si>
  <si>
    <t>DeltaCdot*_cap</t>
  </si>
  <si>
    <t>Eta_tilde</t>
  </si>
  <si>
    <t>Edot_s_star</t>
  </si>
  <si>
    <t>Edot_s_hat</t>
  </si>
  <si>
    <t>Edot*_emb</t>
  </si>
  <si>
    <t>sub-total</t>
  </si>
  <si>
    <t>qdot_s_bar</t>
  </si>
  <si>
    <t>Edot_s_bar</t>
  </si>
  <si>
    <t>Device energy consumption rate, after income effects</t>
  </si>
  <si>
    <t>Miles driven, after income effects</t>
  </si>
  <si>
    <t>Other goods expenditure rate, after income effects</t>
  </si>
  <si>
    <t>Car price - capital expenditure</t>
  </si>
  <si>
    <t>$/mile</t>
  </si>
  <si>
    <t>Energy service price pre upgrade</t>
  </si>
  <si>
    <t>Key</t>
  </si>
  <si>
    <t>raw data (input) cells</t>
  </si>
  <si>
    <t>Variable / description</t>
  </si>
  <si>
    <t>Gasoline specific energy (HHV)</t>
  </si>
  <si>
    <t>Gasoline energy density (SI Units)</t>
  </si>
  <si>
    <t>Gasoline energy density (US Units)</t>
  </si>
  <si>
    <t>Borenstein assumes $3/gallon; L/gallon = 3.7855</t>
  </si>
  <si>
    <t>Real median personal income US, in 2018</t>
  </si>
  <si>
    <t>US Disposable income / real income (minus current taxes)</t>
  </si>
  <si>
    <t xml:space="preserve">Savings from disposable income </t>
  </si>
  <si>
    <r>
      <t>Re</t>
    </r>
    <r>
      <rPr>
        <vertAlign val="subscript"/>
        <sz val="11"/>
        <color indexed="8"/>
        <rFont val="Calibri (Body)"/>
      </rPr>
      <t>sum</t>
    </r>
  </si>
  <si>
    <r>
      <t>Re</t>
    </r>
    <r>
      <rPr>
        <vertAlign val="subscript"/>
        <sz val="11"/>
        <color indexed="8"/>
        <rFont val="Calibri (Body)"/>
      </rPr>
      <t>dempl</t>
    </r>
  </si>
  <si>
    <r>
      <t>Re</t>
    </r>
    <r>
      <rPr>
        <vertAlign val="subscript"/>
        <sz val="11"/>
        <color indexed="8"/>
        <rFont val="Calibri (Body)"/>
      </rPr>
      <t>dsub</t>
    </r>
  </si>
  <si>
    <r>
      <t>Re</t>
    </r>
    <r>
      <rPr>
        <vertAlign val="subscript"/>
        <sz val="11"/>
        <color indexed="8"/>
        <rFont val="Calibri (Body)"/>
      </rPr>
      <t>dinc</t>
    </r>
  </si>
  <si>
    <r>
      <t>Re</t>
    </r>
    <r>
      <rPr>
        <vertAlign val="subscript"/>
        <sz val="11"/>
        <color indexed="8"/>
        <rFont val="Calibri (Body)"/>
      </rPr>
      <t>emb</t>
    </r>
  </si>
  <si>
    <r>
      <t>Re</t>
    </r>
    <r>
      <rPr>
        <vertAlign val="subscript"/>
        <sz val="11"/>
        <color indexed="8"/>
        <rFont val="Calibri (Body)"/>
      </rPr>
      <t>isub</t>
    </r>
  </si>
  <si>
    <r>
      <t>Re</t>
    </r>
    <r>
      <rPr>
        <vertAlign val="subscript"/>
        <sz val="11"/>
        <color indexed="8"/>
        <rFont val="Calibri (Body)"/>
      </rPr>
      <t>iinc</t>
    </r>
  </si>
  <si>
    <t>Edot_s</t>
  </si>
  <si>
    <t>qdot_s</t>
  </si>
  <si>
    <t>Device energy consumption rate, pre-upgrade</t>
  </si>
  <si>
    <t>C*_cap</t>
  </si>
  <si>
    <t>Expected savings rate, after emplacement</t>
  </si>
  <si>
    <t xml:space="preserve">Expected savings rate ($/yr), i.e. energy savings x price of fuel </t>
  </si>
  <si>
    <t>p_s_star</t>
  </si>
  <si>
    <t>Notes</t>
  </si>
  <si>
    <t>Consumer and other financial data</t>
  </si>
  <si>
    <t>Net income (after emplacement effect)</t>
  </si>
  <si>
    <t>Net income (after substitution effect)</t>
  </si>
  <si>
    <t>Net income (after income effect)</t>
  </si>
  <si>
    <t>Other goods expenditure rate, after productivity effects</t>
  </si>
  <si>
    <t>Other goods expenditure rate, pre-upgrade</t>
  </si>
  <si>
    <t>Net income (pre-upgrade)</t>
  </si>
  <si>
    <t>Ndot</t>
  </si>
  <si>
    <t>Ndot_star</t>
  </si>
  <si>
    <t>Ndot_bar</t>
  </si>
  <si>
    <t>Net income (after productivity effect)</t>
  </si>
  <si>
    <t xml:space="preserve">Edot_s </t>
  </si>
  <si>
    <t>Output summary</t>
  </si>
  <si>
    <t>$</t>
  </si>
  <si>
    <t>price of gasoline</t>
  </si>
  <si>
    <t>miles driven</t>
  </si>
  <si>
    <t>miles</t>
  </si>
  <si>
    <t>Capital cost rate</t>
  </si>
  <si>
    <t>Cdot_cap</t>
  </si>
  <si>
    <t>Cdot*_cap</t>
  </si>
  <si>
    <t>Re_sum_1</t>
  </si>
  <si>
    <t>Re_sum_2</t>
  </si>
  <si>
    <t>Efficiency ratio</t>
  </si>
  <si>
    <t>eta_tilde / eta</t>
  </si>
  <si>
    <t>Change in capital expenditure rate (after emplacement)</t>
  </si>
  <si>
    <t>∆C_star_cap</t>
  </si>
  <si>
    <t>Miles driven, after emplacement (same as b4 empl)</t>
  </si>
  <si>
    <t>∆</t>
  </si>
  <si>
    <t>k*PE*IE</t>
  </si>
  <si>
    <t xml:space="preserve"> -k*Re_cap</t>
  </si>
  <si>
    <t xml:space="preserve"> -k*Re_Omd</t>
  </si>
  <si>
    <t>Car specs: Car before upgrade</t>
  </si>
  <si>
    <t>Car specs: Car after upgrade</t>
  </si>
  <si>
    <t>Check</t>
  </si>
  <si>
    <t>economy-wide rebound, Re_sum_1</t>
  </si>
  <si>
    <t>economy-wide rebound, Re_sum_2</t>
  </si>
  <si>
    <t>Ndot_tilde</t>
  </si>
  <si>
    <t>p_E * I_E</t>
  </si>
  <si>
    <t>Miles driven prior to upgrade</t>
  </si>
  <si>
    <t>miles driven prior to upgrade</t>
  </si>
  <si>
    <t>miles/year</t>
  </si>
  <si>
    <t>Takeback</t>
  </si>
  <si>
    <t>price of energy</t>
  </si>
  <si>
    <t>lights - capital expenditure</t>
  </si>
  <si>
    <t>Lm/W</t>
  </si>
  <si>
    <t>price of electricity</t>
  </si>
  <si>
    <t>lighting specs: lights after upgrade</t>
  </si>
  <si>
    <t>$/Lm</t>
  </si>
  <si>
    <t>1MJ = 277.78Wh</t>
  </si>
  <si>
    <t>Lighting specs: before upgrade</t>
  </si>
  <si>
    <t>luminous efficacy pre upgrade</t>
  </si>
  <si>
    <t>luminous efficacy post upgrade</t>
  </si>
  <si>
    <t>Lmh/yr</t>
  </si>
  <si>
    <t>lighting consumption prior to upgrade</t>
  </si>
  <si>
    <t>Lmh consumption, after emplacement (same as b4 empl)</t>
  </si>
  <si>
    <t>Lmh consumption, after substitution effects</t>
  </si>
  <si>
    <t>Lmh consumption, after income effects</t>
  </si>
  <si>
    <t>1MJ</t>
  </si>
  <si>
    <t>kWh</t>
  </si>
  <si>
    <t>1kWh</t>
  </si>
  <si>
    <t>Lm</t>
  </si>
  <si>
    <t>W</t>
  </si>
  <si>
    <t>$/Lmh</t>
  </si>
  <si>
    <t>$/kWh</t>
  </si>
  <si>
    <t>https://berla.co/average-us-vehicle-lifespan/</t>
  </si>
  <si>
    <t>13-17 years</t>
  </si>
  <si>
    <t>US Vehicles</t>
  </si>
  <si>
    <t>https://www.fhwa.dot.gov/ohim/onh00/bar8.htm</t>
  </si>
  <si>
    <t>miles per driver</t>
  </si>
  <si>
    <t>engine size</t>
  </si>
  <si>
    <t>kerb weight</t>
  </si>
  <si>
    <t>Gas/Electric I-4, 2.0 L</t>
  </si>
  <si>
    <t>3695lbs</t>
  </si>
  <si>
    <t>34000MJ</t>
  </si>
  <si>
    <t>from Argonne 2010 report https://greet.es.anl.gov/files/vehicle_and_components_manufacturing</t>
  </si>
  <si>
    <t>2. vehicle lifespan</t>
  </si>
  <si>
    <t>3. average car mileage US per year</t>
  </si>
  <si>
    <t>4. Car costs, mpg data</t>
  </si>
  <si>
    <t>1. LCA energy use for mid-size car</t>
  </si>
  <si>
    <t>HEV batteries seem to be ~10% of LCA energy of vehicle manufacture https://www.sciencedirect.com/science/article/pii/S0306261915004407</t>
  </si>
  <si>
    <t>Case study 1: Ford Fusion car (gasoline vs HEV)</t>
  </si>
  <si>
    <t>Case study 2 - Incandescent vs LED light bulb</t>
  </si>
  <si>
    <t>incandescent bulb - capital expenditure</t>
  </si>
  <si>
    <t>incandescent bulb - lifetime</t>
  </si>
  <si>
    <t>incandescent bulb - luminosity</t>
  </si>
  <si>
    <t>incandescent bulb - energy used (Watts)</t>
  </si>
  <si>
    <t>incandescent bulb - efficacy</t>
  </si>
  <si>
    <t>incandescent bulb - direct energy/yr</t>
  </si>
  <si>
    <t>incandescent bulb - embodied energy</t>
  </si>
  <si>
    <t>incandescent bulb - hours/year</t>
  </si>
  <si>
    <t>LED bulb - capital expenditure</t>
  </si>
  <si>
    <t>LED bulb - lifetime</t>
  </si>
  <si>
    <t>LED bulb - luminosity</t>
  </si>
  <si>
    <t>LED bulb - energy used (Watts)</t>
  </si>
  <si>
    <t>LED bulb - efficacy</t>
  </si>
  <si>
    <t>LED bulb - direct energy/yr</t>
  </si>
  <si>
    <t>LED bulb - embodied energy</t>
  </si>
  <si>
    <r>
      <t>·</t>
    </r>
    <r>
      <rPr>
        <sz val="7"/>
        <color indexed="56"/>
        <rFont val="Times New Roman"/>
        <family val="1"/>
      </rPr>
      <t xml:space="preserve">         </t>
    </r>
    <r>
      <rPr>
        <sz val="11"/>
        <color indexed="56"/>
        <rFont val="Calibri"/>
        <family val="2"/>
      </rPr>
      <t>Vehicle life: most studies take 150,000-180,000km, and say that this equates to one battery. So they don’t allow for battery replacement. One study suggested that even if a second battery is required later, that the EV battery is improving so quickly that its not much additional energy for the 2</t>
    </r>
    <r>
      <rPr>
        <vertAlign val="superscript"/>
        <sz val="11"/>
        <color indexed="56"/>
        <rFont val="Calibri"/>
        <family val="2"/>
      </rPr>
      <t>nd</t>
    </r>
    <r>
      <rPr>
        <sz val="11"/>
        <color indexed="56"/>
        <rFont val="Calibri"/>
        <family val="2"/>
      </rPr>
      <t xml:space="preserve"> battery</t>
    </r>
  </si>
  <si>
    <r>
      <t>·</t>
    </r>
    <r>
      <rPr>
        <sz val="7"/>
        <color indexed="56"/>
        <rFont val="Times New Roman"/>
        <family val="1"/>
      </rPr>
      <t xml:space="preserve">         </t>
    </r>
    <r>
      <rPr>
        <sz val="11"/>
        <color indexed="56"/>
        <rFont val="Calibri"/>
        <family val="2"/>
      </rPr>
      <t xml:space="preserve">Energy for the battery: around 10-20% of energy for the vehicle. Our (non plug-in hybrid) car is only 1.4kWh battery size. Full EVs start at around 30kWh in size, with a Tesla up to 100kWh. So in our car, the battery is v small. For the largest EVs, the battery energy seems to be similar 100% of the vehicle manufacture, i.e. double the energy needed to make the car. But for our baby battery, we can take a lower number </t>
    </r>
  </si>
  <si>
    <t>Articles reviewed/found/used</t>
  </si>
  <si>
    <r>
      <t>·</t>
    </r>
    <r>
      <rPr>
        <sz val="7"/>
        <color indexed="56"/>
        <rFont val="Times New Roman"/>
        <family val="1"/>
      </rPr>
      <t xml:space="preserve">         </t>
    </r>
    <r>
      <rPr>
        <sz val="11"/>
        <color indexed="56"/>
        <rFont val="Calibri"/>
        <family val="2"/>
      </rPr>
      <t xml:space="preserve">Hawkins TR, Singh B, Majeau-Bettez G, Strømman AH. Comparative Environmental Life Cycle Assessment of Conventional and Electric Vehicles. J Ind Ecol. 2013;17(1):53–64. </t>
    </r>
  </si>
  <si>
    <r>
      <t>·</t>
    </r>
    <r>
      <rPr>
        <sz val="7"/>
        <color indexed="56"/>
        <rFont val="Times New Roman"/>
        <family val="1"/>
      </rPr>
      <t xml:space="preserve">         </t>
    </r>
    <r>
      <rPr>
        <sz val="11"/>
        <color indexed="56"/>
        <rFont val="Calibri"/>
        <family val="2"/>
      </rPr>
      <t xml:space="preserve">Nordelöf A, Messagie M, Tillman AM, Ljunggren Söderman M, Van Mierlo J. Environmental impacts of hybrid, plug-in hybrid, and battery electric vehicles—what can we learn from life cycle assessment? Int J Life Cycle Assess. 2014;19(11):1866–90. </t>
    </r>
  </si>
  <si>
    <r>
      <t>·</t>
    </r>
    <r>
      <rPr>
        <sz val="7"/>
        <color indexed="56"/>
        <rFont val="Times New Roman"/>
        <family val="1"/>
      </rPr>
      <t xml:space="preserve">         </t>
    </r>
    <r>
      <rPr>
        <sz val="11"/>
        <color indexed="56"/>
        <rFont val="Calibri"/>
        <family val="2"/>
      </rPr>
      <t xml:space="preserve">Ellingsen LAW, Majeau-Bettez G, Singh B, Srivastava AK, Valøen LO, Strømman AH. Life Cycle Assessment of a Lithium-Ion Battery Vehicle Pack. J Ind Ecol. 2014;18(1):113–24. </t>
    </r>
  </si>
  <si>
    <r>
      <t>·</t>
    </r>
    <r>
      <rPr>
        <sz val="7"/>
        <color indexed="56"/>
        <rFont val="Times New Roman"/>
        <family val="1"/>
      </rPr>
      <t xml:space="preserve">         </t>
    </r>
    <r>
      <rPr>
        <sz val="11"/>
        <color indexed="56"/>
        <rFont val="Calibri"/>
        <family val="2"/>
      </rPr>
      <t xml:space="preserve">Onat NC, Kucukvar M, Tatari O. Conventional, hybrid, plug-in hybrid or electric vehicles? State-based comparative carbon and energy footprint analysis in the United States. Appl Energy. 2015;150:36–49. </t>
    </r>
  </si>
  <si>
    <r>
      <t>·</t>
    </r>
    <r>
      <rPr>
        <sz val="7"/>
        <color indexed="56"/>
        <rFont val="Times New Roman"/>
        <family val="1"/>
      </rPr>
      <t xml:space="preserve">         </t>
    </r>
    <r>
      <rPr>
        <sz val="11"/>
        <color indexed="56"/>
        <rFont val="Calibri"/>
        <family val="2"/>
      </rPr>
      <t xml:space="preserve">Ellingsen LAW, Singh B, Strømman AH. The size and range effect: Lifecycle greenhouse gas emissions of electric vehicles. Environ Res Lett. 2016;11(5). </t>
    </r>
  </si>
  <si>
    <r>
      <t>·</t>
    </r>
    <r>
      <rPr>
        <sz val="7"/>
        <color indexed="56"/>
        <rFont val="Times New Roman"/>
        <family val="1"/>
      </rPr>
      <t xml:space="preserve">         </t>
    </r>
    <r>
      <rPr>
        <sz val="11"/>
        <color indexed="56"/>
        <rFont val="Calibri"/>
        <family val="2"/>
      </rPr>
      <t>Cox B, Mutel CL, Bauer C, Mendoza Beltran A, Van Vuuren DP. Uncertain Environmental Footprint of Current and Future Battery Electric Vehicles. Environ Sci Technol. 2018;52(8):4989–95.</t>
    </r>
  </si>
  <si>
    <r>
      <t>1.</t>
    </r>
    <r>
      <rPr>
        <sz val="7"/>
        <color indexed="56"/>
        <rFont val="Times New Roman"/>
        <family val="1"/>
      </rPr>
      <t xml:space="preserve">       </t>
    </r>
    <r>
      <rPr>
        <u/>
        <sz val="11"/>
        <color indexed="56"/>
        <rFont val="Calibri"/>
        <family val="2"/>
      </rPr>
      <t>Size of batteries</t>
    </r>
  </si>
  <si>
    <t>Ford Fusion Hybrid (our car) battery size = 1.4kWh</t>
  </si>
  <si>
    <t>Ford Fusion plugin hybrid (energie) = 9kWh</t>
  </si>
  <si>
    <t>For comparison, full EV cars have battery sizes of 30kWh+, with the largest i.e. Tesla is around 60-100kWh, for 300+miles driving range</t>
  </si>
  <si>
    <t xml:space="preserve">EV Battery life / driving miles: </t>
  </si>
  <si>
    <r>
      <t>·</t>
    </r>
    <r>
      <rPr>
        <sz val="7"/>
        <color indexed="56"/>
        <rFont val="Times New Roman"/>
        <family val="1"/>
      </rPr>
      <t xml:space="preserve">         </t>
    </r>
    <r>
      <rPr>
        <u/>
        <sz val="11"/>
        <color indexed="56"/>
        <rFont val="Calibri"/>
        <family val="2"/>
      </rPr>
      <t>Onat et al 2015:</t>
    </r>
    <r>
      <rPr>
        <sz val="11"/>
        <color indexed="56"/>
        <rFont val="Calibri"/>
        <family val="2"/>
      </rPr>
      <t xml:space="preserve"> </t>
    </r>
    <r>
      <rPr>
        <b/>
        <sz val="11"/>
        <color indexed="56"/>
        <rFont val="Calibri"/>
        <family val="2"/>
      </rPr>
      <t>In this analysis, the battery lifetimes are assumed to be same as the vehicle lifetimes,</t>
    </r>
    <r>
      <rPr>
        <sz val="11"/>
        <color indexed="56"/>
        <rFont val="Calibri"/>
        <family val="2"/>
      </rPr>
      <t xml:space="preserve"> meaning that it is assumed that the batteries are never replaced during the vehicles’ operation phase. If the battery is replaced in the future, the impacts from battery production may not necessarily be doubled because the battery industry is improving rapidly</t>
    </r>
  </si>
  <si>
    <r>
      <t>·</t>
    </r>
    <r>
      <rPr>
        <sz val="7"/>
        <color indexed="56"/>
        <rFont val="Times New Roman"/>
        <family val="1"/>
      </rPr>
      <t xml:space="preserve">         </t>
    </r>
    <r>
      <rPr>
        <u/>
        <sz val="11"/>
        <color indexed="56"/>
        <rFont val="Calibri"/>
        <family val="2"/>
      </rPr>
      <t>Linda Ager-Wick Ellingsen et al 2016</t>
    </r>
    <r>
      <rPr>
        <sz val="11"/>
        <color indexed="56"/>
        <rFont val="Calibri"/>
        <family val="2"/>
      </rPr>
      <t>: Another important use phase parameter for EVs is battery longevity. Studies assessing the environmental impacts of Li-ion batteries have assumed total driving distances between 150 000 km and 200 000 km (Notter et al 2010,Zackrisson et al 2010, United States Environ- mental Protection Agency 2013,Li et al 2014). Battery warranties for different EV models range from 100 000 km within the first five years to unlimited km within the first eight years (The Norwegian Consumer Council 2014). As the car manufacturers themselves set the warranties, a reasonable assumption is that these warranties represent theminimumofwhat canbe expec- ted from the battery packs. In addition, some vehicle manufacturers suggest that vehicle batteries can be used for energy storage during and after vehicle life (Car- ranza 2013).</t>
    </r>
    <r>
      <rPr>
        <b/>
        <sz val="11"/>
        <color indexed="56"/>
        <rFont val="Calibri"/>
        <family val="2"/>
      </rPr>
      <t>Therefore,we deem the assumption of a total driving distance of180 000 km to be reasonable.</t>
    </r>
  </si>
  <si>
    <t>Additional energy requirements of battery vs car manufacture</t>
  </si>
  <si>
    <r>
      <t>·</t>
    </r>
    <r>
      <rPr>
        <sz val="7"/>
        <color indexed="56"/>
        <rFont val="Times New Roman"/>
        <family val="1"/>
      </rPr>
      <t xml:space="preserve">         </t>
    </r>
    <r>
      <rPr>
        <sz val="11"/>
        <color indexed="56"/>
        <rFont val="Calibri"/>
        <family val="2"/>
      </rPr>
      <t>A wide range of values, from 20-75% of the energy used to make the cars</t>
    </r>
  </si>
  <si>
    <r>
      <t>·</t>
    </r>
    <r>
      <rPr>
        <sz val="7"/>
        <color indexed="56"/>
        <rFont val="Times New Roman"/>
        <family val="1"/>
      </rPr>
      <t xml:space="preserve">         </t>
    </r>
    <r>
      <rPr>
        <sz val="11"/>
        <color indexed="56"/>
        <rFont val="Calibri"/>
        <family val="2"/>
      </rPr>
      <t>Note: most of the studies focus on full EVs, with larger batteries than our example</t>
    </r>
  </si>
  <si>
    <r>
      <t>·</t>
    </r>
    <r>
      <rPr>
        <sz val="7"/>
        <color indexed="56"/>
        <rFont val="Times New Roman"/>
        <family val="1"/>
      </rPr>
      <t xml:space="preserve">         </t>
    </r>
    <r>
      <rPr>
        <sz val="11"/>
        <color indexed="56"/>
        <rFont val="Calibri"/>
        <family val="2"/>
      </rPr>
      <t>For our example, our battery is only 1.4kWh in size, vs 30kWh+ for a full EV</t>
    </r>
  </si>
  <si>
    <r>
      <t>·</t>
    </r>
    <r>
      <rPr>
        <sz val="7"/>
        <color indexed="56"/>
        <rFont val="Times New Roman"/>
        <family val="1"/>
      </rPr>
      <t xml:space="preserve">         </t>
    </r>
    <r>
      <rPr>
        <sz val="11"/>
        <color indexed="56"/>
        <rFont val="Calibri"/>
        <family val="2"/>
      </rPr>
      <t xml:space="preserve">Ellingsen 2013 finds the energy for the battery is related to the battery size, 2500MJ/kWh, for our example 1.4kWQh battery this is ~ 3,500MJ, about 10% fo the energy for car manufacture. </t>
    </r>
  </si>
  <si>
    <r>
      <t>·</t>
    </r>
    <r>
      <rPr>
        <sz val="7"/>
        <color indexed="56"/>
        <rFont val="Times New Roman"/>
        <family val="1"/>
      </rPr>
      <t xml:space="preserve">         </t>
    </r>
    <r>
      <rPr>
        <sz val="11"/>
        <color indexed="56"/>
        <rFont val="Calibri"/>
        <family val="2"/>
      </rPr>
      <t>So a lower value seems reasonable, say to take 10-20% of the vehicle energy use for battery manufactu4re for our example.</t>
    </r>
  </si>
  <si>
    <r>
      <t>·</t>
    </r>
    <r>
      <rPr>
        <sz val="7"/>
        <color indexed="56"/>
        <rFont val="Times New Roman"/>
        <family val="1"/>
      </rPr>
      <t xml:space="preserve">         </t>
    </r>
    <r>
      <rPr>
        <u/>
        <sz val="11"/>
        <color indexed="56"/>
        <rFont val="Calibri"/>
        <family val="2"/>
      </rPr>
      <t>Linda Ager-Wick Ellingsen et al 2016</t>
    </r>
    <r>
      <rPr>
        <sz val="11"/>
        <color indexed="56"/>
        <rFont val="Calibri"/>
        <family val="2"/>
      </rPr>
      <t>: (</t>
    </r>
    <r>
      <rPr>
        <b/>
        <sz val="11"/>
        <color indexed="56"/>
        <rFont val="Calibri"/>
        <family val="2"/>
      </rPr>
      <t>~50% energy use)</t>
    </r>
  </si>
  <si>
    <r>
      <t>·</t>
    </r>
    <r>
      <rPr>
        <sz val="7"/>
        <color indexed="62"/>
        <rFont val="Times New Roman"/>
        <family val="1"/>
      </rPr>
      <t xml:space="preserve">         </t>
    </r>
    <r>
      <rPr>
        <u/>
        <sz val="11"/>
        <color indexed="62"/>
        <rFont val="Calibri"/>
        <family val="2"/>
      </rPr>
      <t>Nordelöf et al 2014:</t>
    </r>
    <r>
      <rPr>
        <sz val="11"/>
        <color indexed="62"/>
        <rFont val="Calibri"/>
        <family val="2"/>
      </rPr>
      <t xml:space="preserve"> +25% of energy use. Battery is ~26,000MJ vs 94,000MJ for the car manufacture</t>
    </r>
  </si>
  <si>
    <r>
      <t>·</t>
    </r>
    <r>
      <rPr>
        <sz val="7"/>
        <color indexed="56"/>
        <rFont val="Times New Roman"/>
        <family val="1"/>
      </rPr>
      <t xml:space="preserve">         </t>
    </r>
    <r>
      <rPr>
        <u/>
        <sz val="11"/>
        <color indexed="56"/>
        <rFont val="Calibri"/>
        <family val="2"/>
      </rPr>
      <t>Cox et al 2018</t>
    </r>
    <r>
      <rPr>
        <sz val="11"/>
        <color indexed="56"/>
        <rFont val="Calibri"/>
        <family val="2"/>
      </rPr>
      <t>: (</t>
    </r>
    <r>
      <rPr>
        <b/>
        <sz val="11"/>
        <color indexed="56"/>
        <rFont val="Calibri"/>
        <family val="2"/>
      </rPr>
      <t>full EV +75% energy use)</t>
    </r>
    <r>
      <rPr>
        <sz val="11"/>
        <color indexed="56"/>
        <rFont val="Calibri"/>
        <family val="2"/>
      </rPr>
      <t xml:space="preserve"> </t>
    </r>
  </si>
  <si>
    <r>
      <t xml:space="preserve">Onat et al 2015: battery </t>
    </r>
    <r>
      <rPr>
        <b/>
        <sz val="11"/>
        <color indexed="56"/>
        <rFont val="Calibri"/>
        <family val="2"/>
      </rPr>
      <t>~ 20% of car manufacture</t>
    </r>
    <r>
      <rPr>
        <sz val="11"/>
        <color indexed="56"/>
        <rFont val="Calibri"/>
        <family val="2"/>
      </rPr>
      <t xml:space="preserve"> </t>
    </r>
  </si>
  <si>
    <t>The cradle-to-gate CCP intensity of the EVs was 6.3–7.1 kg CO2-eq kg−1 sions differed from the ICEVs. The cradle-to-gate CCP intensity of the EVs was 6.3–7.1 kg CO2-eq kg−1 ofcar, whereas for the ICEVs it was 3.9–5.7 kg CO2-eq ofcar, whereas for the ICEVs it was 3.9–5.7 kg CO2-eq kg−1 of car. The difference in the cradle-to-gate CCP ofcar, whereas for the ICEVs it was 3.9–5.7 kg CO2-eq kg−1 of car.</t>
  </si>
  <si>
    <t>Ellingsen 2013 uses a different approach, and calculates MJ per kWh of battery size</t>
  </si>
  <si>
    <r>
      <t>·</t>
    </r>
    <r>
      <rPr>
        <sz val="7"/>
        <color indexed="56"/>
        <rFont val="Times New Roman"/>
        <family val="1"/>
      </rPr>
      <t xml:space="preserve">         </t>
    </r>
    <r>
      <rPr>
        <sz val="11"/>
        <color indexed="56"/>
        <rFont val="Calibri"/>
        <family val="2"/>
      </rPr>
      <t>Tesla battery is 60-100kWh, so could be up to 200,000MJ</t>
    </r>
  </si>
  <si>
    <r>
      <t>·</t>
    </r>
    <r>
      <rPr>
        <sz val="7"/>
        <color indexed="56"/>
        <rFont val="Times New Roman"/>
        <family val="1"/>
      </rPr>
      <t xml:space="preserve">         </t>
    </r>
    <r>
      <rPr>
        <sz val="11"/>
        <color indexed="56"/>
        <rFont val="Calibri"/>
        <family val="2"/>
      </rPr>
      <t>The ford focus energy (full EV) is only 9kWh</t>
    </r>
  </si>
  <si>
    <r>
      <t>·</t>
    </r>
    <r>
      <rPr>
        <sz val="7"/>
        <color indexed="56"/>
        <rFont val="Times New Roman"/>
        <family val="1"/>
      </rPr>
      <t xml:space="preserve">         </t>
    </r>
    <r>
      <rPr>
        <sz val="11"/>
        <color indexed="56"/>
        <rFont val="Calibri"/>
        <family val="2"/>
      </rPr>
      <t>The ford focus hybrid (our example) is only 1.4kWh. which would make the energy for battery production = 3,500MJ. This would be around 10% of the ~35,000MJ assumed for vehicle production</t>
    </r>
  </si>
  <si>
    <t>Change in maintainance &amp; disposal expenditure rate (after emplacement)</t>
  </si>
  <si>
    <t>∆C_star_md</t>
  </si>
  <si>
    <t>Cdot*_md</t>
  </si>
  <si>
    <t>maintainance &amp; disposal expenditure rate</t>
  </si>
  <si>
    <t>Cdot_md</t>
  </si>
  <si>
    <t>C*_md</t>
  </si>
  <si>
    <t>Re_md</t>
  </si>
  <si>
    <t xml:space="preserve"> -k*Re_md</t>
  </si>
  <si>
    <r>
      <t>Re</t>
    </r>
    <r>
      <rPr>
        <vertAlign val="subscript"/>
        <sz val="11"/>
        <color indexed="8"/>
        <rFont val="Calibri (Body)"/>
      </rPr>
      <t>md</t>
    </r>
  </si>
  <si>
    <t>Maintainance and disposal expenditure rate</t>
  </si>
  <si>
    <t>Re_sum = Re_emb + Re_md + Re_dsub + Re_isub + Re_dinc + Re_iinc+ Re_prod</t>
  </si>
  <si>
    <t>use</t>
  </si>
  <si>
    <t>Share of income spent on q_s</t>
  </si>
  <si>
    <t>Marshallian (uncompensated) price elasticity of demand</t>
  </si>
  <si>
    <t>Income elasticity of demand for q_s</t>
  </si>
  <si>
    <t>epsilon_{q_s,M}</t>
  </si>
  <si>
    <t>Income elasticity of demand for q_o</t>
  </si>
  <si>
    <t>epsilon_{q_o,M}</t>
  </si>
  <si>
    <t>Cdot_o_star</t>
  </si>
  <si>
    <t>Cdot_o</t>
  </si>
  <si>
    <t>Energy service expenditure rate</t>
  </si>
  <si>
    <t>C_dot_o</t>
  </si>
  <si>
    <t>5 year total / per year</t>
  </si>
  <si>
    <t>insurance (5 yr cost)</t>
  </si>
  <si>
    <t>maintainance (5 yr cost)</t>
  </si>
  <si>
    <t>repairs (5 yr cost)</t>
  </si>
  <si>
    <t>taxes &amp; fees (5 yr cost)</t>
  </si>
  <si>
    <t>total OMD costs</t>
  </si>
  <si>
    <t>cash price</t>
  </si>
  <si>
    <t>tax credit</t>
  </si>
  <si>
    <t>net cash price</t>
  </si>
  <si>
    <t>purchase cost</t>
  </si>
  <si>
    <t>maintainence and disposal costs</t>
  </si>
  <si>
    <t xml:space="preserve">incandescent bulb - lifetime lumen-hrs </t>
  </si>
  <si>
    <t xml:space="preserve">incandescent bulb - lifetime Million lumen-hrs </t>
  </si>
  <si>
    <t>LED bulb - hours/year</t>
  </si>
  <si>
    <t>manufacturing phase MJ/20million lumen hours</t>
  </si>
  <si>
    <t>(MJ/20 million lumen hours)</t>
  </si>
  <si>
    <t>lumen-hrs</t>
  </si>
  <si>
    <t>manufacturing phase (embodied energy) data</t>
  </si>
  <si>
    <t>$/kWhr</t>
  </si>
  <si>
    <t>hrs/yr</t>
  </si>
  <si>
    <t>Cdot_o_tilde</t>
  </si>
  <si>
    <t>verify:</t>
  </si>
  <si>
    <t>N_dot_hat</t>
  </si>
  <si>
    <t>p_E*∆E_dot_bar_s + ∆C_dot_bar_o</t>
  </si>
  <si>
    <t>diff (should be 0)</t>
  </si>
  <si>
    <t>assumed + 15% embodied energy for battery</t>
  </si>
  <si>
    <t>Titanium FWD</t>
  </si>
  <si>
    <t>Intercooled Turbo Premium Unleaded I-4, 2.0 L</t>
  </si>
  <si>
    <t>3676Lbs</t>
  </si>
  <si>
    <t>Ford fusion Titanium 2.0L</t>
  </si>
  <si>
    <t>vehicle miles/year</t>
  </si>
  <si>
    <t>US DoE Life-cycle assessment of energy and environmental impacts of LED lighting products, availabe at https://www1.eere.energy.gov/buildings/publications/pdfs/ssl/2012_LED_Lifecycle_Report.pdf</t>
  </si>
  <si>
    <t>Year 1</t>
  </si>
  <si>
    <t>Year 2</t>
  </si>
  <si>
    <t>Year 3</t>
  </si>
  <si>
    <t>Year 4</t>
  </si>
  <si>
    <t>Year 5</t>
  </si>
  <si>
    <t>insurance</t>
  </si>
  <si>
    <t>maintenance</t>
  </si>
  <si>
    <t>repairs</t>
  </si>
  <si>
    <t>taxes and fees</t>
  </si>
  <si>
    <t>all-gasoline Fusion</t>
  </si>
  <si>
    <t>Hybrid Fusion</t>
  </si>
  <si>
    <t>total</t>
  </si>
  <si>
    <t xml:space="preserve">5-yr av (current </t>
  </si>
  <si>
    <t>Yr 1</t>
  </si>
  <si>
    <t>Yr 2</t>
  </si>
  <si>
    <t>Yr 3</t>
  </si>
  <si>
    <t>Yr 4</t>
  </si>
  <si>
    <t>Yr 5</t>
  </si>
  <si>
    <t>Maint. and disposal expenditure rate</t>
  </si>
  <si>
    <t>Real Income</t>
  </si>
  <si>
    <t>Net income (freed cash)</t>
  </si>
  <si>
    <t>Real income</t>
  </si>
  <si>
    <t>Mdot_prime_hat</t>
  </si>
  <si>
    <t>E_dot_s</t>
  </si>
  <si>
    <t>(1 -k)*Re_md</t>
  </si>
  <si>
    <t>k*pE*I_E</t>
  </si>
  <si>
    <t>Re_dinc+Re_iinc</t>
  </si>
  <si>
    <t>Re_sum_3</t>
  </si>
  <si>
    <t>Year 6</t>
  </si>
  <si>
    <t>Year 7</t>
  </si>
  <si>
    <t>§  Capital cost + finance costs – depreciated value</t>
  </si>
  <si>
    <t>finance cost</t>
  </si>
  <si>
    <t>depreciation</t>
  </si>
  <si>
    <t>net capital cost</t>
  </si>
  <si>
    <t>initial capital cost</t>
  </si>
  <si>
    <t>tax rebate</t>
  </si>
  <si>
    <t>sum year 1-7</t>
  </si>
  <si>
    <t>average year 1-7</t>
  </si>
  <si>
    <r>
      <t>E</t>
    </r>
    <r>
      <rPr>
        <vertAlign val="superscript"/>
        <sz val="11"/>
        <color indexed="8"/>
        <rFont val="Calibri"/>
        <family val="2"/>
      </rPr>
      <t>o</t>
    </r>
    <r>
      <rPr>
        <sz val="11"/>
        <color indexed="8"/>
        <rFont val="Calibri"/>
        <family val="2"/>
      </rPr>
      <t>_dot_emb</t>
    </r>
  </si>
  <si>
    <r>
      <t xml:space="preserve"> </t>
    </r>
    <r>
      <rPr>
        <vertAlign val="superscript"/>
        <sz val="11"/>
        <color indexed="8"/>
        <rFont val="Calibri"/>
        <family val="2"/>
      </rPr>
      <t>o</t>
    </r>
    <r>
      <rPr>
        <sz val="11"/>
        <color indexed="8"/>
        <rFont val="Calibri"/>
        <family val="2"/>
      </rPr>
      <t xml:space="preserve"> (Original)</t>
    </r>
  </si>
  <si>
    <r>
      <t>C</t>
    </r>
    <r>
      <rPr>
        <vertAlign val="superscript"/>
        <sz val="11"/>
        <color indexed="8"/>
        <rFont val="Calibri"/>
        <family val="2"/>
      </rPr>
      <t>o</t>
    </r>
    <r>
      <rPr>
        <sz val="11"/>
        <color indexed="8"/>
        <rFont val="Calibri"/>
        <family val="2"/>
      </rPr>
      <t>_md</t>
    </r>
  </si>
  <si>
    <r>
      <t>eta</t>
    </r>
    <r>
      <rPr>
        <vertAlign val="superscript"/>
        <sz val="11"/>
        <color indexed="8"/>
        <rFont val="Calibri"/>
        <family val="2"/>
      </rPr>
      <t>o</t>
    </r>
  </si>
  <si>
    <r>
      <t>C</t>
    </r>
    <r>
      <rPr>
        <vertAlign val="superscript"/>
        <sz val="11"/>
        <color indexed="8"/>
        <rFont val="Calibri"/>
        <family val="2"/>
      </rPr>
      <t>o</t>
    </r>
    <r>
      <rPr>
        <sz val="11"/>
        <color indexed="8"/>
        <rFont val="Calibri"/>
        <family val="2"/>
      </rPr>
      <t xml:space="preserve">dot_o </t>
    </r>
  </si>
  <si>
    <r>
      <t>E</t>
    </r>
    <r>
      <rPr>
        <vertAlign val="superscript"/>
        <sz val="11"/>
        <color indexed="8"/>
        <rFont val="Calibri"/>
        <family val="2"/>
      </rPr>
      <t>o</t>
    </r>
    <r>
      <rPr>
        <sz val="11"/>
        <color indexed="8"/>
        <rFont val="Calibri"/>
        <family val="2"/>
      </rPr>
      <t xml:space="preserve">dot_s </t>
    </r>
  </si>
  <si>
    <r>
      <t>C</t>
    </r>
    <r>
      <rPr>
        <vertAlign val="superscript"/>
        <sz val="11"/>
        <color indexed="8"/>
        <rFont val="Calibri"/>
        <family val="2"/>
      </rPr>
      <t>o</t>
    </r>
    <r>
      <rPr>
        <sz val="11"/>
        <color indexed="8"/>
        <rFont val="Calibri"/>
        <family val="2"/>
      </rPr>
      <t xml:space="preserve">dot_hat </t>
    </r>
  </si>
  <si>
    <r>
      <t>q</t>
    </r>
    <r>
      <rPr>
        <vertAlign val="superscript"/>
        <sz val="11"/>
        <color indexed="8"/>
        <rFont val="Calibri"/>
        <family val="2"/>
      </rPr>
      <t>o</t>
    </r>
    <r>
      <rPr>
        <sz val="11"/>
        <color indexed="8"/>
        <rFont val="Calibri"/>
        <family val="2"/>
      </rPr>
      <t>_dot_s</t>
    </r>
  </si>
  <si>
    <r>
      <t>q</t>
    </r>
    <r>
      <rPr>
        <sz val="11"/>
        <color indexed="8"/>
        <rFont val="Calibri"/>
        <family val="2"/>
      </rPr>
      <t>_dot_hat_s</t>
    </r>
  </si>
  <si>
    <t>elasticity of substitution</t>
  </si>
  <si>
    <t>ρ</t>
  </si>
  <si>
    <t>σ</t>
  </si>
  <si>
    <t>sigma</t>
  </si>
  <si>
    <t xml:space="preserve">C_dot_hat </t>
  </si>
  <si>
    <t>rho</t>
  </si>
  <si>
    <t>Lm/yr</t>
  </si>
  <si>
    <t>Ford Fusion hybrid 2L titanium</t>
  </si>
  <si>
    <t>Ford Fusion 2020</t>
  </si>
  <si>
    <t>Ford Fusion 2020 - Hybrid</t>
  </si>
  <si>
    <t>hybrid Fusion</t>
  </si>
  <si>
    <t>Fusion Titanium 2.0L gasoline car - capital purchase cost</t>
  </si>
  <si>
    <t>Fusion Titanium 2.0L gasoline car - capital expenditure</t>
  </si>
  <si>
    <t>Fusion Titanium 2.0L gasoline car  - lifetime</t>
  </si>
  <si>
    <t>Fusion Titanium 2.0L gasoline car  - mpg</t>
  </si>
  <si>
    <t>Fusion Titanium 2.0L gasoline car  - embodied energy</t>
  </si>
  <si>
    <t>Fusion Titanium 2.0L Hybrid car  - capital expenditure</t>
  </si>
  <si>
    <t>Fusion Titanium 2.0L Hybrid car - lifetime</t>
  </si>
  <si>
    <t>Fusion Titanium 2.0L Hybrid car - mpg</t>
  </si>
  <si>
    <t>Fusion Titanium 2.0L Hybrid car - embodied energy</t>
  </si>
  <si>
    <t>Fusion Titanium 2.0L gasoline car - 7 year av. maint. and disp. Costs</t>
  </si>
  <si>
    <t>Fusion Titanium 2.0L Hybrid car  - capital purchase cost</t>
  </si>
  <si>
    <t>Fusion Titanium 2.0L hybrid car - 7 year av. maint. and disp. costs</t>
  </si>
  <si>
    <t>Argonne 2010 report</t>
  </si>
  <si>
    <t>average weekly fuel cost for 2018, = $2.63/gallon https://www.eia.gov/petroleum/gasdiesel/</t>
  </si>
  <si>
    <t>https://www.eia.gov/electricity/data/state/avgprice_annual.xlsx</t>
  </si>
  <si>
    <t>Price of electricity (average consumer US price in 2018)</t>
  </si>
  <si>
    <t>for 2018, latest freely available data on IEA</t>
  </si>
  <si>
    <t>US Final energy use in 2018, from IEA (ktoe)</t>
  </si>
  <si>
    <t>BEA Table 2.1, accessed May 13 2021</t>
  </si>
  <si>
    <t>BEA Line</t>
  </si>
  <si>
    <t>Item Description</t>
  </si>
  <si>
    <t>Personal income</t>
  </si>
  <si>
    <t>Disposable personal income</t>
  </si>
  <si>
    <t>Personal savings out of disposable income</t>
  </si>
  <si>
    <t>27/1</t>
  </si>
  <si>
    <t>Multiply to generate disposable income from personal income</t>
  </si>
  <si>
    <t>34/27</t>
  </si>
  <si>
    <t>Multiply to generate personal savings out of personal disposable income</t>
  </si>
  <si>
    <t>https://apps.bea.gov/iTable/index_nipa.cfm</t>
  </si>
  <si>
    <t>IEA Headlines data download 13 May 2021 from https://www.iea.org/reports/world-energy-balances-overview</t>
  </si>
  <si>
    <t>price of electricty taken as 12.87$cents/kWh, as average 2018 price for consumers</t>
  </si>
  <si>
    <t>US registered drivers</t>
  </si>
  <si>
    <t>US registered vehicles</t>
  </si>
  <si>
    <t>vhecile miles per driver</t>
  </si>
  <si>
    <t>Vehicles miles per vehicle</t>
  </si>
  <si>
    <t>Price of gasoline (US Units), 2018 average US price for consumers</t>
  </si>
  <si>
    <t>for 2018, in 2018 USD</t>
  </si>
  <si>
    <t xml:space="preserve">fraction of spend on original energy service </t>
  </si>
  <si>
    <t>READ ME SHEET</t>
  </si>
  <si>
    <t>A. Reproduction of external source data: terms of use</t>
  </si>
  <si>
    <t>Case study 1 - Car</t>
  </si>
  <si>
    <t>Case study 2 - LED lamp</t>
  </si>
  <si>
    <t>Case study 1 battery LCA data</t>
  </si>
  <si>
    <t xml:space="preserve">All data sourced and contained on these datasheets is in the public domain. </t>
  </si>
  <si>
    <t>Case study 1: New car.</t>
  </si>
  <si>
    <t>Case study 2: New Light Bulb</t>
  </si>
  <si>
    <t>Re_macro</t>
  </si>
  <si>
    <t>Re_sum = Re_emb + Re_md + Re_dsub + Re_isub + Re_dinc + Re_iinc+ Re_macro</t>
  </si>
  <si>
    <t>(1-k)Remd</t>
  </si>
  <si>
    <t xml:space="preserve"> -kRecap</t>
  </si>
  <si>
    <t>Redinc</t>
  </si>
  <si>
    <t>Reiinc</t>
  </si>
  <si>
    <t>kpEIE</t>
  </si>
  <si>
    <t>economy-wide rebound, Re_sum_3</t>
  </si>
  <si>
    <t>epsilon_{q_o,p_s,c}</t>
  </si>
  <si>
    <t>epsilon_{q_s,p_s,c}</t>
  </si>
  <si>
    <t>epilson_{q_s,p_s}</t>
  </si>
  <si>
    <t>Compensated price elasticity of demand for q_s</t>
  </si>
  <si>
    <t>Compensated cross price elasticity of demand for q_o</t>
  </si>
  <si>
    <t>Equation in main paper</t>
  </si>
  <si>
    <t>D.21</t>
  </si>
  <si>
    <t>D.22</t>
  </si>
  <si>
    <t>D.15</t>
  </si>
  <si>
    <t>f_{C_o_s}</t>
  </si>
  <si>
    <t>Case study - car</t>
  </si>
  <si>
    <t>This contains the source data/references for the battery LCA energy assumed in the Hybrid car case study 1 (car) example</t>
  </si>
  <si>
    <t>macro multiplier, k</t>
  </si>
  <si>
    <t>Contains the data and calculations for the Car case study in the IAEE working paper</t>
  </si>
  <si>
    <t>Contains the data and calculations for the electric lamp case study in the IAEE working paper</t>
  </si>
  <si>
    <t>Budget constraint check</t>
  </si>
  <si>
    <t>miles/USgallon</t>
  </si>
  <si>
    <t>$/USgallon</t>
  </si>
  <si>
    <t>Calculated Rebound (Re) values</t>
  </si>
  <si>
    <t>Tab no</t>
  </si>
  <si>
    <t>Tab name</t>
  </si>
  <si>
    <t>description of contents</t>
  </si>
  <si>
    <r>
      <t>2.</t>
    </r>
    <r>
      <rPr>
        <sz val="7"/>
        <color indexed="56"/>
        <rFont val="Times New Roman"/>
        <family val="1"/>
      </rPr>
      <t xml:space="preserve">       </t>
    </r>
    <r>
      <rPr>
        <sz val="11"/>
        <color indexed="56"/>
        <rFont val="Calibri"/>
        <family val="2"/>
      </rPr>
      <t>BEA NIPA Table 2.1</t>
    </r>
    <r>
      <rPr>
        <sz val="10.5"/>
        <color indexed="8"/>
        <rFont val="Segoe UI"/>
        <family val="2"/>
      </rPr>
      <t xml:space="preserve"> (</t>
    </r>
    <r>
      <rPr>
        <sz val="11"/>
        <color indexed="56"/>
        <rFont val="Calibri"/>
        <family val="2"/>
      </rPr>
      <t>National Income and Product Accounts - Bureau of Economic Analysis) </t>
    </r>
  </si>
  <si>
    <r>
      <t>3.</t>
    </r>
    <r>
      <rPr>
        <sz val="7"/>
        <color indexed="56"/>
        <rFont val="Times New Roman"/>
        <family val="1"/>
      </rPr>
      <t xml:space="preserve">       </t>
    </r>
    <r>
      <rPr>
        <sz val="11"/>
        <color indexed="56"/>
        <rFont val="Calibri"/>
        <family val="2"/>
      </rPr>
      <t>average US weekly fuel cost for 2018, = $2.63/gallon </t>
    </r>
  </si>
  <si>
    <r>
      <t>4.</t>
    </r>
    <r>
      <rPr>
        <sz val="7"/>
        <color indexed="56"/>
        <rFont val="Times New Roman"/>
        <family val="1"/>
      </rPr>
      <t xml:space="preserve">       </t>
    </r>
    <r>
      <rPr>
        <sz val="11"/>
        <color indexed="8"/>
        <rFont val="Calibri"/>
        <family val="2"/>
      </rPr>
      <t>US final energy use in 2018, from IEA Headlines data </t>
    </r>
  </si>
  <si>
    <r>
      <t>5.</t>
    </r>
    <r>
      <rPr>
        <sz val="7"/>
        <color indexed="8"/>
        <rFont val="Times New Roman"/>
        <family val="1"/>
      </rPr>
      <t xml:space="preserve">       </t>
    </r>
    <r>
      <rPr>
        <sz val="11"/>
        <color indexed="8"/>
        <rFont val="Calibri"/>
        <family val="2"/>
      </rPr>
      <t>Ktoe to MJ energy conversion factor from Table A.II.7, Annex 2, IPCC AR5, </t>
    </r>
  </si>
  <si>
    <r>
      <t>6.</t>
    </r>
    <r>
      <rPr>
        <sz val="7"/>
        <color indexed="56"/>
        <rFont val="Times New Roman"/>
        <family val="1"/>
      </rPr>
      <t xml:space="preserve">       </t>
    </r>
    <r>
      <rPr>
        <sz val="11"/>
        <color indexed="8"/>
        <rFont val="Calibri"/>
        <family val="2"/>
      </rPr>
      <t xml:space="preserve">US GDP, from BEA, NIPA, Table 1.1.5 </t>
    </r>
    <r>
      <rPr>
        <sz val="10.5"/>
        <color indexed="8"/>
        <rFont val="Segoe UI"/>
        <family val="2"/>
      </rPr>
      <t>(</t>
    </r>
    <r>
      <rPr>
        <sz val="11"/>
        <color indexed="56"/>
        <rFont val="Calibri"/>
        <family val="2"/>
      </rPr>
      <t>National Income and Product Accounts - Bureau of Economic Analysis) </t>
    </r>
  </si>
  <si>
    <r>
      <t>7.</t>
    </r>
    <r>
      <rPr>
        <sz val="7"/>
        <color indexed="8"/>
        <rFont val="Times New Roman"/>
        <family val="1"/>
      </rPr>
      <t xml:space="preserve">       </t>
    </r>
    <r>
      <rPr>
        <sz val="11"/>
        <color indexed="8"/>
        <rFont val="Calibri"/>
        <family val="2"/>
      </rPr>
      <t>average miles driven for passenger car in US </t>
    </r>
  </si>
  <si>
    <r>
      <t>8.</t>
    </r>
    <r>
      <rPr>
        <sz val="7"/>
        <color indexed="8"/>
        <rFont val="Times New Roman"/>
        <family val="1"/>
      </rPr>
      <t xml:space="preserve">       </t>
    </r>
    <r>
      <rPr>
        <sz val="11"/>
        <color indexed="8"/>
        <rFont val="Calibri"/>
        <family val="2"/>
      </rPr>
      <t>LCA energy use for mid-size car  </t>
    </r>
  </si>
  <si>
    <r>
      <t>9.</t>
    </r>
    <r>
      <rPr>
        <sz val="7"/>
        <color indexed="8"/>
        <rFont val="Times New Roman"/>
        <family val="1"/>
      </rPr>
      <t xml:space="preserve">       </t>
    </r>
    <r>
      <rPr>
        <sz val="11"/>
        <color indexed="8"/>
        <rFont val="Calibri"/>
        <family val="2"/>
      </rPr>
      <t>average vehicle lifespan                             </t>
    </r>
  </si>
  <si>
    <t>1. Real median personal income US, in 2018            </t>
  </si>
  <si>
    <t>Data source</t>
  </si>
  <si>
    <t>mpg (assumed)</t>
  </si>
  <si>
    <t>US Federal Reserve Bank of St Louis (2022). Available at https://fred.stlouisfed.org/series/MEPAINUSA672N          </t>
  </si>
  <si>
    <t>US Bureau of Economic Analysis  (2022). Available at https://apps.bea.gov/iTable/index_nipa.cfm</t>
  </si>
  <si>
    <t>Data set</t>
  </si>
  <si>
    <t>U.S. Energy Information Administration (Oct 2022) https://www.eia.gov/petroleum/gasdiesel/</t>
  </si>
  <si>
    <t>International Energy Agency (2021)  https://www.iea.org/reports/world-energy-balances-overview </t>
  </si>
  <si>
    <t>Intergovernmental Panel on Climate Change (IPCC) 2022 https://www.ipcc.ch/site/assets/uploads/2018/02/ipcc_wg3_ar5_annex-ii.pdf </t>
  </si>
  <si>
    <t>US Bureau of Transportation Studies (2022) https://www.bts.gov/content/us-passenger-miles </t>
  </si>
  <si>
    <t>US Federal Highways Agency (2022) https://www.fhwa.dot.gov/ohim/onh00/bar8.htm </t>
  </si>
  <si>
    <t xml:space="preserve">a.       34000MJ - from Argonne 2010 report </t>
  </si>
  <si>
    <t>Argonne National Laboratory (2022) https://greet.es.anl.gov/files/vehicle_and_components_manufacturing </t>
  </si>
  <si>
    <r>
      <t>b.</t>
    </r>
    <r>
      <rPr>
        <sz val="7"/>
        <color indexed="8"/>
        <rFont val="Times New Roman"/>
        <family val="1"/>
      </rPr>
      <t xml:space="preserve">       </t>
    </r>
    <r>
      <rPr>
        <sz val="11"/>
        <color indexed="8"/>
        <rFont val="Calibri"/>
        <family val="2"/>
      </rPr>
      <t>HEV batteries – taken as ~10% of LCA energy of vehicle manufacture from Onat et al (2015): </t>
    </r>
  </si>
  <si>
    <t>Onat et al (2015) available at https://www.sciencedirect.com/science/article/pii/S0306261915004407 </t>
  </si>
  <si>
    <t>a.       13-17 years       </t>
  </si>
  <si>
    <t>Berla Corporation (2022) https://berla.co/average-us-vehicle-lifespan/ </t>
  </si>
  <si>
    <t>U.S. Energy Information Administration (Oct 2022) https://www.eia.gov/electricity/data/state/avgprice_annual.xlsx </t>
  </si>
  <si>
    <t>US DoE Life-cycle assessment of energy and environmental impacts of LED lighting products, available at https://www1.eere.energy.gov/buildings/publications/pdfs/ssl/2012_LED_Lifecycle_Report.pdf </t>
  </si>
  <si>
    <t>Based on TCO for Massachusetts at Edmunds.com. Sum of insurance, maintenance, repairs, taxes &amp; fees (Excluding financing, depreciation, fuel)</t>
  </si>
  <si>
    <t>https://www.edmunds.com/ford/fusion/2019/cost-to-own/#style=401757616</t>
  </si>
  <si>
    <t>https://www.edmunds.com/ford/fusion-energi/2019/cost-to-own/</t>
  </si>
  <si>
    <t>10. Ford fusion car data</t>
  </si>
  <si>
    <r>
      <t>11.</t>
    </r>
    <r>
      <rPr>
        <sz val="7"/>
        <color indexed="8"/>
        <rFont val="Times New Roman"/>
        <family val="1"/>
      </rPr>
      <t xml:space="preserve">   </t>
    </r>
    <r>
      <rPr>
        <sz val="11"/>
        <color indexed="8"/>
        <rFont val="Calibri"/>
        <family val="2"/>
      </rPr>
      <t>Price of electricity (average consumer US price in 2018)  , taken as 12.87$cents/kWh, as average 2018 price for consumers </t>
    </r>
  </si>
  <si>
    <t>Edmunds.com’s True Cost to Own® (TCO®) data sourced from www.edmunds.com.  Edmunds.com has not reviewed or participated in the preparation of this case study.</t>
  </si>
  <si>
    <t xml:space="preserve">Ford fusion purchase cost, operation and maintenance costs for a. ford fusion 2020 titanium FWD 2.0L engine and b. ford fusion 2020 hybrid 2.0L engine
</t>
  </si>
  <si>
    <t>Data sources: a. https://www.edmunds.com/ford/fusion/2020/cost-to-own/#style=401757616  b. https://www.edmunds.com/ford/fusion-hybrid/2020/cost-to-own/</t>
  </si>
  <si>
    <r>
      <t>12.</t>
    </r>
    <r>
      <rPr>
        <sz val="7"/>
        <color indexed="8"/>
        <rFont val="Times New Roman"/>
        <family val="1"/>
      </rPr>
      <t xml:space="preserve">   </t>
    </r>
    <r>
      <rPr>
        <sz val="11"/>
        <color indexed="8"/>
        <rFont val="Calibri"/>
        <family val="2"/>
      </rPr>
      <t xml:space="preserve">LED light/lamp, manufacturing phase (embodied energy) data    </t>
    </r>
  </si>
  <si>
    <t>Redsub</t>
  </si>
  <si>
    <t>Reisub</t>
  </si>
  <si>
    <r>
      <t>Re</t>
    </r>
    <r>
      <rPr>
        <vertAlign val="subscript"/>
        <sz val="11"/>
        <color indexed="8"/>
        <rFont val="Calibri (Body)"/>
      </rPr>
      <t>macro</t>
    </r>
  </si>
  <si>
    <t>This file contains the following calculation data sheets for the rebound case study examples used in the journal submission to The Energy Journal titled: 
Energy, expenditure, and consumption aspects of rebound: 
Part I: A rigorous analytical framework, and 
Part II: Applications of the framework”
The calculations are also performed using R code, and these excel-based calculations were developed in parallel, to check that the R-based calculations are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</si>
</sst>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164" formatCode="0.000"/>
    <numFmt numFmtId="165" formatCode="0.0%"/>
    <numFmt numFmtId="166" formatCode="0.0"/>
    <numFmt numFmtId="167" formatCode="#,##0.0"/>
    <numFmt numFmtId="168" formatCode="#,##0.000"/>
    <numFmt numFmtId="169" formatCode="0.0000%"/>
    <numFmt numFmtId="170" formatCode="0.0000"/>
    <numFmt numFmtId="171" formatCode="#,##0.00000"/>
    <numFmt numFmtId="172" formatCode="0.000%"/>
    <numFmt numFmtId="173" formatCode="0.0000000"/>
    <numFmt numFmtId="174" formatCode="#,##0.0000000"/>
    <numFmt numFmtId="175" formatCode="0.00000"/>
    <numFmt numFmtId="176" formatCode="_-[$$-409]* #,##0_ ;_-[$$-409]* \-#,##0\ ;_-[$$-409]* &quot;-&quot;_ ;_-@_ "/>
    <numFmt numFmtId="177" formatCode="#,##0.0000"/>
    <numFmt numFmtId="178" formatCode="0.000000"/>
    <numFmt numFmtId="179" formatCode="_-[$$-409]* #,##0.00_ ;_-[$$-409]* \-#,##0.00\ ;_-[$$-409]* &quot;-&quot;??_ ;_-@_ "/>
    <numFmt numFmtId="180" formatCode="[$$-409]#,##0.00"/>
    <numFmt numFmtId="181" formatCode="[$$-409]#,##0.0"/>
    <numFmt numFmtId="182" formatCode="_-[$$-409]* #,##0_ ;_-[$$-409]* \-#,##0\ ;_-[$$-409]* &quot;-&quot;??_ ;_-@_ "/>
  </numFmts>
  <fonts count="43">
    <font>
      <sz val="12"/>
      <color theme="1"/>
      <name val="Calibri"/>
      <family val="2"/>
      <scheme val="minor"/>
    </font>
    <font>
      <sz val="10"/>
      <color indexed="8"/>
      <name val="Tahoma"/>
      <family val="2"/>
    </font>
    <font>
      <b/>
      <sz val="10"/>
      <color indexed="8"/>
      <name val="Tahoma"/>
      <family val="2"/>
    </font>
    <font>
      <sz val="11"/>
      <color indexed="8"/>
      <name val="Calibri"/>
      <family val="2"/>
    </font>
    <font>
      <vertAlign val="subscript"/>
      <sz val="11"/>
      <color indexed="8"/>
      <name val="Calibri (Body)"/>
    </font>
    <font>
      <sz val="11"/>
      <color indexed="56"/>
      <name val="Calibri"/>
      <family val="2"/>
    </font>
    <font>
      <sz val="7"/>
      <color indexed="56"/>
      <name val="Times New Roman"/>
      <family val="1"/>
    </font>
    <font>
      <vertAlign val="superscript"/>
      <sz val="11"/>
      <color indexed="56"/>
      <name val="Calibri"/>
      <family val="2"/>
    </font>
    <font>
      <u/>
      <sz val="11"/>
      <color indexed="56"/>
      <name val="Calibri"/>
      <family val="2"/>
    </font>
    <font>
      <b/>
      <sz val="11"/>
      <color indexed="56"/>
      <name val="Calibri"/>
      <family val="2"/>
    </font>
    <font>
      <sz val="7"/>
      <color indexed="62"/>
      <name val="Times New Roman"/>
      <family val="1"/>
    </font>
    <font>
      <u/>
      <sz val="11"/>
      <color indexed="62"/>
      <name val="Calibri"/>
      <family val="2"/>
    </font>
    <font>
      <sz val="11"/>
      <color indexed="62"/>
      <name val="Calibri"/>
      <family val="2"/>
    </font>
    <font>
      <vertAlign val="superscript"/>
      <sz val="11"/>
      <color indexed="8"/>
      <name val="Calibri"/>
      <family val="2"/>
    </font>
    <font>
      <sz val="10.5"/>
      <color indexed="8"/>
      <name val="Segoe UI"/>
      <family val="2"/>
    </font>
    <font>
      <sz val="7"/>
      <color indexed="8"/>
      <name val="Times New Roman"/>
      <family val="1"/>
    </font>
    <font>
      <sz val="12"/>
      <color theme="1"/>
      <name val="Calibri"/>
      <family val="2"/>
      <scheme val="minor"/>
    </font>
    <font>
      <u/>
      <sz val="12"/>
      <color theme="10"/>
      <name val="Calibri"/>
      <family val="2"/>
      <scheme val="minor"/>
    </font>
    <font>
      <b/>
      <sz val="12"/>
      <color theme="1"/>
      <name val="Calibri"/>
      <family val="2"/>
      <scheme val="minor"/>
    </font>
    <font>
      <b/>
      <u/>
      <sz val="12"/>
      <color theme="1"/>
      <name val="Calibri"/>
      <family val="2"/>
      <scheme val="minor"/>
    </font>
    <font>
      <sz val="11"/>
      <color theme="1"/>
      <name val="Calibri"/>
      <family val="2"/>
      <scheme val="minor"/>
    </font>
    <font>
      <b/>
      <u/>
      <sz val="11"/>
      <color theme="1"/>
      <name val="Calibri"/>
      <family val="2"/>
      <scheme val="minor"/>
    </font>
    <font>
      <b/>
      <sz val="11"/>
      <color theme="1"/>
      <name val="Calibri"/>
      <family val="2"/>
      <scheme val="minor"/>
    </font>
    <font>
      <i/>
      <sz val="11"/>
      <color theme="1"/>
      <name val="Calibri"/>
      <family val="2"/>
      <scheme val="minor"/>
    </font>
    <font>
      <u/>
      <sz val="11"/>
      <color theme="1"/>
      <name val="Calibri (Body)"/>
    </font>
    <font>
      <sz val="11"/>
      <name val="Calibri"/>
      <family val="2"/>
      <scheme val="minor"/>
    </font>
    <font>
      <u/>
      <sz val="11"/>
      <color theme="1"/>
      <name val="Calibri"/>
      <family val="2"/>
      <scheme val="minor"/>
    </font>
    <font>
      <sz val="11"/>
      <color theme="1"/>
      <name val="Calibri"/>
      <family val="2"/>
      <charset val="2"/>
      <scheme val="minor"/>
    </font>
    <font>
      <sz val="11"/>
      <color rgb="FF1F497D"/>
      <name val="Calibri"/>
      <family val="2"/>
    </font>
    <font>
      <sz val="11"/>
      <color rgb="FF1F497D"/>
      <name val="Symbol"/>
      <family val="1"/>
      <charset val="2"/>
    </font>
    <font>
      <u/>
      <sz val="11"/>
      <color rgb="FF1F497D"/>
      <name val="Calibri"/>
      <family val="2"/>
    </font>
    <font>
      <strike/>
      <sz val="11"/>
      <color theme="1"/>
      <name val="Calibri"/>
      <family val="2"/>
      <scheme val="minor"/>
    </font>
    <font>
      <sz val="11"/>
      <color theme="1"/>
      <name val="Arial"/>
      <family val="2"/>
    </font>
    <font>
      <strike/>
      <sz val="11"/>
      <color theme="1"/>
      <name val="Calibri"/>
      <family val="2"/>
      <charset val="2"/>
      <scheme val="minor"/>
    </font>
    <font>
      <b/>
      <sz val="9"/>
      <color rgb="FF000000"/>
      <name val="Calibri"/>
      <family val="2"/>
      <scheme val="minor"/>
    </font>
    <font>
      <b/>
      <sz val="10"/>
      <color rgb="FF000000"/>
      <name val="Calibri"/>
      <family val="2"/>
      <scheme val="minor"/>
    </font>
    <font>
      <sz val="10"/>
      <color rgb="FF000000"/>
      <name val="Calibri"/>
      <family val="2"/>
      <scheme val="minor"/>
    </font>
    <font>
      <b/>
      <strike/>
      <sz val="11"/>
      <color theme="1"/>
      <name val="Calibri"/>
      <family val="2"/>
      <scheme val="minor"/>
    </font>
    <font>
      <u/>
      <sz val="11"/>
      <color theme="10"/>
      <name val="Calibri"/>
      <family val="2"/>
      <scheme val="minor"/>
    </font>
    <font>
      <sz val="11"/>
      <color rgb="FF1F497D"/>
      <name val="Calibri"/>
      <family val="2"/>
      <scheme val="minor"/>
    </font>
    <font>
      <sz val="11"/>
      <color rgb="FF000000"/>
      <name val="Calibri"/>
      <family val="2"/>
      <scheme val="minor"/>
    </font>
    <font>
      <sz val="11"/>
      <color rgb="FF1F4E79"/>
      <name val="Symbol"/>
      <family val="1"/>
      <charset val="2"/>
    </font>
    <font>
      <sz val="12"/>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59999389629810485"/>
        <bgColor indexed="64"/>
      </patternFill>
    </fill>
  </fills>
  <borders count="25">
    <border>
      <left/>
      <right/>
      <top/>
      <bottom/>
      <diagonal/>
    </border>
    <border>
      <left/>
      <right/>
      <top style="medium">
        <color indexed="64"/>
      </top>
      <bottom style="thin">
        <color indexed="64"/>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s>
  <cellStyleXfs count="3">
    <xf numFmtId="0" fontId="0" fillId="0" borderId="0"/>
    <xf numFmtId="0" fontId="17" fillId="0" borderId="0" applyNumberFormat="0" applyFill="0" applyBorder="0" applyAlignment="0" applyProtection="0"/>
    <xf numFmtId="9" fontId="16" fillId="0" borderId="0" applyFont="0" applyFill="0" applyBorder="0" applyAlignment="0" applyProtection="0"/>
  </cellStyleXfs>
  <cellXfs count="225">
    <xf numFmtId="0" fontId="0" fillId="0" borderId="0" xfId="0"/>
    <xf numFmtId="0" fontId="0" fillId="0" borderId="0" xfId="0" applyFill="1"/>
    <xf numFmtId="0" fontId="18" fillId="0" borderId="0" xfId="0" applyFont="1"/>
    <xf numFmtId="0" fontId="19" fillId="0" borderId="0" xfId="0" applyFont="1"/>
    <xf numFmtId="0" fontId="20" fillId="0" borderId="0" xfId="0" applyFont="1"/>
    <xf numFmtId="0" fontId="20" fillId="0" borderId="0" xfId="0" applyFont="1" applyAlignment="1">
      <alignment horizontal="center"/>
    </xf>
    <xf numFmtId="0" fontId="20" fillId="2" borderId="0" xfId="0" applyFont="1" applyFill="1"/>
    <xf numFmtId="0" fontId="21" fillId="0" borderId="0" xfId="0" applyFont="1"/>
    <xf numFmtId="0" fontId="21" fillId="0" borderId="0" xfId="0" applyFont="1" applyAlignment="1">
      <alignment horizontal="center"/>
    </xf>
    <xf numFmtId="0" fontId="22" fillId="0" borderId="0" xfId="0" applyFont="1"/>
    <xf numFmtId="0" fontId="20" fillId="0" borderId="0" xfId="0" applyFont="1" applyFill="1"/>
    <xf numFmtId="1" fontId="20" fillId="0" borderId="0" xfId="0" applyNumberFormat="1" applyFont="1"/>
    <xf numFmtId="164" fontId="20" fillId="0" borderId="0" xfId="0" applyNumberFormat="1" applyFont="1"/>
    <xf numFmtId="0" fontId="20" fillId="0" borderId="0" xfId="0" applyFont="1" applyFill="1" applyAlignment="1">
      <alignment horizontal="center"/>
    </xf>
    <xf numFmtId="2" fontId="20" fillId="0" borderId="0" xfId="0" applyNumberFormat="1" applyFont="1" applyFill="1"/>
    <xf numFmtId="0" fontId="22" fillId="0" borderId="0" xfId="0" applyFont="1" applyFill="1"/>
    <xf numFmtId="3" fontId="20" fillId="2" borderId="0" xfId="0" applyNumberFormat="1" applyFont="1" applyFill="1" applyAlignment="1">
      <alignment horizontal="right"/>
    </xf>
    <xf numFmtId="3" fontId="20" fillId="0" borderId="0" xfId="0" applyNumberFormat="1" applyFont="1" applyAlignment="1">
      <alignment horizontal="right"/>
    </xf>
    <xf numFmtId="3" fontId="20" fillId="2" borderId="0" xfId="0" applyNumberFormat="1" applyFont="1" applyFill="1"/>
    <xf numFmtId="2" fontId="20" fillId="0" borderId="0" xfId="0" applyNumberFormat="1" applyFont="1"/>
    <xf numFmtId="0" fontId="20" fillId="0" borderId="0" xfId="0" quotePrefix="1" applyFont="1"/>
    <xf numFmtId="2" fontId="20" fillId="2" borderId="0" xfId="0" applyNumberFormat="1" applyFont="1" applyFill="1"/>
    <xf numFmtId="3" fontId="20" fillId="0" borderId="0" xfId="0" applyNumberFormat="1" applyFont="1"/>
    <xf numFmtId="3" fontId="20" fillId="0" borderId="0" xfId="0" applyNumberFormat="1" applyFont="1" applyFill="1"/>
    <xf numFmtId="0" fontId="23" fillId="0" borderId="0" xfId="0" applyFont="1" applyAlignment="1">
      <alignment horizontal="center"/>
    </xf>
    <xf numFmtId="0" fontId="22" fillId="0" borderId="0" xfId="0" applyFont="1" applyAlignment="1">
      <alignment horizontal="left"/>
    </xf>
    <xf numFmtId="0" fontId="20" fillId="0" borderId="0" xfId="0" applyFont="1" applyAlignment="1">
      <alignment horizontal="left"/>
    </xf>
    <xf numFmtId="0" fontId="24" fillId="0" borderId="0" xfId="0" applyFont="1"/>
    <xf numFmtId="0" fontId="20" fillId="0" borderId="1" xfId="0" applyFont="1" applyBorder="1" applyAlignment="1"/>
    <xf numFmtId="0" fontId="20" fillId="0" borderId="1" xfId="0" applyFont="1" applyBorder="1" applyAlignment="1">
      <alignment horizontal="center"/>
    </xf>
    <xf numFmtId="0" fontId="20" fillId="0" borderId="0" xfId="0" applyFont="1" applyAlignment="1">
      <alignment horizontal="right"/>
    </xf>
    <xf numFmtId="164" fontId="20" fillId="0" borderId="0" xfId="0" applyNumberFormat="1" applyFont="1" applyAlignment="1">
      <alignment horizontal="center"/>
    </xf>
    <xf numFmtId="1" fontId="20" fillId="0" borderId="0" xfId="0" applyNumberFormat="1" applyFont="1" applyAlignment="1">
      <alignment horizontal="center"/>
    </xf>
    <xf numFmtId="3" fontId="20" fillId="0" borderId="0" xfId="0" applyNumberFormat="1" applyFont="1" applyAlignment="1">
      <alignment horizontal="center"/>
    </xf>
    <xf numFmtId="3" fontId="20" fillId="0" borderId="0" xfId="0" applyNumberFormat="1" applyFont="1" applyFill="1" applyAlignment="1">
      <alignment horizontal="center"/>
    </xf>
    <xf numFmtId="0" fontId="20" fillId="0" borderId="2" xfId="0" applyFont="1" applyBorder="1" applyAlignment="1">
      <alignment horizontal="right"/>
    </xf>
    <xf numFmtId="0" fontId="20" fillId="0" borderId="2" xfId="0" applyFont="1" applyBorder="1" applyAlignment="1">
      <alignment horizontal="center"/>
    </xf>
    <xf numFmtId="3" fontId="20" fillId="0" borderId="2" xfId="0" applyNumberFormat="1" applyFont="1" applyFill="1" applyBorder="1" applyAlignment="1">
      <alignment horizontal="center"/>
    </xf>
    <xf numFmtId="164" fontId="20" fillId="0" borderId="0" xfId="0" applyNumberFormat="1" applyFont="1" applyFill="1" applyAlignment="1">
      <alignment horizontal="center"/>
    </xf>
    <xf numFmtId="1" fontId="20" fillId="0" borderId="0" xfId="0" applyNumberFormat="1" applyFont="1" applyFill="1" applyAlignment="1">
      <alignment horizontal="center"/>
    </xf>
    <xf numFmtId="0" fontId="20" fillId="0" borderId="2" xfId="0" applyFont="1" applyFill="1" applyBorder="1" applyAlignment="1">
      <alignment horizontal="center"/>
    </xf>
    <xf numFmtId="0" fontId="20" fillId="3" borderId="0" xfId="0" applyFont="1" applyFill="1"/>
    <xf numFmtId="165" fontId="20" fillId="3" borderId="0" xfId="2" applyNumberFormat="1" applyFont="1" applyFill="1"/>
    <xf numFmtId="0" fontId="22" fillId="0" borderId="0" xfId="0" applyFont="1" applyAlignment="1">
      <alignment horizontal="right"/>
    </xf>
    <xf numFmtId="0" fontId="22" fillId="0" borderId="0" xfId="0" applyFont="1" applyAlignment="1">
      <alignment horizontal="center"/>
    </xf>
    <xf numFmtId="165" fontId="20" fillId="0" borderId="0" xfId="2" applyNumberFormat="1" applyFont="1" applyFill="1"/>
    <xf numFmtId="9" fontId="20" fillId="0" borderId="0" xfId="2" applyFont="1" applyAlignment="1">
      <alignment horizontal="center"/>
    </xf>
    <xf numFmtId="0" fontId="20" fillId="0" borderId="1" xfId="0" applyFont="1" applyBorder="1"/>
    <xf numFmtId="165" fontId="20" fillId="0" borderId="0" xfId="0" applyNumberFormat="1" applyFont="1" applyAlignment="1">
      <alignment horizontal="center"/>
    </xf>
    <xf numFmtId="165" fontId="20" fillId="0" borderId="0" xfId="0" applyNumberFormat="1" applyFont="1"/>
    <xf numFmtId="165" fontId="20" fillId="0" borderId="0" xfId="2" applyNumberFormat="1" applyFont="1"/>
    <xf numFmtId="0" fontId="25" fillId="0" borderId="0" xfId="0" applyFont="1"/>
    <xf numFmtId="166" fontId="20" fillId="0" borderId="0" xfId="0" applyNumberFormat="1" applyFont="1"/>
    <xf numFmtId="166" fontId="20" fillId="2" borderId="0" xfId="0" applyNumberFormat="1" applyFont="1" applyFill="1" applyAlignment="1">
      <alignment horizontal="right"/>
    </xf>
    <xf numFmtId="1" fontId="20" fillId="2" borderId="0" xfId="0" applyNumberFormat="1" applyFont="1" applyFill="1"/>
    <xf numFmtId="167" fontId="20" fillId="2" borderId="0" xfId="0" applyNumberFormat="1" applyFont="1" applyFill="1"/>
    <xf numFmtId="165" fontId="20" fillId="0" borderId="2" xfId="0" applyNumberFormat="1" applyFont="1" applyBorder="1" applyAlignment="1">
      <alignment horizontal="center"/>
    </xf>
    <xf numFmtId="168" fontId="20" fillId="0" borderId="0" xfId="0" applyNumberFormat="1" applyFont="1" applyFill="1"/>
    <xf numFmtId="0" fontId="20" fillId="0" borderId="0" xfId="0" quotePrefix="1" applyFont="1" applyAlignment="1">
      <alignment horizontal="left"/>
    </xf>
    <xf numFmtId="169" fontId="20" fillId="0" borderId="0" xfId="0" applyNumberFormat="1" applyFont="1" applyFill="1" applyAlignment="1">
      <alignment horizontal="center"/>
    </xf>
    <xf numFmtId="165" fontId="20" fillId="0" borderId="0" xfId="0" applyNumberFormat="1" applyFont="1" applyFill="1"/>
    <xf numFmtId="2" fontId="20" fillId="0" borderId="0" xfId="0" applyNumberFormat="1" applyFont="1" applyAlignment="1">
      <alignment horizontal="center"/>
    </xf>
    <xf numFmtId="9" fontId="20" fillId="0" borderId="0" xfId="2" applyFont="1" applyFill="1"/>
    <xf numFmtId="170" fontId="20" fillId="0" borderId="0" xfId="0" applyNumberFormat="1" applyFont="1" applyFill="1"/>
    <xf numFmtId="0" fontId="20" fillId="0" borderId="0" xfId="0" quotePrefix="1" applyFont="1" applyFill="1"/>
    <xf numFmtId="165" fontId="20" fillId="0" borderId="0" xfId="0" applyNumberFormat="1" applyFont="1" applyBorder="1"/>
    <xf numFmtId="0" fontId="26" fillId="0" borderId="0" xfId="0" applyFont="1"/>
    <xf numFmtId="0" fontId="20" fillId="0" borderId="0" xfId="0" applyNumberFormat="1" applyFont="1" applyFill="1"/>
    <xf numFmtId="10" fontId="20" fillId="0" borderId="0" xfId="0" applyNumberFormat="1" applyFont="1" applyFill="1"/>
    <xf numFmtId="0" fontId="27" fillId="0" borderId="0" xfId="0" applyFont="1" applyFill="1" applyAlignment="1">
      <alignment horizontal="center"/>
    </xf>
    <xf numFmtId="0" fontId="23" fillId="0" borderId="0" xfId="0" applyFont="1" applyFill="1"/>
    <xf numFmtId="0" fontId="20" fillId="0" borderId="0" xfId="0" applyFont="1" applyFill="1" applyAlignment="1">
      <alignment horizontal="left"/>
    </xf>
    <xf numFmtId="4" fontId="20" fillId="0" borderId="0" xfId="0" applyNumberFormat="1" applyFont="1" applyFill="1"/>
    <xf numFmtId="0" fontId="20" fillId="0" borderId="0" xfId="0" applyNumberFormat="1" applyFont="1"/>
    <xf numFmtId="170" fontId="20" fillId="0" borderId="0" xfId="0" applyNumberFormat="1" applyFont="1"/>
    <xf numFmtId="167" fontId="20" fillId="0" borderId="0" xfId="0" applyNumberFormat="1" applyFont="1" applyFill="1"/>
    <xf numFmtId="166" fontId="20" fillId="2" borderId="0" xfId="0" applyNumberFormat="1" applyFont="1" applyFill="1"/>
    <xf numFmtId="4" fontId="20" fillId="2" borderId="0" xfId="0" applyNumberFormat="1" applyFont="1" applyFill="1"/>
    <xf numFmtId="4" fontId="20" fillId="0" borderId="0" xfId="0" applyNumberFormat="1" applyFont="1"/>
    <xf numFmtId="170" fontId="20" fillId="2" borderId="0" xfId="0" applyNumberFormat="1" applyFont="1" applyFill="1"/>
    <xf numFmtId="167" fontId="20" fillId="0" borderId="0" xfId="0" applyNumberFormat="1" applyFont="1"/>
    <xf numFmtId="174" fontId="20" fillId="0" borderId="0" xfId="0" applyNumberFormat="1" applyFont="1" applyFill="1" applyAlignment="1">
      <alignment horizontal="center"/>
    </xf>
    <xf numFmtId="3" fontId="20" fillId="4" borderId="0" xfId="0" applyNumberFormat="1" applyFont="1" applyFill="1"/>
    <xf numFmtId="0" fontId="20" fillId="4" borderId="0" xfId="0" applyFont="1" applyFill="1"/>
    <xf numFmtId="0" fontId="17" fillId="0" borderId="0" xfId="1"/>
    <xf numFmtId="0" fontId="28" fillId="0" borderId="0" xfId="0" applyFont="1" applyAlignment="1">
      <alignment vertical="center"/>
    </xf>
    <xf numFmtId="0" fontId="29" fillId="0" borderId="0" xfId="0" applyFont="1" applyAlignment="1">
      <alignment horizontal="left" vertical="center" indent="4"/>
    </xf>
    <xf numFmtId="0" fontId="30" fillId="0" borderId="0" xfId="0" applyFont="1" applyAlignment="1">
      <alignment vertical="center"/>
    </xf>
    <xf numFmtId="0" fontId="28" fillId="0" borderId="0" xfId="0" applyFont="1" applyAlignment="1">
      <alignment horizontal="left" vertical="center" indent="4"/>
    </xf>
    <xf numFmtId="0" fontId="0" fillId="2" borderId="0" xfId="0" applyFill="1"/>
    <xf numFmtId="164" fontId="0" fillId="0" borderId="0" xfId="0" applyNumberFormat="1"/>
    <xf numFmtId="166" fontId="20" fillId="0" borderId="0" xfId="0" applyNumberFormat="1" applyFont="1" applyFill="1"/>
    <xf numFmtId="173" fontId="20" fillId="0" borderId="0" xfId="0" applyNumberFormat="1" applyFont="1" applyFill="1"/>
    <xf numFmtId="0" fontId="22" fillId="0" borderId="0" xfId="0" applyFont="1" applyAlignment="1">
      <alignment wrapText="1"/>
    </xf>
    <xf numFmtId="0" fontId="20" fillId="0" borderId="0" xfId="0" applyFont="1" applyFill="1" applyAlignment="1">
      <alignment horizontal="right"/>
    </xf>
    <xf numFmtId="175" fontId="20" fillId="0" borderId="0" xfId="0" applyNumberFormat="1" applyFont="1"/>
    <xf numFmtId="1" fontId="20" fillId="0" borderId="0" xfId="0" applyNumberFormat="1" applyFont="1" applyFill="1"/>
    <xf numFmtId="176" fontId="20" fillId="0" borderId="0" xfId="0" applyNumberFormat="1" applyFont="1"/>
    <xf numFmtId="176" fontId="22" fillId="0" borderId="0" xfId="0" applyNumberFormat="1" applyFont="1"/>
    <xf numFmtId="167" fontId="20" fillId="0" borderId="0" xfId="0" applyNumberFormat="1" applyFont="1" applyAlignment="1">
      <alignment horizontal="center"/>
    </xf>
    <xf numFmtId="167" fontId="20" fillId="0" borderId="0" xfId="0" applyNumberFormat="1" applyFont="1" applyFill="1" applyAlignment="1">
      <alignment horizontal="center"/>
    </xf>
    <xf numFmtId="167" fontId="20" fillId="0" borderId="2" xfId="0" applyNumberFormat="1" applyFont="1" applyFill="1" applyBorder="1" applyAlignment="1">
      <alignment horizontal="center"/>
    </xf>
    <xf numFmtId="167" fontId="20" fillId="0" borderId="2" xfId="0" applyNumberFormat="1" applyFont="1" applyBorder="1" applyAlignment="1">
      <alignment horizontal="center"/>
    </xf>
    <xf numFmtId="0" fontId="31" fillId="0" borderId="0" xfId="0" applyFont="1" applyFill="1"/>
    <xf numFmtId="178" fontId="20" fillId="0" borderId="0" xfId="0" applyNumberFormat="1" applyFont="1" applyAlignment="1">
      <alignment horizontal="center"/>
    </xf>
    <xf numFmtId="173" fontId="20" fillId="0" borderId="0" xfId="0" applyNumberFormat="1" applyFont="1" applyAlignment="1">
      <alignment horizontal="center"/>
    </xf>
    <xf numFmtId="166" fontId="20" fillId="0" borderId="0" xfId="0" applyNumberFormat="1" applyFont="1" applyAlignment="1">
      <alignment horizontal="center"/>
    </xf>
    <xf numFmtId="177" fontId="20" fillId="0" borderId="0" xfId="0" applyNumberFormat="1" applyFont="1" applyAlignment="1">
      <alignment horizontal="center"/>
    </xf>
    <xf numFmtId="175" fontId="20" fillId="0" borderId="0" xfId="0" applyNumberFormat="1" applyFont="1" applyFill="1"/>
    <xf numFmtId="176" fontId="20" fillId="0" borderId="0" xfId="0" applyNumberFormat="1" applyFont="1" applyFill="1"/>
    <xf numFmtId="164" fontId="0" fillId="0" borderId="0" xfId="0" applyNumberFormat="1" applyFill="1"/>
    <xf numFmtId="0" fontId="32" fillId="0" borderId="0" xfId="0" applyFont="1" applyFill="1"/>
    <xf numFmtId="0" fontId="31" fillId="0" borderId="0" xfId="0" applyFont="1" applyFill="1" applyAlignment="1">
      <alignment horizontal="center"/>
    </xf>
    <xf numFmtId="0" fontId="33" fillId="0" borderId="0" xfId="0" applyFont="1" applyFill="1" applyAlignment="1">
      <alignment horizontal="center"/>
    </xf>
    <xf numFmtId="0" fontId="20" fillId="0" borderId="3" xfId="0" applyFont="1" applyBorder="1"/>
    <xf numFmtId="176" fontId="20" fillId="2" borderId="0" xfId="0" applyNumberFormat="1" applyFont="1" applyFill="1"/>
    <xf numFmtId="3" fontId="20" fillId="0" borderId="0" xfId="0" applyNumberFormat="1" applyFont="1" applyFill="1" applyAlignment="1">
      <alignment horizontal="right"/>
    </xf>
    <xf numFmtId="178" fontId="20" fillId="0" borderId="0" xfId="0" applyNumberFormat="1" applyFont="1" applyFill="1"/>
    <xf numFmtId="168" fontId="20" fillId="0" borderId="0" xfId="0" applyNumberFormat="1" applyFont="1" applyFill="1" applyAlignment="1">
      <alignment horizontal="center"/>
    </xf>
    <xf numFmtId="179" fontId="20" fillId="0" borderId="0" xfId="0" applyNumberFormat="1" applyFont="1"/>
    <xf numFmtId="179" fontId="20" fillId="0" borderId="0" xfId="0" applyNumberFormat="1" applyFont="1" applyAlignment="1">
      <alignment horizontal="center"/>
    </xf>
    <xf numFmtId="179" fontId="22" fillId="0" borderId="0" xfId="0" applyNumberFormat="1" applyFont="1"/>
    <xf numFmtId="179" fontId="20" fillId="0" borderId="0" xfId="0" applyNumberFormat="1" applyFont="1" applyAlignment="1">
      <alignment horizontal="right"/>
    </xf>
    <xf numFmtId="179" fontId="22" fillId="0" borderId="0" xfId="0" applyNumberFormat="1" applyFont="1" applyAlignment="1">
      <alignment horizontal="right"/>
    </xf>
    <xf numFmtId="0" fontId="34" fillId="0" borderId="4" xfId="0" applyFont="1" applyBorder="1" applyAlignment="1">
      <alignment vertical="center"/>
    </xf>
    <xf numFmtId="0" fontId="35" fillId="0" borderId="5" xfId="0" applyFont="1" applyBorder="1" applyAlignment="1">
      <alignment vertical="center"/>
    </xf>
    <xf numFmtId="0" fontId="35" fillId="0" borderId="6" xfId="0" applyFont="1" applyBorder="1" applyAlignment="1">
      <alignment horizontal="right" vertical="center"/>
    </xf>
    <xf numFmtId="0" fontId="35" fillId="0" borderId="6" xfId="0" applyFont="1" applyBorder="1" applyAlignment="1">
      <alignment horizontal="right" vertical="center" wrapText="1"/>
    </xf>
    <xf numFmtId="0" fontId="36" fillId="0" borderId="5" xfId="0" applyFont="1" applyBorder="1" applyAlignment="1">
      <alignment vertical="center"/>
    </xf>
    <xf numFmtId="10" fontId="36" fillId="0" borderId="7" xfId="0" applyNumberFormat="1" applyFont="1" applyBorder="1" applyAlignment="1">
      <alignment horizontal="right" vertical="center"/>
    </xf>
    <xf numFmtId="10" fontId="36" fillId="0" borderId="7" xfId="0" applyNumberFormat="1" applyFont="1" applyBorder="1" applyAlignment="1">
      <alignment horizontal="right" vertical="center" wrapText="1"/>
    </xf>
    <xf numFmtId="0" fontId="36" fillId="3" borderId="5" xfId="0" applyFont="1" applyFill="1" applyBorder="1" applyAlignment="1">
      <alignment vertical="center"/>
    </xf>
    <xf numFmtId="10" fontId="36" fillId="3" borderId="7" xfId="0" applyNumberFormat="1" applyFont="1" applyFill="1" applyBorder="1" applyAlignment="1">
      <alignment horizontal="right" vertical="center"/>
    </xf>
    <xf numFmtId="10" fontId="36" fillId="3" borderId="7" xfId="0" applyNumberFormat="1" applyFont="1" applyFill="1" applyBorder="1" applyAlignment="1">
      <alignment horizontal="right" vertical="center" wrapText="1"/>
    </xf>
    <xf numFmtId="10" fontId="20" fillId="3" borderId="0" xfId="2" applyNumberFormat="1" applyFont="1" applyFill="1"/>
    <xf numFmtId="165" fontId="20" fillId="3" borderId="0" xfId="0" applyNumberFormat="1" applyFont="1" applyFill="1" applyAlignment="1">
      <alignment horizontal="center"/>
    </xf>
    <xf numFmtId="172" fontId="20" fillId="3" borderId="0" xfId="2" applyNumberFormat="1" applyFont="1" applyFill="1"/>
    <xf numFmtId="180" fontId="20" fillId="0" borderId="0" xfId="0" applyNumberFormat="1" applyFont="1"/>
    <xf numFmtId="180" fontId="20" fillId="0" borderId="0" xfId="0" applyNumberFormat="1" applyFont="1" applyAlignment="1">
      <alignment horizontal="center"/>
    </xf>
    <xf numFmtId="180" fontId="22" fillId="0" borderId="0" xfId="0" applyNumberFormat="1" applyFont="1"/>
    <xf numFmtId="164" fontId="22" fillId="0" borderId="0" xfId="0" applyNumberFormat="1" applyFont="1"/>
    <xf numFmtId="0" fontId="32" fillId="0" borderId="0" xfId="0" applyFont="1" applyAlignment="1">
      <alignment horizontal="center"/>
    </xf>
    <xf numFmtId="0" fontId="31" fillId="0" borderId="0" xfId="0" applyFont="1"/>
    <xf numFmtId="176" fontId="37" fillId="0" borderId="0" xfId="0" applyNumberFormat="1" applyFont="1"/>
    <xf numFmtId="176" fontId="31" fillId="0" borderId="0" xfId="0" applyNumberFormat="1" applyFont="1"/>
    <xf numFmtId="10" fontId="20" fillId="0" borderId="0" xfId="0" applyNumberFormat="1" applyFont="1" applyFill="1" applyAlignment="1">
      <alignment horizontal="center"/>
    </xf>
    <xf numFmtId="0" fontId="17" fillId="0" borderId="0" xfId="1" applyFill="1"/>
    <xf numFmtId="175" fontId="20" fillId="2" borderId="0" xfId="0" applyNumberFormat="1" applyFont="1" applyFill="1"/>
    <xf numFmtId="0" fontId="20" fillId="0" borderId="8" xfId="0" applyFont="1" applyFill="1" applyBorder="1"/>
    <xf numFmtId="177" fontId="20" fillId="0" borderId="0" xfId="0" applyNumberFormat="1" applyFont="1" applyFill="1"/>
    <xf numFmtId="3" fontId="22" fillId="0" borderId="0" xfId="0" applyNumberFormat="1" applyFont="1"/>
    <xf numFmtId="171" fontId="20" fillId="0" borderId="0" xfId="0" applyNumberFormat="1" applyFont="1"/>
    <xf numFmtId="4" fontId="20" fillId="0" borderId="0" xfId="0" applyNumberFormat="1" applyFont="1" applyAlignment="1">
      <alignment horizontal="center"/>
    </xf>
    <xf numFmtId="178" fontId="25" fillId="0" borderId="0" xfId="0" applyNumberFormat="1" applyFont="1" applyFill="1"/>
    <xf numFmtId="0" fontId="38" fillId="0" borderId="0" xfId="1" applyFont="1"/>
    <xf numFmtId="0" fontId="20" fillId="0" borderId="9" xfId="0" applyFont="1" applyBorder="1"/>
    <xf numFmtId="0" fontId="20" fillId="0" borderId="10" xfId="0" applyFont="1" applyBorder="1"/>
    <xf numFmtId="0" fontId="20" fillId="0" borderId="11" xfId="0" applyFont="1" applyBorder="1"/>
    <xf numFmtId="0" fontId="20" fillId="0" borderId="12" xfId="0" applyFont="1" applyBorder="1"/>
    <xf numFmtId="0" fontId="20" fillId="0" borderId="0" xfId="0" applyFont="1" applyBorder="1"/>
    <xf numFmtId="0" fontId="20" fillId="0" borderId="8" xfId="0" applyFont="1" applyBorder="1"/>
    <xf numFmtId="0" fontId="20" fillId="0" borderId="12" xfId="0" applyFont="1" applyBorder="1" applyAlignment="1">
      <alignment horizontal="right"/>
    </xf>
    <xf numFmtId="175" fontId="20" fillId="2" borderId="8" xfId="0" applyNumberFormat="1" applyFont="1" applyFill="1" applyBorder="1"/>
    <xf numFmtId="0" fontId="20" fillId="0" borderId="13" xfId="0" applyFont="1" applyBorder="1" applyAlignment="1">
      <alignment horizontal="right"/>
    </xf>
    <xf numFmtId="0" fontId="20" fillId="0" borderId="2" xfId="0" applyFont="1" applyBorder="1"/>
    <xf numFmtId="175" fontId="20" fillId="2" borderId="7" xfId="0" applyNumberFormat="1" applyFont="1" applyFill="1" applyBorder="1"/>
    <xf numFmtId="0" fontId="20" fillId="0" borderId="0" xfId="0" applyFont="1" applyAlignment="1">
      <alignment vertical="top" wrapText="1"/>
    </xf>
    <xf numFmtId="0" fontId="20" fillId="0" borderId="14" xfId="0" applyFont="1" applyBorder="1" applyAlignment="1">
      <alignment vertical="top" wrapText="1"/>
    </xf>
    <xf numFmtId="181" fontId="20" fillId="0" borderId="8" xfId="0" applyNumberFormat="1" applyFont="1" applyFill="1" applyBorder="1"/>
    <xf numFmtId="0" fontId="20" fillId="0" borderId="10" xfId="0" applyFont="1" applyBorder="1" applyAlignment="1">
      <alignment horizontal="center"/>
    </xf>
    <xf numFmtId="0" fontId="20" fillId="0" borderId="0" xfId="0" applyFont="1" applyBorder="1" applyAlignment="1">
      <alignment horizontal="center"/>
    </xf>
    <xf numFmtId="164" fontId="20" fillId="0" borderId="0" xfId="0" applyNumberFormat="1" applyFont="1" applyFill="1"/>
    <xf numFmtId="0" fontId="0" fillId="0" borderId="0" xfId="0" applyAlignment="1">
      <alignment horizontal="left"/>
    </xf>
    <xf numFmtId="0" fontId="20" fillId="0" borderId="14" xfId="0" applyFont="1" applyBorder="1" applyAlignment="1">
      <alignment horizontal="left"/>
    </xf>
    <xf numFmtId="0" fontId="20" fillId="0" borderId="14" xfId="0" applyFont="1" applyBorder="1" applyAlignment="1">
      <alignment horizontal="left" vertical="top"/>
    </xf>
    <xf numFmtId="0" fontId="39" fillId="0" borderId="15" xfId="0" applyFont="1" applyBorder="1" applyAlignment="1">
      <alignment horizontal="left" vertical="center"/>
    </xf>
    <xf numFmtId="0" fontId="17" fillId="0" borderId="15" xfId="1" applyBorder="1" applyAlignment="1">
      <alignment horizontal="left" vertical="center"/>
    </xf>
    <xf numFmtId="0" fontId="0" fillId="0" borderId="15" xfId="0" applyBorder="1" applyAlignment="1">
      <alignment horizontal="left" vertical="center"/>
    </xf>
    <xf numFmtId="0" fontId="0" fillId="0" borderId="15" xfId="0" applyBorder="1" applyAlignment="1">
      <alignment horizontal="left"/>
    </xf>
    <xf numFmtId="0" fontId="40" fillId="0" borderId="15" xfId="0" applyFont="1" applyBorder="1" applyAlignment="1">
      <alignment horizontal="left" vertical="center"/>
    </xf>
    <xf numFmtId="0" fontId="0" fillId="0" borderId="16" xfId="0" applyBorder="1"/>
    <xf numFmtId="0" fontId="0" fillId="0" borderId="17" xfId="0" applyBorder="1"/>
    <xf numFmtId="0" fontId="0" fillId="0" borderId="0" xfId="0" applyBorder="1" applyAlignment="1">
      <alignment horizontal="left"/>
    </xf>
    <xf numFmtId="0" fontId="0" fillId="0" borderId="0" xfId="0" applyBorder="1"/>
    <xf numFmtId="0" fontId="0" fillId="0" borderId="0" xfId="0" applyBorder="1" applyAlignment="1">
      <alignment horizontal="left" vertical="center"/>
    </xf>
    <xf numFmtId="0" fontId="17" fillId="0" borderId="0" xfId="1" applyBorder="1"/>
    <xf numFmtId="0" fontId="0" fillId="0" borderId="18" xfId="0" applyBorder="1" applyAlignment="1">
      <alignment horizontal="left"/>
    </xf>
    <xf numFmtId="0" fontId="0" fillId="0" borderId="19" xfId="0" applyBorder="1"/>
    <xf numFmtId="0" fontId="0" fillId="0" borderId="20" xfId="0" applyBorder="1"/>
    <xf numFmtId="0" fontId="20" fillId="0" borderId="0" xfId="0" applyFont="1" applyAlignment="1">
      <alignment wrapText="1"/>
    </xf>
    <xf numFmtId="0" fontId="0" fillId="0" borderId="14"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0" xfId="0" applyAlignment="1">
      <alignment wrapText="1"/>
    </xf>
    <xf numFmtId="0" fontId="0" fillId="0" borderId="15" xfId="0" applyBorder="1" applyAlignment="1">
      <alignment horizontal="left" vertical="center" wrapText="1"/>
    </xf>
    <xf numFmtId="0" fontId="0" fillId="0" borderId="0" xfId="0" applyBorder="1" applyAlignment="1">
      <alignment wrapText="1"/>
    </xf>
    <xf numFmtId="0" fontId="0" fillId="0" borderId="15" xfId="0" applyBorder="1" applyAlignment="1">
      <alignment horizontal="left" vertical="top" wrapText="1"/>
    </xf>
    <xf numFmtId="0" fontId="0" fillId="0" borderId="0" xfId="0" applyBorder="1" applyAlignment="1">
      <alignment horizontal="left" vertical="top" wrapText="1"/>
    </xf>
    <xf numFmtId="182" fontId="22" fillId="2" borderId="0" xfId="0" applyNumberFormat="1" applyFont="1" applyFill="1" applyAlignment="1">
      <alignment horizontal="right"/>
    </xf>
    <xf numFmtId="0" fontId="20" fillId="5" borderId="18" xfId="0" applyFont="1" applyFill="1" applyBorder="1" applyAlignment="1">
      <alignment horizontal="left"/>
    </xf>
    <xf numFmtId="0" fontId="20" fillId="5" borderId="20" xfId="0" applyFont="1" applyFill="1" applyBorder="1" applyAlignment="1">
      <alignment horizontal="left"/>
    </xf>
    <xf numFmtId="0" fontId="20" fillId="0" borderId="14" xfId="0" applyFont="1" applyBorder="1" applyAlignment="1">
      <alignment horizontal="left" vertical="top" wrapText="1"/>
    </xf>
    <xf numFmtId="0" fontId="17" fillId="0" borderId="23" xfId="1" applyBorder="1" applyAlignment="1">
      <alignment horizontal="left" vertical="center" wrapText="1"/>
    </xf>
    <xf numFmtId="0" fontId="17" fillId="0" borderId="3" xfId="1" applyBorder="1" applyAlignment="1">
      <alignment horizontal="left" vertical="center" wrapText="1"/>
    </xf>
    <xf numFmtId="0" fontId="40" fillId="0" borderId="15" xfId="0" applyFont="1" applyBorder="1" applyAlignment="1">
      <alignment horizontal="left" vertical="center" wrapText="1"/>
    </xf>
    <xf numFmtId="0" fontId="40" fillId="0" borderId="0" xfId="0" applyFont="1" applyBorder="1" applyAlignment="1">
      <alignment horizontal="left" vertical="center" wrapText="1"/>
    </xf>
    <xf numFmtId="0" fontId="40" fillId="0" borderId="15" xfId="0" applyFont="1" applyBorder="1" applyAlignment="1">
      <alignment horizontal="center" vertical="center" wrapText="1"/>
    </xf>
    <xf numFmtId="0" fontId="40" fillId="0" borderId="0" xfId="0" applyFont="1" applyBorder="1" applyAlignment="1">
      <alignment horizontal="center" vertical="center" wrapText="1"/>
    </xf>
    <xf numFmtId="0" fontId="39" fillId="0" borderId="15" xfId="0" applyFont="1" applyBorder="1" applyAlignment="1">
      <alignment horizontal="left" vertical="center" wrapText="1"/>
    </xf>
    <xf numFmtId="0" fontId="39" fillId="0" borderId="0" xfId="0" applyFont="1" applyBorder="1" applyAlignment="1">
      <alignment horizontal="left" vertical="center" wrapText="1"/>
    </xf>
    <xf numFmtId="0" fontId="17" fillId="0" borderId="15" xfId="1" applyBorder="1" applyAlignment="1">
      <alignment horizontal="left" vertical="center" wrapText="1"/>
    </xf>
    <xf numFmtId="0" fontId="17" fillId="0" borderId="0" xfId="1" applyBorder="1" applyAlignment="1">
      <alignment horizontal="left" vertical="center" wrapText="1"/>
    </xf>
    <xf numFmtId="0" fontId="0" fillId="0" borderId="15" xfId="0" applyBorder="1" applyAlignment="1">
      <alignment horizontal="left" vertical="top" wrapText="1"/>
    </xf>
    <xf numFmtId="0" fontId="0" fillId="0" borderId="0" xfId="0" applyBorder="1" applyAlignment="1">
      <alignment horizontal="left" vertical="top" wrapText="1"/>
    </xf>
    <xf numFmtId="0" fontId="20" fillId="0" borderId="0" xfId="0" applyFont="1" applyAlignment="1">
      <alignment horizontal="left" vertical="top" wrapText="1"/>
    </xf>
    <xf numFmtId="0" fontId="29" fillId="0" borderId="24" xfId="0" applyFont="1" applyBorder="1" applyAlignment="1">
      <alignment horizontal="left" vertical="center" wrapText="1" indent="4"/>
    </xf>
    <xf numFmtId="0" fontId="29" fillId="0" borderId="5" xfId="0" applyFont="1" applyBorder="1" applyAlignment="1">
      <alignment horizontal="left" vertical="center" wrapText="1" indent="4"/>
    </xf>
    <xf numFmtId="0" fontId="41" fillId="0" borderId="24" xfId="0" applyFont="1" applyBorder="1" applyAlignment="1">
      <alignment horizontal="left" vertical="center" wrapText="1" indent="4"/>
    </xf>
    <xf numFmtId="0" fontId="41" fillId="0" borderId="5" xfId="0" applyFont="1" applyBorder="1" applyAlignment="1">
      <alignment horizontal="left" vertical="center" wrapText="1" indent="4"/>
    </xf>
    <xf numFmtId="0" fontId="28" fillId="0" borderId="24" xfId="0" applyFont="1" applyBorder="1" applyAlignment="1">
      <alignment vertical="center" wrapText="1"/>
    </xf>
    <xf numFmtId="0" fontId="28" fillId="0" borderId="5" xfId="0" applyFont="1" applyBorder="1" applyAlignment="1">
      <alignment vertical="center" wrapText="1"/>
    </xf>
    <xf numFmtId="0" fontId="28" fillId="0" borderId="24" xfId="0" applyFont="1" applyBorder="1" applyAlignment="1">
      <alignment vertical="top" wrapText="1"/>
    </xf>
    <xf numFmtId="0" fontId="28" fillId="0" borderId="5" xfId="0" applyFont="1" applyBorder="1" applyAlignment="1">
      <alignment vertical="top" wrapText="1"/>
    </xf>
    <xf numFmtId="0" fontId="42" fillId="0" borderId="24" xfId="0" applyFont="1" applyBorder="1" applyAlignment="1">
      <alignment vertical="top" wrapText="1"/>
    </xf>
    <xf numFmtId="0" fontId="42" fillId="0" borderId="5" xfId="0" applyFont="1" applyBorder="1" applyAlignment="1">
      <alignment vertical="top"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GB"/>
              <a:t>Rebound components - time varying calcs</a:t>
            </a:r>
          </a:p>
        </c:rich>
      </c:tx>
      <c:overlay val="0"/>
      <c:spPr>
        <a:noFill/>
        <a:ln>
          <a:noFill/>
        </a:ln>
        <a:effectLst/>
      </c:spPr>
    </c:title>
    <c:autoTitleDeleted val="0"/>
    <c:plotArea>
      <c:layout/>
      <c:barChart>
        <c:barDir val="col"/>
        <c:grouping val="stacked"/>
        <c:varyColors val="0"/>
        <c:ser>
          <c:idx val="0"/>
          <c:order val="0"/>
          <c:tx>
            <c:strRef>
              <c:f>'1_Case study 1 - Car'!$A$478</c:f>
              <c:strCache>
                <c:ptCount val="1"/>
                <c:pt idx="0">
                  <c:v>Re_emb</c:v>
                </c:pt>
              </c:strCache>
            </c:strRef>
          </c:tx>
          <c:spPr>
            <a:solidFill>
              <a:schemeClr val="accent1"/>
            </a:solidFill>
            <a:ln>
              <a:noFill/>
            </a:ln>
            <a:effectLst/>
          </c:spPr>
          <c:invertIfNegative val="0"/>
          <c:cat>
            <c:strRef>
              <c:f>'1_Case study 1 - Car'!$B$477:$G$477</c:f>
              <c:strCache>
                <c:ptCount val="6"/>
                <c:pt idx="0">
                  <c:v>5-yr av (current </c:v>
                </c:pt>
                <c:pt idx="1">
                  <c:v>Yr 1</c:v>
                </c:pt>
                <c:pt idx="2">
                  <c:v>Yr 2</c:v>
                </c:pt>
                <c:pt idx="3">
                  <c:v>Yr 3</c:v>
                </c:pt>
                <c:pt idx="4">
                  <c:v>Yr 4</c:v>
                </c:pt>
                <c:pt idx="5">
                  <c:v>Yr 5</c:v>
                </c:pt>
              </c:strCache>
            </c:strRef>
          </c:cat>
          <c:val>
            <c:numRef>
              <c:f>'1_Case study 1 - Car'!$B$478:$G$478</c:f>
              <c:numCache>
                <c:formatCode>0.00%</c:formatCode>
                <c:ptCount val="6"/>
                <c:pt idx="0">
                  <c:v>1.4E-2</c:v>
                </c:pt>
                <c:pt idx="1">
                  <c:v>1.4E-2</c:v>
                </c:pt>
                <c:pt idx="2">
                  <c:v>1.4E-2</c:v>
                </c:pt>
                <c:pt idx="3">
                  <c:v>1.4E-2</c:v>
                </c:pt>
                <c:pt idx="4">
                  <c:v>1.4E-2</c:v>
                </c:pt>
                <c:pt idx="5">
                  <c:v>1.4E-2</c:v>
                </c:pt>
              </c:numCache>
            </c:numRef>
          </c:val>
          <c:extLst>
            <c:ext xmlns:c16="http://schemas.microsoft.com/office/drawing/2014/chart" uri="{C3380CC4-5D6E-409C-BE32-E72D297353CC}">
              <c16:uniqueId val="{00000000-8EEE-4AA4-B3CB-36FB2B0AFBC5}"/>
            </c:ext>
          </c:extLst>
        </c:ser>
        <c:ser>
          <c:idx val="1"/>
          <c:order val="1"/>
          <c:tx>
            <c:strRef>
              <c:f>'1_Case study 1 - Car'!$A$479</c:f>
              <c:strCache>
                <c:ptCount val="1"/>
                <c:pt idx="0">
                  <c:v>Re_md</c:v>
                </c:pt>
              </c:strCache>
            </c:strRef>
          </c:tx>
          <c:spPr>
            <a:solidFill>
              <a:schemeClr val="accent2"/>
            </a:solidFill>
            <a:ln>
              <a:noFill/>
            </a:ln>
            <a:effectLst/>
          </c:spPr>
          <c:invertIfNegative val="0"/>
          <c:cat>
            <c:strRef>
              <c:f>'1_Case study 1 - Car'!$B$477:$G$477</c:f>
              <c:strCache>
                <c:ptCount val="6"/>
                <c:pt idx="0">
                  <c:v>5-yr av (current </c:v>
                </c:pt>
                <c:pt idx="1">
                  <c:v>Yr 1</c:v>
                </c:pt>
                <c:pt idx="2">
                  <c:v>Yr 2</c:v>
                </c:pt>
                <c:pt idx="3">
                  <c:v>Yr 3</c:v>
                </c:pt>
                <c:pt idx="4">
                  <c:v>Yr 4</c:v>
                </c:pt>
                <c:pt idx="5">
                  <c:v>Yr 5</c:v>
                </c:pt>
              </c:strCache>
            </c:strRef>
          </c:cat>
          <c:val>
            <c:numRef>
              <c:f>'1_Case study 1 - Car'!$B$479:$G$479</c:f>
              <c:numCache>
                <c:formatCode>0.00%</c:formatCode>
                <c:ptCount val="6"/>
                <c:pt idx="0">
                  <c:v>-7.0000000000000001E-3</c:v>
                </c:pt>
                <c:pt idx="1">
                  <c:v>2.8000000000000001E-2</c:v>
                </c:pt>
                <c:pt idx="2">
                  <c:v>1.2999999999999999E-2</c:v>
                </c:pt>
                <c:pt idx="3">
                  <c:v>1.2E-2</c:v>
                </c:pt>
                <c:pt idx="4">
                  <c:v>-8.4000000000000005E-2</c:v>
                </c:pt>
                <c:pt idx="5">
                  <c:v>-4.0000000000000001E-3</c:v>
                </c:pt>
              </c:numCache>
            </c:numRef>
          </c:val>
          <c:extLst>
            <c:ext xmlns:c16="http://schemas.microsoft.com/office/drawing/2014/chart" uri="{C3380CC4-5D6E-409C-BE32-E72D297353CC}">
              <c16:uniqueId val="{00000001-8EEE-4AA4-B3CB-36FB2B0AFBC5}"/>
            </c:ext>
          </c:extLst>
        </c:ser>
        <c:ser>
          <c:idx val="2"/>
          <c:order val="2"/>
          <c:tx>
            <c:strRef>
              <c:f>'1_Case study 1 - Car'!$A$480</c:f>
              <c:strCache>
                <c:ptCount val="1"/>
                <c:pt idx="0">
                  <c:v>Re_dsub</c:v>
                </c:pt>
              </c:strCache>
            </c:strRef>
          </c:tx>
          <c:spPr>
            <a:solidFill>
              <a:schemeClr val="accent3"/>
            </a:solidFill>
            <a:ln>
              <a:noFill/>
            </a:ln>
            <a:effectLst/>
          </c:spPr>
          <c:invertIfNegative val="0"/>
          <c:cat>
            <c:strRef>
              <c:f>'1_Case study 1 - Car'!$B$477:$G$477</c:f>
              <c:strCache>
                <c:ptCount val="6"/>
                <c:pt idx="0">
                  <c:v>5-yr av (current </c:v>
                </c:pt>
                <c:pt idx="1">
                  <c:v>Yr 1</c:v>
                </c:pt>
                <c:pt idx="2">
                  <c:v>Yr 2</c:v>
                </c:pt>
                <c:pt idx="3">
                  <c:v>Yr 3</c:v>
                </c:pt>
                <c:pt idx="4">
                  <c:v>Yr 4</c:v>
                </c:pt>
                <c:pt idx="5">
                  <c:v>Yr 5</c:v>
                </c:pt>
              </c:strCache>
            </c:strRef>
          </c:cat>
          <c:val>
            <c:numRef>
              <c:f>'1_Case study 1 - Car'!$B$480:$G$480</c:f>
              <c:numCache>
                <c:formatCode>0.00%</c:formatCode>
                <c:ptCount val="6"/>
                <c:pt idx="0">
                  <c:v>0.06</c:v>
                </c:pt>
                <c:pt idx="1">
                  <c:v>0.06</c:v>
                </c:pt>
                <c:pt idx="2">
                  <c:v>0.06</c:v>
                </c:pt>
                <c:pt idx="3">
                  <c:v>0.06</c:v>
                </c:pt>
                <c:pt idx="4">
                  <c:v>0.06</c:v>
                </c:pt>
                <c:pt idx="5">
                  <c:v>0.06</c:v>
                </c:pt>
              </c:numCache>
            </c:numRef>
          </c:val>
          <c:extLst>
            <c:ext xmlns:c16="http://schemas.microsoft.com/office/drawing/2014/chart" uri="{C3380CC4-5D6E-409C-BE32-E72D297353CC}">
              <c16:uniqueId val="{00000002-8EEE-4AA4-B3CB-36FB2B0AFBC5}"/>
            </c:ext>
          </c:extLst>
        </c:ser>
        <c:ser>
          <c:idx val="3"/>
          <c:order val="3"/>
          <c:tx>
            <c:strRef>
              <c:f>'1_Case study 1 - Car'!$A$481</c:f>
              <c:strCache>
                <c:ptCount val="1"/>
                <c:pt idx="0">
                  <c:v>Re_isub</c:v>
                </c:pt>
              </c:strCache>
            </c:strRef>
          </c:tx>
          <c:spPr>
            <a:solidFill>
              <a:schemeClr val="accent4"/>
            </a:solidFill>
            <a:ln>
              <a:noFill/>
            </a:ln>
            <a:effectLst/>
          </c:spPr>
          <c:invertIfNegative val="0"/>
          <c:cat>
            <c:strRef>
              <c:f>'1_Case study 1 - Car'!$B$477:$G$477</c:f>
              <c:strCache>
                <c:ptCount val="6"/>
                <c:pt idx="0">
                  <c:v>5-yr av (current </c:v>
                </c:pt>
                <c:pt idx="1">
                  <c:v>Yr 1</c:v>
                </c:pt>
                <c:pt idx="2">
                  <c:v>Yr 2</c:v>
                </c:pt>
                <c:pt idx="3">
                  <c:v>Yr 3</c:v>
                </c:pt>
                <c:pt idx="4">
                  <c:v>Yr 4</c:v>
                </c:pt>
                <c:pt idx="5">
                  <c:v>Yr 5</c:v>
                </c:pt>
              </c:strCache>
            </c:strRef>
          </c:cat>
          <c:val>
            <c:numRef>
              <c:f>'1_Case study 1 - Car'!$B$481:$G$481</c:f>
              <c:numCache>
                <c:formatCode>0.00%</c:formatCode>
                <c:ptCount val="6"/>
                <c:pt idx="0">
                  <c:v>-2E-3</c:v>
                </c:pt>
                <c:pt idx="1">
                  <c:v>-2E-3</c:v>
                </c:pt>
                <c:pt idx="2">
                  <c:v>-2E-3</c:v>
                </c:pt>
                <c:pt idx="3">
                  <c:v>-2E-3</c:v>
                </c:pt>
                <c:pt idx="4">
                  <c:v>-2E-3</c:v>
                </c:pt>
                <c:pt idx="5">
                  <c:v>-2E-3</c:v>
                </c:pt>
              </c:numCache>
            </c:numRef>
          </c:val>
          <c:extLst>
            <c:ext xmlns:c16="http://schemas.microsoft.com/office/drawing/2014/chart" uri="{C3380CC4-5D6E-409C-BE32-E72D297353CC}">
              <c16:uniqueId val="{00000003-8EEE-4AA4-B3CB-36FB2B0AFBC5}"/>
            </c:ext>
          </c:extLst>
        </c:ser>
        <c:ser>
          <c:idx val="4"/>
          <c:order val="4"/>
          <c:tx>
            <c:strRef>
              <c:f>'1_Case study 1 - Car'!$A$482</c:f>
              <c:strCache>
                <c:ptCount val="1"/>
                <c:pt idx="0">
                  <c:v>Re_dinc</c:v>
                </c:pt>
              </c:strCache>
            </c:strRef>
          </c:tx>
          <c:spPr>
            <a:solidFill>
              <a:schemeClr val="accent5"/>
            </a:solidFill>
            <a:ln>
              <a:noFill/>
            </a:ln>
            <a:effectLst/>
          </c:spPr>
          <c:invertIfNegative val="0"/>
          <c:cat>
            <c:strRef>
              <c:f>'1_Case study 1 - Car'!$B$477:$G$477</c:f>
              <c:strCache>
                <c:ptCount val="6"/>
                <c:pt idx="0">
                  <c:v>5-yr av (current </c:v>
                </c:pt>
                <c:pt idx="1">
                  <c:v>Yr 1</c:v>
                </c:pt>
                <c:pt idx="2">
                  <c:v>Yr 2</c:v>
                </c:pt>
                <c:pt idx="3">
                  <c:v>Yr 3</c:v>
                </c:pt>
                <c:pt idx="4">
                  <c:v>Yr 4</c:v>
                </c:pt>
                <c:pt idx="5">
                  <c:v>Yr 5</c:v>
                </c:pt>
              </c:strCache>
            </c:strRef>
          </c:cat>
          <c:val>
            <c:numRef>
              <c:f>'1_Case study 1 - Car'!$B$482:$G$482</c:f>
              <c:numCache>
                <c:formatCode>0.00%</c:formatCode>
                <c:ptCount val="6"/>
                <c:pt idx="0">
                  <c:v>1.9E-2</c:v>
                </c:pt>
                <c:pt idx="1">
                  <c:v>3.0000000000000001E-3</c:v>
                </c:pt>
                <c:pt idx="2">
                  <c:v>0.01</c:v>
                </c:pt>
                <c:pt idx="3">
                  <c:v>0.01</c:v>
                </c:pt>
                <c:pt idx="4">
                  <c:v>5.7000000000000002E-2</c:v>
                </c:pt>
                <c:pt idx="5">
                  <c:v>1.7999999999999999E-2</c:v>
                </c:pt>
              </c:numCache>
            </c:numRef>
          </c:val>
          <c:extLst>
            <c:ext xmlns:c16="http://schemas.microsoft.com/office/drawing/2014/chart" uri="{C3380CC4-5D6E-409C-BE32-E72D297353CC}">
              <c16:uniqueId val="{00000004-8EEE-4AA4-B3CB-36FB2B0AFBC5}"/>
            </c:ext>
          </c:extLst>
        </c:ser>
        <c:ser>
          <c:idx val="5"/>
          <c:order val="5"/>
          <c:tx>
            <c:strRef>
              <c:f>'1_Case study 1 - Car'!$A$483</c:f>
              <c:strCache>
                <c:ptCount val="1"/>
                <c:pt idx="0">
                  <c:v>Re_iinc</c:v>
                </c:pt>
              </c:strCache>
            </c:strRef>
          </c:tx>
          <c:spPr>
            <a:solidFill>
              <a:schemeClr val="accent6"/>
            </a:solidFill>
            <a:ln>
              <a:noFill/>
            </a:ln>
            <a:effectLst/>
          </c:spPr>
          <c:invertIfNegative val="0"/>
          <c:cat>
            <c:strRef>
              <c:f>'1_Case study 1 - Car'!$B$477:$G$477</c:f>
              <c:strCache>
                <c:ptCount val="6"/>
                <c:pt idx="0">
                  <c:v>5-yr av (current </c:v>
                </c:pt>
                <c:pt idx="1">
                  <c:v>Yr 1</c:v>
                </c:pt>
                <c:pt idx="2">
                  <c:v>Yr 2</c:v>
                </c:pt>
                <c:pt idx="3">
                  <c:v>Yr 3</c:v>
                </c:pt>
                <c:pt idx="4">
                  <c:v>Yr 4</c:v>
                </c:pt>
                <c:pt idx="5">
                  <c:v>Yr 5</c:v>
                </c:pt>
              </c:strCache>
            </c:strRef>
          </c:cat>
          <c:val>
            <c:numRef>
              <c:f>'1_Case study 1 - Car'!$B$483:$G$483</c:f>
              <c:numCache>
                <c:formatCode>0.00%</c:formatCode>
                <c:ptCount val="6"/>
                <c:pt idx="0">
                  <c:v>3.9E-2</c:v>
                </c:pt>
                <c:pt idx="1">
                  <c:v>5.0000000000000001E-3</c:v>
                </c:pt>
                <c:pt idx="2">
                  <c:v>1.9E-2</c:v>
                </c:pt>
                <c:pt idx="3">
                  <c:v>2.1000000000000001E-2</c:v>
                </c:pt>
                <c:pt idx="4">
                  <c:v>0.113</c:v>
                </c:pt>
                <c:pt idx="5">
                  <c:v>3.5999999999999997E-2</c:v>
                </c:pt>
              </c:numCache>
            </c:numRef>
          </c:val>
          <c:extLst>
            <c:ext xmlns:c16="http://schemas.microsoft.com/office/drawing/2014/chart" uri="{C3380CC4-5D6E-409C-BE32-E72D297353CC}">
              <c16:uniqueId val="{00000005-8EEE-4AA4-B3CB-36FB2B0AFBC5}"/>
            </c:ext>
          </c:extLst>
        </c:ser>
        <c:ser>
          <c:idx val="6"/>
          <c:order val="6"/>
          <c:tx>
            <c:strRef>
              <c:f>'1_Case study 1 - Car'!$A$484</c:f>
              <c:strCache>
                <c:ptCount val="1"/>
                <c:pt idx="0">
                  <c:v>Re_prod</c:v>
                </c:pt>
              </c:strCache>
            </c:strRef>
          </c:tx>
          <c:spPr>
            <a:solidFill>
              <a:schemeClr val="accent1">
                <a:lumMod val="60000"/>
              </a:schemeClr>
            </a:solidFill>
            <a:ln>
              <a:noFill/>
            </a:ln>
            <a:effectLst/>
          </c:spPr>
          <c:invertIfNegative val="0"/>
          <c:cat>
            <c:strRef>
              <c:f>'1_Case study 1 - Car'!$B$477:$G$477</c:f>
              <c:strCache>
                <c:ptCount val="6"/>
                <c:pt idx="0">
                  <c:v>5-yr av (current </c:v>
                </c:pt>
                <c:pt idx="1">
                  <c:v>Yr 1</c:v>
                </c:pt>
                <c:pt idx="2">
                  <c:v>Yr 2</c:v>
                </c:pt>
                <c:pt idx="3">
                  <c:v>Yr 3</c:v>
                </c:pt>
                <c:pt idx="4">
                  <c:v>Yr 4</c:v>
                </c:pt>
                <c:pt idx="5">
                  <c:v>Yr 5</c:v>
                </c:pt>
              </c:strCache>
            </c:strRef>
          </c:cat>
          <c:val>
            <c:numRef>
              <c:f>'1_Case study 1 - Car'!$B$484:$G$484</c:f>
              <c:numCache>
                <c:formatCode>0.00%</c:formatCode>
                <c:ptCount val="6"/>
                <c:pt idx="0">
                  <c:v>0.04</c:v>
                </c:pt>
                <c:pt idx="1">
                  <c:v>5.0000000000000001E-3</c:v>
                </c:pt>
                <c:pt idx="2">
                  <c:v>0.02</c:v>
                </c:pt>
                <c:pt idx="3">
                  <c:v>2.1000000000000001E-2</c:v>
                </c:pt>
                <c:pt idx="4">
                  <c:v>0.11600000000000001</c:v>
                </c:pt>
                <c:pt idx="5">
                  <c:v>3.6999999999999998E-2</c:v>
                </c:pt>
              </c:numCache>
            </c:numRef>
          </c:val>
          <c:extLst>
            <c:ext xmlns:c16="http://schemas.microsoft.com/office/drawing/2014/chart" uri="{C3380CC4-5D6E-409C-BE32-E72D297353CC}">
              <c16:uniqueId val="{00000006-8EEE-4AA4-B3CB-36FB2B0AFBC5}"/>
            </c:ext>
          </c:extLst>
        </c:ser>
        <c:dLbls>
          <c:showLegendKey val="0"/>
          <c:showVal val="0"/>
          <c:showCatName val="0"/>
          <c:showSerName val="0"/>
          <c:showPercent val="0"/>
          <c:showBubbleSize val="0"/>
        </c:dLbls>
        <c:gapWidth val="219"/>
        <c:overlap val="100"/>
        <c:axId val="362810504"/>
        <c:axId val="1"/>
      </c:barChart>
      <c:catAx>
        <c:axId val="362810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62810504"/>
        <c:crosses val="autoZero"/>
        <c:crossBetween val="between"/>
      </c:valAx>
      <c:spPr>
        <a:noFill/>
        <a:ln w="25400">
          <a:noFill/>
        </a:ln>
      </c:spPr>
    </c:plotArea>
    <c:legend>
      <c:legendPos val="b"/>
      <c:layout>
        <c:manualLayout>
          <c:xMode val="edge"/>
          <c:yMode val="edge"/>
          <c:x val="8.6821836878992364E-2"/>
          <c:y val="0.90607734806629836"/>
          <c:w val="0.82635784029469517"/>
          <c:h val="7.18232044198895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png"/><Relationship Id="rId18" Type="http://schemas.openxmlformats.org/officeDocument/2006/relationships/image" Target="../media/image17.png"/><Relationship Id="rId26" Type="http://schemas.openxmlformats.org/officeDocument/2006/relationships/image" Target="../media/image25.tmp"/><Relationship Id="rId39" Type="http://schemas.openxmlformats.org/officeDocument/2006/relationships/image" Target="../media/image38.tmp"/><Relationship Id="rId3" Type="http://schemas.openxmlformats.org/officeDocument/2006/relationships/image" Target="../media/image2.png"/><Relationship Id="rId21" Type="http://schemas.openxmlformats.org/officeDocument/2006/relationships/image" Target="../media/image20.tmp"/><Relationship Id="rId34" Type="http://schemas.openxmlformats.org/officeDocument/2006/relationships/image" Target="../media/image33.tmp"/><Relationship Id="rId42" Type="http://schemas.openxmlformats.org/officeDocument/2006/relationships/image" Target="../media/image41.tmp"/><Relationship Id="rId47" Type="http://schemas.openxmlformats.org/officeDocument/2006/relationships/image" Target="../media/image46.tmp"/><Relationship Id="rId7" Type="http://schemas.openxmlformats.org/officeDocument/2006/relationships/image" Target="../media/image6.png"/><Relationship Id="rId12" Type="http://schemas.openxmlformats.org/officeDocument/2006/relationships/image" Target="../media/image11.png"/><Relationship Id="rId17" Type="http://schemas.openxmlformats.org/officeDocument/2006/relationships/image" Target="../media/image16.png"/><Relationship Id="rId25" Type="http://schemas.openxmlformats.org/officeDocument/2006/relationships/image" Target="../media/image24.tmp"/><Relationship Id="rId33" Type="http://schemas.openxmlformats.org/officeDocument/2006/relationships/image" Target="../media/image32.tmp"/><Relationship Id="rId38" Type="http://schemas.openxmlformats.org/officeDocument/2006/relationships/image" Target="../media/image37.tmp"/><Relationship Id="rId46" Type="http://schemas.openxmlformats.org/officeDocument/2006/relationships/image" Target="../media/image45.tmp"/><Relationship Id="rId2" Type="http://schemas.openxmlformats.org/officeDocument/2006/relationships/image" Target="../media/image1.png"/><Relationship Id="rId16" Type="http://schemas.openxmlformats.org/officeDocument/2006/relationships/image" Target="../media/image15.png"/><Relationship Id="rId20" Type="http://schemas.openxmlformats.org/officeDocument/2006/relationships/image" Target="../media/image19.tmp"/><Relationship Id="rId29" Type="http://schemas.openxmlformats.org/officeDocument/2006/relationships/image" Target="../media/image28.tmp"/><Relationship Id="rId41" Type="http://schemas.openxmlformats.org/officeDocument/2006/relationships/image" Target="../media/image40.tmp"/><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image" Target="../media/image10.png"/><Relationship Id="rId24" Type="http://schemas.openxmlformats.org/officeDocument/2006/relationships/image" Target="../media/image23.tmp"/><Relationship Id="rId32" Type="http://schemas.openxmlformats.org/officeDocument/2006/relationships/image" Target="../media/image31.tmp"/><Relationship Id="rId37" Type="http://schemas.openxmlformats.org/officeDocument/2006/relationships/image" Target="../media/image36.tmp"/><Relationship Id="rId40" Type="http://schemas.openxmlformats.org/officeDocument/2006/relationships/image" Target="../media/image39.tmp"/><Relationship Id="rId45" Type="http://schemas.openxmlformats.org/officeDocument/2006/relationships/image" Target="../media/image44.tmp"/><Relationship Id="rId5" Type="http://schemas.openxmlformats.org/officeDocument/2006/relationships/image" Target="../media/image4.png"/><Relationship Id="rId15" Type="http://schemas.openxmlformats.org/officeDocument/2006/relationships/image" Target="../media/image14.png"/><Relationship Id="rId23" Type="http://schemas.openxmlformats.org/officeDocument/2006/relationships/image" Target="../media/image22.tmp"/><Relationship Id="rId28" Type="http://schemas.openxmlformats.org/officeDocument/2006/relationships/image" Target="../media/image27.tmp"/><Relationship Id="rId36" Type="http://schemas.openxmlformats.org/officeDocument/2006/relationships/image" Target="../media/image35.tmp"/><Relationship Id="rId10" Type="http://schemas.openxmlformats.org/officeDocument/2006/relationships/image" Target="../media/image9.png"/><Relationship Id="rId19" Type="http://schemas.openxmlformats.org/officeDocument/2006/relationships/image" Target="../media/image18.tmp"/><Relationship Id="rId31" Type="http://schemas.openxmlformats.org/officeDocument/2006/relationships/image" Target="../media/image30.tmp"/><Relationship Id="rId44" Type="http://schemas.openxmlformats.org/officeDocument/2006/relationships/image" Target="../media/image43.tmp"/><Relationship Id="rId4" Type="http://schemas.openxmlformats.org/officeDocument/2006/relationships/image" Target="../media/image3.png"/><Relationship Id="rId9" Type="http://schemas.openxmlformats.org/officeDocument/2006/relationships/image" Target="../media/image8.png"/><Relationship Id="rId14" Type="http://schemas.openxmlformats.org/officeDocument/2006/relationships/image" Target="../media/image13.png"/><Relationship Id="rId22" Type="http://schemas.openxmlformats.org/officeDocument/2006/relationships/image" Target="../media/image21.tmp"/><Relationship Id="rId27" Type="http://schemas.openxmlformats.org/officeDocument/2006/relationships/image" Target="../media/image26.tmp"/><Relationship Id="rId30" Type="http://schemas.openxmlformats.org/officeDocument/2006/relationships/image" Target="../media/image29.tmp"/><Relationship Id="rId35" Type="http://schemas.openxmlformats.org/officeDocument/2006/relationships/image" Target="../media/image34.tmp"/><Relationship Id="rId43" Type="http://schemas.openxmlformats.org/officeDocument/2006/relationships/image" Target="../media/image42.tmp"/></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3.png"/><Relationship Id="rId18" Type="http://schemas.openxmlformats.org/officeDocument/2006/relationships/image" Target="../media/image20.tmp"/><Relationship Id="rId26" Type="http://schemas.openxmlformats.org/officeDocument/2006/relationships/image" Target="../media/image28.tmp"/><Relationship Id="rId39" Type="http://schemas.openxmlformats.org/officeDocument/2006/relationships/image" Target="../media/image40.tmp"/><Relationship Id="rId3" Type="http://schemas.openxmlformats.org/officeDocument/2006/relationships/image" Target="../media/image1.png"/><Relationship Id="rId21" Type="http://schemas.openxmlformats.org/officeDocument/2006/relationships/image" Target="../media/image23.tmp"/><Relationship Id="rId34" Type="http://schemas.openxmlformats.org/officeDocument/2006/relationships/image" Target="../media/image35.tmp"/><Relationship Id="rId42" Type="http://schemas.openxmlformats.org/officeDocument/2006/relationships/image" Target="../media/image43.tmp"/><Relationship Id="rId7" Type="http://schemas.openxmlformats.org/officeDocument/2006/relationships/image" Target="../media/image5.png"/><Relationship Id="rId12" Type="http://schemas.openxmlformats.org/officeDocument/2006/relationships/image" Target="../media/image12.png"/><Relationship Id="rId17" Type="http://schemas.openxmlformats.org/officeDocument/2006/relationships/image" Target="../media/image19.tmp"/><Relationship Id="rId25" Type="http://schemas.openxmlformats.org/officeDocument/2006/relationships/image" Target="../media/image27.tmp"/><Relationship Id="rId33" Type="http://schemas.openxmlformats.org/officeDocument/2006/relationships/image" Target="../media/image34.tmp"/><Relationship Id="rId38" Type="http://schemas.openxmlformats.org/officeDocument/2006/relationships/image" Target="../media/image39.tmp"/><Relationship Id="rId2" Type="http://schemas.openxmlformats.org/officeDocument/2006/relationships/image" Target="../media/image48.png"/><Relationship Id="rId16" Type="http://schemas.openxmlformats.org/officeDocument/2006/relationships/image" Target="../media/image18.tmp"/><Relationship Id="rId20" Type="http://schemas.openxmlformats.org/officeDocument/2006/relationships/image" Target="../media/image22.tmp"/><Relationship Id="rId29" Type="http://schemas.openxmlformats.org/officeDocument/2006/relationships/image" Target="../media/image31.tmp"/><Relationship Id="rId41" Type="http://schemas.openxmlformats.org/officeDocument/2006/relationships/image" Target="../media/image42.tmp"/><Relationship Id="rId1" Type="http://schemas.openxmlformats.org/officeDocument/2006/relationships/image" Target="../media/image47.png"/><Relationship Id="rId6" Type="http://schemas.openxmlformats.org/officeDocument/2006/relationships/image" Target="../media/image4.png"/><Relationship Id="rId11" Type="http://schemas.openxmlformats.org/officeDocument/2006/relationships/image" Target="../media/image9.png"/><Relationship Id="rId24" Type="http://schemas.openxmlformats.org/officeDocument/2006/relationships/image" Target="../media/image26.tmp"/><Relationship Id="rId32" Type="http://schemas.openxmlformats.org/officeDocument/2006/relationships/image" Target="../media/image33.tmp"/><Relationship Id="rId37" Type="http://schemas.openxmlformats.org/officeDocument/2006/relationships/image" Target="../media/image38.tmp"/><Relationship Id="rId40" Type="http://schemas.openxmlformats.org/officeDocument/2006/relationships/image" Target="../media/image41.tmp"/><Relationship Id="rId5" Type="http://schemas.openxmlformats.org/officeDocument/2006/relationships/image" Target="../media/image3.png"/><Relationship Id="rId15" Type="http://schemas.openxmlformats.org/officeDocument/2006/relationships/image" Target="../media/image45.tmp"/><Relationship Id="rId23" Type="http://schemas.openxmlformats.org/officeDocument/2006/relationships/image" Target="../media/image25.tmp"/><Relationship Id="rId28" Type="http://schemas.openxmlformats.org/officeDocument/2006/relationships/image" Target="../media/image30.tmp"/><Relationship Id="rId36" Type="http://schemas.openxmlformats.org/officeDocument/2006/relationships/image" Target="../media/image37.tmp"/><Relationship Id="rId10" Type="http://schemas.openxmlformats.org/officeDocument/2006/relationships/image" Target="../media/image8.png"/><Relationship Id="rId19" Type="http://schemas.openxmlformats.org/officeDocument/2006/relationships/image" Target="../media/image21.tmp"/><Relationship Id="rId31" Type="http://schemas.openxmlformats.org/officeDocument/2006/relationships/image" Target="../media/image32.tmp"/><Relationship Id="rId4" Type="http://schemas.openxmlformats.org/officeDocument/2006/relationships/image" Target="../media/image2.png"/><Relationship Id="rId9" Type="http://schemas.openxmlformats.org/officeDocument/2006/relationships/image" Target="../media/image10.png"/><Relationship Id="rId14" Type="http://schemas.openxmlformats.org/officeDocument/2006/relationships/image" Target="../media/image49.png"/><Relationship Id="rId22" Type="http://schemas.openxmlformats.org/officeDocument/2006/relationships/image" Target="../media/image24.tmp"/><Relationship Id="rId27" Type="http://schemas.openxmlformats.org/officeDocument/2006/relationships/image" Target="../media/image29.tmp"/><Relationship Id="rId30" Type="http://schemas.openxmlformats.org/officeDocument/2006/relationships/image" Target="../media/image46.tmp"/><Relationship Id="rId35" Type="http://schemas.openxmlformats.org/officeDocument/2006/relationships/image" Target="../media/image36.tmp"/><Relationship Id="rId43" Type="http://schemas.openxmlformats.org/officeDocument/2006/relationships/image" Target="../media/image44.tmp"/></Relationships>
</file>

<file path=xl/drawings/_rels/drawing3.xml.rels><?xml version="1.0" encoding="UTF-8" standalone="yes"?>
<Relationships xmlns="http://schemas.openxmlformats.org/package/2006/relationships"><Relationship Id="rId3" Type="http://schemas.openxmlformats.org/officeDocument/2006/relationships/image" Target="cid:image007.png@01D67F93.9A509260" TargetMode="External"/><Relationship Id="rId2" Type="http://schemas.openxmlformats.org/officeDocument/2006/relationships/image" Target="cid:image006.png@01D67F92.F33A3800" TargetMode="External"/><Relationship Id="rId1" Type="http://schemas.openxmlformats.org/officeDocument/2006/relationships/image" Target="../media/image50.png"/><Relationship Id="rId6" Type="http://schemas.openxmlformats.org/officeDocument/2006/relationships/image" Target="cid:image009.jpg@01D67F99.B1802EE0" TargetMode="External"/><Relationship Id="rId5" Type="http://schemas.openxmlformats.org/officeDocument/2006/relationships/image" Target="cid:image005.png@01D67F92.A6EBEAC0" TargetMode="External"/><Relationship Id="rId4" Type="http://schemas.openxmlformats.org/officeDocument/2006/relationships/image" Target="cid:image004.png@01D67F92.5B479920" TargetMode="External"/></Relationships>
</file>

<file path=xl/drawings/drawing1.xml><?xml version="1.0" encoding="utf-8"?>
<xdr:wsDr xmlns:xdr="http://schemas.openxmlformats.org/drawingml/2006/spreadsheetDrawing" xmlns:a="http://schemas.openxmlformats.org/drawingml/2006/main">
  <xdr:oneCellAnchor>
    <xdr:from>
      <xdr:col>2</xdr:col>
      <xdr:colOff>477404</xdr:colOff>
      <xdr:row>146</xdr:row>
      <xdr:rowOff>5003</xdr:rowOff>
    </xdr:from>
    <xdr:ext cx="220347" cy="105149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220854" y="2964786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150</xdr:row>
      <xdr:rowOff>196561</xdr:rowOff>
    </xdr:from>
    <xdr:ext cx="217446" cy="111544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220854" y="3064798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148</xdr:row>
      <xdr:rowOff>5002</xdr:rowOff>
    </xdr:from>
    <xdr:ext cx="411291" cy="105061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208154" y="3004791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208154" y="3004791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148</xdr:row>
      <xdr:rowOff>196561</xdr:rowOff>
    </xdr:from>
    <xdr:ext cx="362891" cy="112680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208154" y="302479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208154" y="302479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149</xdr:row>
      <xdr:rowOff>196561</xdr:rowOff>
    </xdr:from>
    <xdr:ext cx="355948" cy="112214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208154" y="30447961"/>
              <a:ext cx="27898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208154" y="30447961"/>
              <a:ext cx="27898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152</xdr:row>
      <xdr:rowOff>0</xdr:rowOff>
    </xdr:from>
    <xdr:ext cx="235363" cy="106604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208154" y="3085147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155</xdr:row>
      <xdr:rowOff>5003</xdr:rowOff>
    </xdr:from>
    <xdr:ext cx="65" cy="172227"/>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4814454" y="314480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468744</xdr:colOff>
      <xdr:row>145</xdr:row>
      <xdr:rowOff>15587</xdr:rowOff>
    </xdr:from>
    <xdr:ext cx="191531" cy="110990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212194" y="2945736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5212194" y="2945736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142</xdr:row>
      <xdr:rowOff>578</xdr:rowOff>
    </xdr:from>
    <xdr:ext cx="200844" cy="111947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5212194" y="2886132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144</xdr:row>
      <xdr:rowOff>6062</xdr:rowOff>
    </xdr:from>
    <xdr:ext cx="109967"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544896" y="29194895"/>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5544896" y="29194895"/>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154</xdr:row>
      <xdr:rowOff>15587</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514878" y="31215254"/>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5514878" y="31215254"/>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155</xdr:row>
      <xdr:rowOff>206086</xdr:rowOff>
    </xdr:from>
    <xdr:ext cx="65" cy="172227"/>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4814454" y="31648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155</xdr:row>
      <xdr:rowOff>15587</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514878" y="31416337"/>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000-00000E000000}"/>
                </a:ext>
              </a:extLst>
            </xdr:cNvPr>
            <xdr:cNvSpPr txBox="1"/>
          </xdr:nvSpPr>
          <xdr:spPr>
            <a:xfrm>
              <a:off x="5514878" y="31416337"/>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140</xdr:row>
      <xdr:rowOff>111125</xdr:rowOff>
    </xdr:from>
    <xdr:ext cx="325217" cy="264560"/>
    <xdr:sp macro="" textlink="">
      <xdr:nvSpPr>
        <xdr:cNvPr id="15" name="TextBox 14">
          <a:extLst>
            <a:ext uri="{FF2B5EF4-FFF2-40B4-BE49-F238E27FC236}">
              <a16:creationId xmlns:a16="http://schemas.microsoft.com/office/drawing/2014/main" id="{00000000-0008-0000-0000-000013000000}"/>
            </a:ext>
          </a:extLst>
        </xdr:cNvPr>
        <xdr:cNvSpPr txBox="1"/>
      </xdr:nvSpPr>
      <xdr:spPr>
        <a:xfrm>
          <a:off x="10835217" y="2846387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163</xdr:row>
      <xdr:rowOff>5003</xdr:rowOff>
    </xdr:from>
    <xdr:ext cx="408379" cy="1056928"/>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6" name="TextBox 15">
              <a:extLst>
                <a:ext uri="{FF2B5EF4-FFF2-40B4-BE49-F238E27FC236}">
                  <a16:creationId xmlns:a16="http://schemas.microsoft.com/office/drawing/2014/main" id="{00000000-0008-0000-0000-000014000000}"/>
                </a:ext>
              </a:extLst>
            </xdr:cNvPr>
            <xdr:cNvSpPr txBox="1"/>
          </xdr:nvSpPr>
          <xdr:spPr>
            <a:xfrm>
              <a:off x="5220854" y="3306733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404896" cy="1066040"/>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7" name="TextBox 16">
              <a:extLst>
                <a:ext uri="{FF2B5EF4-FFF2-40B4-BE49-F238E27FC236}">
                  <a16:creationId xmlns:a16="http://schemas.microsoft.com/office/drawing/2014/main" id="{00000000-0008-0000-0000-000015000000}"/>
                </a:ext>
              </a:extLst>
            </xdr:cNvPr>
            <xdr:cNvSpPr txBox="1"/>
          </xdr:nvSpPr>
          <xdr:spPr>
            <a:xfrm>
              <a:off x="5220854" y="3406746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164</xdr:row>
      <xdr:rowOff>196561</xdr:rowOff>
    </xdr:from>
    <xdr:ext cx="599693" cy="112214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18" name="TextBox 17">
              <a:extLst>
                <a:ext uri="{FF2B5EF4-FFF2-40B4-BE49-F238E27FC236}">
                  <a16:creationId xmlns:a16="http://schemas.microsoft.com/office/drawing/2014/main" id="{00000000-0008-0000-0000-000016000000}"/>
                </a:ext>
              </a:extLst>
            </xdr:cNvPr>
            <xdr:cNvSpPr txBox="1"/>
          </xdr:nvSpPr>
          <xdr:spPr>
            <a:xfrm>
              <a:off x="5208154" y="3346738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165</xdr:row>
      <xdr:rowOff>196561</xdr:rowOff>
    </xdr:from>
    <xdr:ext cx="551151" cy="112680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9" name="TextBox 18">
              <a:extLst>
                <a:ext uri="{FF2B5EF4-FFF2-40B4-BE49-F238E27FC236}">
                  <a16:creationId xmlns:a16="http://schemas.microsoft.com/office/drawing/2014/main" id="{00000000-0008-0000-0000-000017000000}"/>
                </a:ext>
              </a:extLst>
            </xdr:cNvPr>
            <xdr:cNvSpPr txBox="1"/>
          </xdr:nvSpPr>
          <xdr:spPr>
            <a:xfrm>
              <a:off x="5208154" y="3366741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166</xdr:row>
      <xdr:rowOff>196561</xdr:rowOff>
    </xdr:from>
    <xdr:ext cx="451692" cy="1066040"/>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208154" y="3386743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a14:m>
              <a:endParaRPr lang="en-GB" sz="1100"/>
            </a:p>
          </xdr:txBody>
        </xdr:sp>
      </mc:Choice>
      <mc:Fallback xmlns="">
        <xdr:sp macro="" textlink="">
          <xdr:nvSpPr>
            <xdr:cNvPr id="20" name="TextBox 19">
              <a:extLst>
                <a:ext uri="{FF2B5EF4-FFF2-40B4-BE49-F238E27FC236}">
                  <a16:creationId xmlns:a16="http://schemas.microsoft.com/office/drawing/2014/main" id="{00000000-0008-0000-0000-000018000000}"/>
                </a:ext>
              </a:extLst>
            </xdr:cNvPr>
            <xdr:cNvSpPr txBox="1"/>
          </xdr:nvSpPr>
          <xdr:spPr>
            <a:xfrm>
              <a:off x="5208154" y="3386743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455179</xdr:colOff>
      <xdr:row>169</xdr:row>
      <xdr:rowOff>0</xdr:rowOff>
    </xdr:from>
    <xdr:ext cx="424655" cy="1066040"/>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000-000019000000}"/>
                </a:ext>
              </a:extLst>
            </xdr:cNvPr>
            <xdr:cNvSpPr txBox="1"/>
          </xdr:nvSpPr>
          <xdr:spPr>
            <a:xfrm>
              <a:off x="5198629" y="3427095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71004</xdr:colOff>
      <xdr:row>172</xdr:row>
      <xdr:rowOff>5003</xdr:rowOff>
    </xdr:from>
    <xdr:ext cx="65" cy="172227"/>
    <xdr:sp macro="" textlink="">
      <xdr:nvSpPr>
        <xdr:cNvPr id="22" name="TextBox 21">
          <a:extLst>
            <a:ext uri="{FF2B5EF4-FFF2-40B4-BE49-F238E27FC236}">
              <a16:creationId xmlns:a16="http://schemas.microsoft.com/office/drawing/2014/main" id="{00000000-0008-0000-0000-00001A000000}"/>
            </a:ext>
          </a:extLst>
        </xdr:cNvPr>
        <xdr:cNvSpPr txBox="1"/>
      </xdr:nvSpPr>
      <xdr:spPr>
        <a:xfrm>
          <a:off x="4814454" y="348675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468744</xdr:colOff>
      <xdr:row>162</xdr:row>
      <xdr:rowOff>15587</xdr:rowOff>
    </xdr:from>
    <xdr:ext cx="398777" cy="110990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000-00001B000000}"/>
                </a:ext>
              </a:extLst>
            </xdr:cNvPr>
            <xdr:cNvSpPr txBox="1"/>
          </xdr:nvSpPr>
          <xdr:spPr>
            <a:xfrm>
              <a:off x="5212194" y="3287683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159</xdr:row>
      <xdr:rowOff>578</xdr:rowOff>
    </xdr:from>
    <xdr:ext cx="408159" cy="1119476"/>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4" name="TextBox 23">
              <a:extLst>
                <a:ext uri="{FF2B5EF4-FFF2-40B4-BE49-F238E27FC236}">
                  <a16:creationId xmlns:a16="http://schemas.microsoft.com/office/drawing/2014/main" id="{00000000-0008-0000-0000-00001C000000}"/>
                </a:ext>
              </a:extLst>
            </xdr:cNvPr>
            <xdr:cNvSpPr txBox="1"/>
          </xdr:nvSpPr>
          <xdr:spPr>
            <a:xfrm>
              <a:off x="5212194" y="3228080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486063</xdr:colOff>
      <xdr:row>161</xdr:row>
      <xdr:rowOff>15587</xdr:rowOff>
    </xdr:from>
    <xdr:ext cx="177452" cy="110990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5" name="TextBox 24">
              <a:extLst>
                <a:ext uri="{FF2B5EF4-FFF2-40B4-BE49-F238E27FC236}">
                  <a16:creationId xmlns:a16="http://schemas.microsoft.com/office/drawing/2014/main" id="{00000000-0008-0000-0000-00001D000000}"/>
                </a:ext>
              </a:extLst>
            </xdr:cNvPr>
            <xdr:cNvSpPr txBox="1"/>
          </xdr:nvSpPr>
          <xdr:spPr>
            <a:xfrm>
              <a:off x="5229513" y="3267681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15587</xdr:rowOff>
    </xdr:from>
    <xdr:ext cx="225640" cy="110590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26" name="TextBox 25">
              <a:extLst>
                <a:ext uri="{FF2B5EF4-FFF2-40B4-BE49-F238E27FC236}">
                  <a16:creationId xmlns:a16="http://schemas.microsoft.com/office/drawing/2014/main" id="{00000000-0008-0000-0000-00001E000000}"/>
                </a:ext>
              </a:extLst>
            </xdr:cNvPr>
            <xdr:cNvSpPr txBox="1"/>
          </xdr:nvSpPr>
          <xdr:spPr>
            <a:xfrm>
              <a:off x="5199495" y="3467706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71004</xdr:colOff>
      <xdr:row>172</xdr:row>
      <xdr:rowOff>206086</xdr:rowOff>
    </xdr:from>
    <xdr:ext cx="65" cy="172227"/>
    <xdr:sp macro="" textlink="">
      <xdr:nvSpPr>
        <xdr:cNvPr id="27" name="TextBox 26">
          <a:extLst>
            <a:ext uri="{FF2B5EF4-FFF2-40B4-BE49-F238E27FC236}">
              <a16:creationId xmlns:a16="http://schemas.microsoft.com/office/drawing/2014/main" id="{00000000-0008-0000-0000-00001F000000}"/>
            </a:ext>
          </a:extLst>
        </xdr:cNvPr>
        <xdr:cNvSpPr txBox="1"/>
      </xdr:nvSpPr>
      <xdr:spPr>
        <a:xfrm>
          <a:off x="4814454" y="35067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172</xdr:row>
      <xdr:rowOff>15587</xdr:rowOff>
    </xdr:from>
    <xdr:ext cx="213556" cy="1056928"/>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28" name="TextBox 27">
              <a:extLst>
                <a:ext uri="{FF2B5EF4-FFF2-40B4-BE49-F238E27FC236}">
                  <a16:creationId xmlns:a16="http://schemas.microsoft.com/office/drawing/2014/main" id="{00000000-0008-0000-0000-000020000000}"/>
                </a:ext>
              </a:extLst>
            </xdr:cNvPr>
            <xdr:cNvSpPr txBox="1"/>
          </xdr:nvSpPr>
          <xdr:spPr>
            <a:xfrm>
              <a:off x="5199495" y="3487708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631825</xdr:colOff>
      <xdr:row>157</xdr:row>
      <xdr:rowOff>114300</xdr:rowOff>
    </xdr:from>
    <xdr:ext cx="325217" cy="264560"/>
    <xdr:sp macro="" textlink="">
      <xdr:nvSpPr>
        <xdr:cNvPr id="29" name="TextBox 28">
          <a:extLst>
            <a:ext uri="{FF2B5EF4-FFF2-40B4-BE49-F238E27FC236}">
              <a16:creationId xmlns:a16="http://schemas.microsoft.com/office/drawing/2014/main" id="{00000000-0008-0000-0000-000025000000}"/>
            </a:ext>
          </a:extLst>
        </xdr:cNvPr>
        <xdr:cNvSpPr txBox="1"/>
      </xdr:nvSpPr>
      <xdr:spPr>
        <a:xfrm>
          <a:off x="11162242" y="31927800"/>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468744</xdr:colOff>
      <xdr:row>143</xdr:row>
      <xdr:rowOff>578</xdr:rowOff>
    </xdr:from>
    <xdr:ext cx="171826" cy="1119476"/>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212194" y="2906135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4" name="TextBox 33">
              <a:extLst>
                <a:ext uri="{FF2B5EF4-FFF2-40B4-BE49-F238E27FC236}">
                  <a16:creationId xmlns:a16="http://schemas.microsoft.com/office/drawing/2014/main" id="{00000000-0008-0000-0000-00002A000000}"/>
                </a:ext>
              </a:extLst>
            </xdr:cNvPr>
            <xdr:cNvSpPr txBox="1"/>
          </xdr:nvSpPr>
          <xdr:spPr>
            <a:xfrm>
              <a:off x="5212194" y="2906135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468744</xdr:colOff>
      <xdr:row>160</xdr:row>
      <xdr:rowOff>578</xdr:rowOff>
    </xdr:from>
    <xdr:ext cx="255740" cy="1119476"/>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35" name="TextBox 34">
              <a:extLst>
                <a:ext uri="{FF2B5EF4-FFF2-40B4-BE49-F238E27FC236}">
                  <a16:creationId xmlns:a16="http://schemas.microsoft.com/office/drawing/2014/main" id="{00000000-0008-0000-0000-00002B000000}"/>
                </a:ext>
              </a:extLst>
            </xdr:cNvPr>
            <xdr:cNvSpPr txBox="1"/>
          </xdr:nvSpPr>
          <xdr:spPr>
            <a:xfrm>
              <a:off x="5212194" y="3248082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153</xdr:row>
      <xdr:rowOff>196561</xdr:rowOff>
    </xdr:from>
    <xdr:ext cx="65" cy="172227"/>
    <xdr:sp macro="" textlink="">
      <xdr:nvSpPr>
        <xdr:cNvPr id="36" name="TextBox 35">
          <a:extLst>
            <a:ext uri="{FF2B5EF4-FFF2-40B4-BE49-F238E27FC236}">
              <a16:creationId xmlns:a16="http://schemas.microsoft.com/office/drawing/2014/main" id="{00000000-0008-0000-0000-00002C000000}"/>
            </a:ext>
          </a:extLst>
        </xdr:cNvPr>
        <xdr:cNvSpPr txBox="1"/>
      </xdr:nvSpPr>
      <xdr:spPr>
        <a:xfrm>
          <a:off x="4814454" y="312480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153</xdr:row>
      <xdr:rowOff>6062</xdr:rowOff>
    </xdr:from>
    <xdr:ext cx="155364" cy="181140"/>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514878" y="31004645"/>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37" name="TextBox 36">
              <a:extLst>
                <a:ext uri="{FF2B5EF4-FFF2-40B4-BE49-F238E27FC236}">
                  <a16:creationId xmlns:a16="http://schemas.microsoft.com/office/drawing/2014/main" id="{00000000-0008-0000-0000-00002D000000}"/>
                </a:ext>
              </a:extLst>
            </xdr:cNvPr>
            <xdr:cNvSpPr txBox="1"/>
          </xdr:nvSpPr>
          <xdr:spPr>
            <a:xfrm>
              <a:off x="5514878" y="31004645"/>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71004</xdr:colOff>
      <xdr:row>154</xdr:row>
      <xdr:rowOff>0</xdr:rowOff>
    </xdr:from>
    <xdr:ext cx="65" cy="172227"/>
    <xdr:sp macro="" textlink="">
      <xdr:nvSpPr>
        <xdr:cNvPr id="38" name="TextBox 37">
          <a:extLst>
            <a:ext uri="{FF2B5EF4-FFF2-40B4-BE49-F238E27FC236}">
              <a16:creationId xmlns:a16="http://schemas.microsoft.com/office/drawing/2014/main" id="{00000000-0008-0000-0000-00002E000000}"/>
            </a:ext>
          </a:extLst>
        </xdr:cNvPr>
        <xdr:cNvSpPr txBox="1"/>
      </xdr:nvSpPr>
      <xdr:spPr>
        <a:xfrm>
          <a:off x="4814454" y="31251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468744</xdr:colOff>
      <xdr:row>69</xdr:row>
      <xdr:rowOff>10103</xdr:rowOff>
    </xdr:from>
    <xdr:ext cx="324692" cy="111490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39" name="TextBox 38">
              <a:extLst>
                <a:ext uri="{FF2B5EF4-FFF2-40B4-BE49-F238E27FC236}">
                  <a16:creationId xmlns:a16="http://schemas.microsoft.com/office/drawing/2014/main" id="{00000000-0008-0000-0000-00002F000000}"/>
                </a:ext>
              </a:extLst>
            </xdr:cNvPr>
            <xdr:cNvSpPr txBox="1"/>
          </xdr:nvSpPr>
          <xdr:spPr>
            <a:xfrm>
              <a:off x="5212194" y="142309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486063</xdr:colOff>
      <xdr:row>70</xdr:row>
      <xdr:rowOff>6062</xdr:rowOff>
    </xdr:from>
    <xdr:ext cx="109967"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544896"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0" name="TextBox 39">
              <a:extLst>
                <a:ext uri="{FF2B5EF4-FFF2-40B4-BE49-F238E27FC236}">
                  <a16:creationId xmlns:a16="http://schemas.microsoft.com/office/drawing/2014/main" id="{00000000-0008-0000-0000-000030000000}"/>
                </a:ext>
              </a:extLst>
            </xdr:cNvPr>
            <xdr:cNvSpPr txBox="1"/>
          </xdr:nvSpPr>
          <xdr:spPr>
            <a:xfrm>
              <a:off x="5544896"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77</xdr:row>
      <xdr:rowOff>15586</xdr:rowOff>
    </xdr:from>
    <xdr:ext cx="411291" cy="110590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1" name="TextBox 40">
              <a:extLst>
                <a:ext uri="{FF2B5EF4-FFF2-40B4-BE49-F238E27FC236}">
                  <a16:creationId xmlns:a16="http://schemas.microsoft.com/office/drawing/2014/main" id="{00000000-0008-0000-0000-000031000000}"/>
                </a:ext>
              </a:extLst>
            </xdr:cNvPr>
            <xdr:cNvSpPr txBox="1"/>
          </xdr:nvSpPr>
          <xdr:spPr>
            <a:xfrm>
              <a:off x="5208154" y="158270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78</xdr:row>
      <xdr:rowOff>5003</xdr:rowOff>
    </xdr:from>
    <xdr:ext cx="355949" cy="1056928"/>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208154" y="160175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000-000032000000}"/>
                </a:ext>
              </a:extLst>
            </xdr:cNvPr>
            <xdr:cNvSpPr txBox="1"/>
          </xdr:nvSpPr>
          <xdr:spPr>
            <a:xfrm>
              <a:off x="5208154" y="160175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477404</xdr:colOff>
      <xdr:row>72</xdr:row>
      <xdr:rowOff>196561</xdr:rowOff>
    </xdr:from>
    <xdr:ext cx="217446" cy="1115441"/>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220854" y="15017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000-000033000000}"/>
                </a:ext>
              </a:extLst>
            </xdr:cNvPr>
            <xdr:cNvSpPr txBox="1"/>
          </xdr:nvSpPr>
          <xdr:spPr>
            <a:xfrm>
              <a:off x="5220854" y="15017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468744</xdr:colOff>
      <xdr:row>74</xdr:row>
      <xdr:rowOff>578</xdr:rowOff>
    </xdr:from>
    <xdr:ext cx="371969" cy="1119476"/>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212194" y="152310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4" name="TextBox 43">
              <a:extLst>
                <a:ext uri="{FF2B5EF4-FFF2-40B4-BE49-F238E27FC236}">
                  <a16:creationId xmlns:a16="http://schemas.microsoft.com/office/drawing/2014/main" id="{00000000-0008-0000-0000-000034000000}"/>
                </a:ext>
              </a:extLst>
            </xdr:cNvPr>
            <xdr:cNvSpPr txBox="1"/>
          </xdr:nvSpPr>
          <xdr:spPr>
            <a:xfrm>
              <a:off x="5212194" y="152310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512618</xdr:colOff>
      <xdr:row>75</xdr:row>
      <xdr:rowOff>866</xdr:rowOff>
    </xdr:from>
    <xdr:ext cx="90987"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571451" y="15283199"/>
              <a:ext cx="909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r>
                      <a:rPr lang="en-GB" sz="1100" b="0" i="1">
                        <a:latin typeface="Cambria Math" panose="02040503050406030204" pitchFamily="18" charset="0"/>
                      </a:rPr>
                      <m:t>𝑡</m:t>
                    </m:r>
                  </m:oMath>
                </m:oMathPara>
              </a14:m>
              <a:endParaRPr lang="en-GB" sz="1100"/>
            </a:p>
          </xdr:txBody>
        </xdr:sp>
      </mc:Choice>
      <mc:Fallback xmlns="">
        <xdr:sp macro="" textlink="">
          <xdr:nvSpPr>
            <xdr:cNvPr id="45" name="TextBox 44">
              <a:extLst>
                <a:ext uri="{FF2B5EF4-FFF2-40B4-BE49-F238E27FC236}">
                  <a16:creationId xmlns:a16="http://schemas.microsoft.com/office/drawing/2014/main" id="{00000000-0008-0000-0000-000035000000}"/>
                </a:ext>
              </a:extLst>
            </xdr:cNvPr>
            <xdr:cNvSpPr txBox="1"/>
          </xdr:nvSpPr>
          <xdr:spPr>
            <a:xfrm>
              <a:off x="5571451" y="15283199"/>
              <a:ext cx="909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477404</xdr:colOff>
      <xdr:row>71</xdr:row>
      <xdr:rowOff>196561</xdr:rowOff>
    </xdr:from>
    <xdr:ext cx="220347" cy="1119476"/>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220854" y="148174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6" name="TextBox 45">
              <a:extLst>
                <a:ext uri="{FF2B5EF4-FFF2-40B4-BE49-F238E27FC236}">
                  <a16:creationId xmlns:a16="http://schemas.microsoft.com/office/drawing/2014/main" id="{00000000-0008-0000-0000-000036000000}"/>
                </a:ext>
              </a:extLst>
            </xdr:cNvPr>
            <xdr:cNvSpPr txBox="1"/>
          </xdr:nvSpPr>
          <xdr:spPr>
            <a:xfrm>
              <a:off x="5220854" y="148174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468744</xdr:colOff>
      <xdr:row>71</xdr:row>
      <xdr:rowOff>6062</xdr:rowOff>
    </xdr:from>
    <xdr:ext cx="191531" cy="1119476"/>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212194" y="146269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000-000037000000}"/>
                </a:ext>
              </a:extLst>
            </xdr:cNvPr>
            <xdr:cNvSpPr txBox="1"/>
          </xdr:nvSpPr>
          <xdr:spPr>
            <a:xfrm>
              <a:off x="5212194" y="146269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468744</xdr:colOff>
      <xdr:row>54</xdr:row>
      <xdr:rowOff>6062</xdr:rowOff>
    </xdr:from>
    <xdr:ext cx="200844" cy="1119476"/>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000-000038000000}"/>
                </a:ext>
              </a:extLst>
            </xdr:cNvPr>
            <xdr:cNvSpPr txBox="1"/>
          </xdr:nvSpPr>
          <xdr:spPr>
            <a:xfrm>
              <a:off x="5212194" y="11226512"/>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468744</xdr:colOff>
      <xdr:row>65</xdr:row>
      <xdr:rowOff>578</xdr:rowOff>
    </xdr:from>
    <xdr:ext cx="171826" cy="1119476"/>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000-000039000000}"/>
                </a:ext>
              </a:extLst>
            </xdr:cNvPr>
            <xdr:cNvSpPr txBox="1"/>
          </xdr:nvSpPr>
          <xdr:spPr>
            <a:xfrm>
              <a:off x="5212194" y="134308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71004</xdr:colOff>
      <xdr:row>104</xdr:row>
      <xdr:rowOff>5003</xdr:rowOff>
    </xdr:from>
    <xdr:ext cx="65" cy="172227"/>
    <xdr:sp macro="" textlink="">
      <xdr:nvSpPr>
        <xdr:cNvPr id="50" name="TextBox 49">
          <a:extLst>
            <a:ext uri="{FF2B5EF4-FFF2-40B4-BE49-F238E27FC236}">
              <a16:creationId xmlns:a16="http://schemas.microsoft.com/office/drawing/2014/main" id="{00000000-0008-0000-0000-00003A000000}"/>
            </a:ext>
          </a:extLst>
        </xdr:cNvPr>
        <xdr:cNvSpPr txBox="1"/>
      </xdr:nvSpPr>
      <xdr:spPr>
        <a:xfrm>
          <a:off x="5129837" y="211187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551295</xdr:colOff>
      <xdr:row>103</xdr:row>
      <xdr:rowOff>14721</xdr:rowOff>
    </xdr:from>
    <xdr:ext cx="155364" cy="181140"/>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610128"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000-00003B000000}"/>
                </a:ext>
              </a:extLst>
            </xdr:cNvPr>
            <xdr:cNvSpPr txBox="1"/>
          </xdr:nvSpPr>
          <xdr:spPr>
            <a:xfrm>
              <a:off x="5610128"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486643</xdr:colOff>
      <xdr:row>83</xdr:row>
      <xdr:rowOff>19050</xdr:rowOff>
    </xdr:from>
    <xdr:ext cx="329023" cy="1119476"/>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000-00003C000000}"/>
                </a:ext>
              </a:extLst>
            </xdr:cNvPr>
            <xdr:cNvSpPr txBox="1"/>
          </xdr:nvSpPr>
          <xdr:spPr>
            <a:xfrm>
              <a:off x="5230093" y="170402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81</xdr:row>
      <xdr:rowOff>15586</xdr:rowOff>
    </xdr:from>
    <xdr:ext cx="458389" cy="1068292"/>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183333" y="166367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3" name="TextBox 52">
              <a:extLst>
                <a:ext uri="{FF2B5EF4-FFF2-40B4-BE49-F238E27FC236}">
                  <a16:creationId xmlns:a16="http://schemas.microsoft.com/office/drawing/2014/main" id="{00000000-0008-0000-0000-00003D000000}"/>
                </a:ext>
              </a:extLst>
            </xdr:cNvPr>
            <xdr:cNvSpPr txBox="1"/>
          </xdr:nvSpPr>
          <xdr:spPr>
            <a:xfrm>
              <a:off x="5183333" y="166367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84</xdr:row>
      <xdr:rowOff>1731</xdr:rowOff>
    </xdr:from>
    <xdr:ext cx="354114" cy="1119476"/>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000-00003E000000}"/>
                </a:ext>
              </a:extLst>
            </xdr:cNvPr>
            <xdr:cNvSpPr txBox="1"/>
          </xdr:nvSpPr>
          <xdr:spPr>
            <a:xfrm>
              <a:off x="5221432" y="172229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85</xdr:row>
      <xdr:rowOff>1731</xdr:rowOff>
    </xdr:from>
    <xdr:ext cx="359176" cy="1096902"/>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000-00003F000000}"/>
                </a:ext>
              </a:extLst>
            </xdr:cNvPr>
            <xdr:cNvSpPr txBox="1"/>
          </xdr:nvSpPr>
          <xdr:spPr>
            <a:xfrm>
              <a:off x="5221432" y="174229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86</xdr:row>
      <xdr:rowOff>1731</xdr:rowOff>
    </xdr:from>
    <xdr:ext cx="330639" cy="110990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000-000040000000}"/>
                </a:ext>
              </a:extLst>
            </xdr:cNvPr>
            <xdr:cNvSpPr txBox="1"/>
          </xdr:nvSpPr>
          <xdr:spPr>
            <a:xfrm>
              <a:off x="5221432" y="176229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87</xdr:row>
      <xdr:rowOff>1731</xdr:rowOff>
    </xdr:from>
    <xdr:ext cx="362150" cy="1105907"/>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000-000041000000}"/>
                </a:ext>
              </a:extLst>
            </xdr:cNvPr>
            <xdr:cNvSpPr txBox="1"/>
          </xdr:nvSpPr>
          <xdr:spPr>
            <a:xfrm>
              <a:off x="5221432" y="178230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88</xdr:row>
      <xdr:rowOff>1731</xdr:rowOff>
    </xdr:from>
    <xdr:ext cx="367226" cy="110590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8" name="TextBox 57">
              <a:extLst>
                <a:ext uri="{FF2B5EF4-FFF2-40B4-BE49-F238E27FC236}">
                  <a16:creationId xmlns:a16="http://schemas.microsoft.com/office/drawing/2014/main" id="{00000000-0008-0000-0000-000042000000}"/>
                </a:ext>
              </a:extLst>
            </xdr:cNvPr>
            <xdr:cNvSpPr txBox="1"/>
          </xdr:nvSpPr>
          <xdr:spPr>
            <a:xfrm>
              <a:off x="5221432" y="180230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89</xdr:row>
      <xdr:rowOff>1731</xdr:rowOff>
    </xdr:from>
    <xdr:ext cx="337435" cy="1115441"/>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000-000043000000}"/>
                </a:ext>
              </a:extLst>
            </xdr:cNvPr>
            <xdr:cNvSpPr txBox="1"/>
          </xdr:nvSpPr>
          <xdr:spPr>
            <a:xfrm>
              <a:off x="5221432" y="182230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109</xdr:row>
      <xdr:rowOff>1731</xdr:rowOff>
    </xdr:from>
    <xdr:ext cx="371680" cy="1059669"/>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000-000044000000}"/>
                </a:ext>
              </a:extLst>
            </xdr:cNvPr>
            <xdr:cNvSpPr txBox="1"/>
          </xdr:nvSpPr>
          <xdr:spPr>
            <a:xfrm>
              <a:off x="5221432" y="222235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110</xdr:row>
      <xdr:rowOff>1731</xdr:rowOff>
    </xdr:from>
    <xdr:ext cx="376642" cy="1059669"/>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000-000045000000}"/>
                </a:ext>
              </a:extLst>
            </xdr:cNvPr>
            <xdr:cNvSpPr txBox="1"/>
          </xdr:nvSpPr>
          <xdr:spPr>
            <a:xfrm>
              <a:off x="5221432" y="224235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111</xdr:row>
      <xdr:rowOff>1731</xdr:rowOff>
    </xdr:from>
    <xdr:ext cx="346808" cy="1059669"/>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000-000046000000}"/>
                </a:ext>
              </a:extLst>
            </xdr:cNvPr>
            <xdr:cNvSpPr txBox="1"/>
          </xdr:nvSpPr>
          <xdr:spPr>
            <a:xfrm>
              <a:off x="5221432" y="226236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82</xdr:row>
      <xdr:rowOff>1732</xdr:rowOff>
    </xdr:from>
    <xdr:ext cx="1042401" cy="1974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63" name="TextBox 62">
              <a:extLst>
                <a:ext uri="{FF2B5EF4-FFF2-40B4-BE49-F238E27FC236}">
                  <a16:creationId xmlns:a16="http://schemas.microsoft.com/office/drawing/2014/main" id="{00000000-0008-0000-0000-000047000000}"/>
                </a:ext>
              </a:extLst>
            </xdr:cNvPr>
            <xdr:cNvSpPr txBox="1"/>
          </xdr:nvSpPr>
          <xdr:spPr>
            <a:xfrm>
              <a:off x="4823114"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468744</xdr:colOff>
      <xdr:row>91</xdr:row>
      <xdr:rowOff>578</xdr:rowOff>
    </xdr:from>
    <xdr:ext cx="371969" cy="1119476"/>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212194" y="186314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000-000048000000}"/>
                </a:ext>
              </a:extLst>
            </xdr:cNvPr>
            <xdr:cNvSpPr txBox="1"/>
          </xdr:nvSpPr>
          <xdr:spPr>
            <a:xfrm>
              <a:off x="5212194" y="186314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469322</xdr:colOff>
      <xdr:row>92</xdr:row>
      <xdr:rowOff>27708</xdr:rowOff>
    </xdr:from>
    <xdr:ext cx="179392" cy="1119476"/>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212772" y="188491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oMath>
                </m:oMathPara>
              </a14:m>
              <a:endParaRPr lang="en-GB" sz="1100"/>
            </a:p>
          </xdr:txBody>
        </xdr:sp>
      </mc:Choice>
      <mc:Fallback xmlns="">
        <xdr:sp macro="" textlink="">
          <xdr:nvSpPr>
            <xdr:cNvPr id="65" name="TextBox 64">
              <a:extLst>
                <a:ext uri="{FF2B5EF4-FFF2-40B4-BE49-F238E27FC236}">
                  <a16:creationId xmlns:a16="http://schemas.microsoft.com/office/drawing/2014/main" id="{00000000-0008-0000-0000-000049000000}"/>
                </a:ext>
              </a:extLst>
            </xdr:cNvPr>
            <xdr:cNvSpPr txBox="1"/>
          </xdr:nvSpPr>
          <xdr:spPr>
            <a:xfrm>
              <a:off x="5212772" y="188491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450273</xdr:colOff>
      <xdr:row>94</xdr:row>
      <xdr:rowOff>18184</xdr:rowOff>
    </xdr:from>
    <xdr:ext cx="530056" cy="1050612"/>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193723" y="192301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000-00004A000000}"/>
                </a:ext>
              </a:extLst>
            </xdr:cNvPr>
            <xdr:cNvSpPr txBox="1"/>
          </xdr:nvSpPr>
          <xdr:spPr>
            <a:xfrm>
              <a:off x="5193723" y="192301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450273</xdr:colOff>
      <xdr:row>95</xdr:row>
      <xdr:rowOff>18184</xdr:rowOff>
    </xdr:from>
    <xdr:ext cx="474278" cy="1056928"/>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193723" y="194301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000-00004B000000}"/>
                </a:ext>
              </a:extLst>
            </xdr:cNvPr>
            <xdr:cNvSpPr txBox="1"/>
          </xdr:nvSpPr>
          <xdr:spPr>
            <a:xfrm>
              <a:off x="5193723" y="194301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406977</xdr:colOff>
      <xdr:row>90</xdr:row>
      <xdr:rowOff>0</xdr:rowOff>
    </xdr:from>
    <xdr:ext cx="442528" cy="1084584"/>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150427" y="184213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000-00004C000000}"/>
                </a:ext>
              </a:extLst>
            </xdr:cNvPr>
            <xdr:cNvSpPr txBox="1"/>
          </xdr:nvSpPr>
          <xdr:spPr>
            <a:xfrm>
              <a:off x="5150427" y="184213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555047</xdr:colOff>
      <xdr:row>105</xdr:row>
      <xdr:rowOff>18185</xdr:rowOff>
    </xdr:from>
    <xdr:ext cx="126958" cy="182229"/>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613880"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000-00004D000000}"/>
                </a:ext>
              </a:extLst>
            </xdr:cNvPr>
            <xdr:cNvSpPr txBox="1"/>
          </xdr:nvSpPr>
          <xdr:spPr>
            <a:xfrm>
              <a:off x="5613880"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105</xdr:row>
      <xdr:rowOff>0</xdr:rowOff>
    </xdr:from>
    <xdr:ext cx="1373364" cy="1112556"/>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0" name="TextBox 69">
              <a:extLst>
                <a:ext uri="{FF2B5EF4-FFF2-40B4-BE49-F238E27FC236}">
                  <a16:creationId xmlns:a16="http://schemas.microsoft.com/office/drawing/2014/main" id="{00000000-0008-0000-0000-00004E000000}"/>
                </a:ext>
              </a:extLst>
            </xdr:cNvPr>
            <xdr:cNvSpPr txBox="1"/>
          </xdr:nvSpPr>
          <xdr:spPr>
            <a:xfrm>
              <a:off x="10288732" y="214217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103</xdr:row>
      <xdr:rowOff>0</xdr:rowOff>
    </xdr:from>
    <xdr:ext cx="2384700" cy="110590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1" name="TextBox 70">
              <a:extLst>
                <a:ext uri="{FF2B5EF4-FFF2-40B4-BE49-F238E27FC236}">
                  <a16:creationId xmlns:a16="http://schemas.microsoft.com/office/drawing/2014/main" id="{00000000-0008-0000-0000-00004F000000}"/>
                </a:ext>
              </a:extLst>
            </xdr:cNvPr>
            <xdr:cNvSpPr txBox="1"/>
          </xdr:nvSpPr>
          <xdr:spPr>
            <a:xfrm>
              <a:off x="10288732" y="210216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83</xdr:row>
      <xdr:rowOff>866</xdr:rowOff>
    </xdr:from>
    <xdr:ext cx="1858687" cy="1167823"/>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2" name="TextBox 71">
              <a:extLst>
                <a:ext uri="{FF2B5EF4-FFF2-40B4-BE49-F238E27FC236}">
                  <a16:creationId xmlns:a16="http://schemas.microsoft.com/office/drawing/2014/main" id="{00000000-0008-0000-0000-000050000000}"/>
                </a:ext>
              </a:extLst>
            </xdr:cNvPr>
            <xdr:cNvSpPr txBox="1"/>
          </xdr:nvSpPr>
          <xdr:spPr>
            <a:xfrm>
              <a:off x="10299124" y="170315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81</xdr:row>
      <xdr:rowOff>15586</xdr:rowOff>
    </xdr:from>
    <xdr:ext cx="1616384" cy="1058861"/>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73" name="TextBox 72">
              <a:extLst>
                <a:ext uri="{FF2B5EF4-FFF2-40B4-BE49-F238E27FC236}">
                  <a16:creationId xmlns:a16="http://schemas.microsoft.com/office/drawing/2014/main" id="{00000000-0008-0000-0000-000051000000}"/>
                </a:ext>
              </a:extLst>
            </xdr:cNvPr>
            <xdr:cNvSpPr txBox="1"/>
          </xdr:nvSpPr>
          <xdr:spPr>
            <a:xfrm>
              <a:off x="10287001" y="166367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82</xdr:row>
      <xdr:rowOff>1732</xdr:rowOff>
    </xdr:from>
    <xdr:ext cx="1051964" cy="1974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4" name="TextBox 73">
              <a:extLst>
                <a:ext uri="{FF2B5EF4-FFF2-40B4-BE49-F238E27FC236}">
                  <a16:creationId xmlns:a16="http://schemas.microsoft.com/office/drawing/2014/main" id="{00000000-0008-0000-0000-000052000000}"/>
                </a:ext>
              </a:extLst>
            </xdr:cNvPr>
            <xdr:cNvSpPr txBox="1"/>
          </xdr:nvSpPr>
          <xdr:spPr>
            <a:xfrm>
              <a:off x="10325100" y="168228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372341</xdr:colOff>
      <xdr:row>106</xdr:row>
      <xdr:rowOff>8659</xdr:rowOff>
    </xdr:from>
    <xdr:ext cx="703192" cy="1063980"/>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115791" y="216304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5" name="TextBox 74">
              <a:extLst>
                <a:ext uri="{FF2B5EF4-FFF2-40B4-BE49-F238E27FC236}">
                  <a16:creationId xmlns:a16="http://schemas.microsoft.com/office/drawing/2014/main" id="{00000000-0008-0000-0000-000053000000}"/>
                </a:ext>
              </a:extLst>
            </xdr:cNvPr>
            <xdr:cNvSpPr txBox="1"/>
          </xdr:nvSpPr>
          <xdr:spPr>
            <a:xfrm>
              <a:off x="5115791" y="216304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368878</xdr:colOff>
      <xdr:row>106</xdr:row>
      <xdr:rowOff>195696</xdr:rowOff>
    </xdr:from>
    <xdr:ext cx="697434" cy="112214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112328" y="218174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6" name="TextBox 75">
              <a:extLst>
                <a:ext uri="{FF2B5EF4-FFF2-40B4-BE49-F238E27FC236}">
                  <a16:creationId xmlns:a16="http://schemas.microsoft.com/office/drawing/2014/main" id="{00000000-0008-0000-0000-000054000000}"/>
                </a:ext>
              </a:extLst>
            </xdr:cNvPr>
            <xdr:cNvSpPr txBox="1"/>
          </xdr:nvSpPr>
          <xdr:spPr>
            <a:xfrm>
              <a:off x="5112328" y="218174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6</xdr:col>
      <xdr:colOff>95250</xdr:colOff>
      <xdr:row>106</xdr:row>
      <xdr:rowOff>17319</xdr:rowOff>
    </xdr:from>
    <xdr:ext cx="2284165" cy="99230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7" name="TextBox 76">
              <a:extLst>
                <a:ext uri="{FF2B5EF4-FFF2-40B4-BE49-F238E27FC236}">
                  <a16:creationId xmlns:a16="http://schemas.microsoft.com/office/drawing/2014/main" id="{00000000-0008-0000-0000-000055000000}"/>
                </a:ext>
              </a:extLst>
            </xdr:cNvPr>
            <xdr:cNvSpPr txBox="1"/>
          </xdr:nvSpPr>
          <xdr:spPr>
            <a:xfrm>
              <a:off x="10306050" y="216390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86591</xdr:colOff>
      <xdr:row>107</xdr:row>
      <xdr:rowOff>8659</xdr:rowOff>
    </xdr:from>
    <xdr:ext cx="2248135" cy="948339"/>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78" name="TextBox 77">
              <a:extLst>
                <a:ext uri="{FF2B5EF4-FFF2-40B4-BE49-F238E27FC236}">
                  <a16:creationId xmlns:a16="http://schemas.microsoft.com/office/drawing/2014/main" id="{00000000-0008-0000-0000-000056000000}"/>
                </a:ext>
              </a:extLst>
            </xdr:cNvPr>
            <xdr:cNvSpPr txBox="1"/>
          </xdr:nvSpPr>
          <xdr:spPr>
            <a:xfrm>
              <a:off x="10297391" y="218304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115</xdr:row>
      <xdr:rowOff>8659</xdr:rowOff>
    </xdr:from>
    <xdr:ext cx="271232" cy="110590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79" name="TextBox 78">
              <a:extLst>
                <a:ext uri="{FF2B5EF4-FFF2-40B4-BE49-F238E27FC236}">
                  <a16:creationId xmlns:a16="http://schemas.microsoft.com/office/drawing/2014/main" id="{00000000-0008-0000-0000-000057000000}"/>
                </a:ext>
              </a:extLst>
            </xdr:cNvPr>
            <xdr:cNvSpPr txBox="1"/>
          </xdr:nvSpPr>
          <xdr:spPr>
            <a:xfrm>
              <a:off x="5228359" y="234306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116</xdr:row>
      <xdr:rowOff>5195</xdr:rowOff>
    </xdr:from>
    <xdr:ext cx="241426" cy="1177410"/>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0" name="TextBox 79">
              <a:extLst>
                <a:ext uri="{FF2B5EF4-FFF2-40B4-BE49-F238E27FC236}">
                  <a16:creationId xmlns:a16="http://schemas.microsoft.com/office/drawing/2014/main" id="{00000000-0008-0000-0000-000058000000}"/>
                </a:ext>
              </a:extLst>
            </xdr:cNvPr>
            <xdr:cNvSpPr txBox="1"/>
          </xdr:nvSpPr>
          <xdr:spPr>
            <a:xfrm>
              <a:off x="5207577" y="236271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114</xdr:row>
      <xdr:rowOff>35502</xdr:rowOff>
    </xdr:from>
    <xdr:ext cx="274349" cy="1050612"/>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1" name="TextBox 80">
              <a:extLst>
                <a:ext uri="{FF2B5EF4-FFF2-40B4-BE49-F238E27FC236}">
                  <a16:creationId xmlns:a16="http://schemas.microsoft.com/office/drawing/2014/main" id="{00000000-0008-0000-0000-000059000000}"/>
                </a:ext>
              </a:extLst>
            </xdr:cNvPr>
            <xdr:cNvSpPr txBox="1"/>
          </xdr:nvSpPr>
          <xdr:spPr>
            <a:xfrm>
              <a:off x="5219700" y="232479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94</xdr:row>
      <xdr:rowOff>18184</xdr:rowOff>
    </xdr:from>
    <xdr:ext cx="2335761" cy="956698"/>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82" name="TextBox 81">
              <a:extLst>
                <a:ext uri="{FF2B5EF4-FFF2-40B4-BE49-F238E27FC236}">
                  <a16:creationId xmlns:a16="http://schemas.microsoft.com/office/drawing/2014/main" id="{00000000-0008-0000-0000-00005A000000}"/>
                </a:ext>
              </a:extLst>
            </xdr:cNvPr>
            <xdr:cNvSpPr txBox="1"/>
          </xdr:nvSpPr>
          <xdr:spPr>
            <a:xfrm>
              <a:off x="10280073" y="19230109"/>
              <a:ext cx="1234890" cy="1688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6</xdr:col>
      <xdr:colOff>69273</xdr:colOff>
      <xdr:row>95</xdr:row>
      <xdr:rowOff>0</xdr:rowOff>
    </xdr:from>
    <xdr:ext cx="2422388" cy="1004124"/>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00000000-0008-0000-0000-00005B000000}"/>
                </a:ext>
              </a:extLst>
            </xdr:cNvPr>
            <xdr:cNvSpPr txBox="1"/>
          </xdr:nvSpPr>
          <xdr:spPr>
            <a:xfrm>
              <a:off x="10280073" y="19421475"/>
              <a:ext cx="133087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𝑂𝑀𝑑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𝑂𝑀𝑑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83" name="TextBox 82">
              <a:extLst>
                <a:ext uri="{FF2B5EF4-FFF2-40B4-BE49-F238E27FC236}">
                  <a16:creationId xmlns:a16="http://schemas.microsoft.com/office/drawing/2014/main" id="{00000000-0008-0000-0000-00005B000000}"/>
                </a:ext>
              </a:extLst>
            </xdr:cNvPr>
            <xdr:cNvSpPr txBox="1"/>
          </xdr:nvSpPr>
          <xdr:spPr>
            <a:xfrm>
              <a:off x="10280073" y="19421475"/>
              <a:ext cx="1330877"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r>
                <a:rPr lang="en-GB" sz="1000"/>
                <a:t>=</a:t>
              </a:r>
              <a:r>
                <a:rPr lang="en-GB" sz="1000" b="0" i="0">
                  <a:solidFill>
                    <a:schemeClr val="tx1"/>
                  </a:solidFill>
                  <a:effectLst/>
                  <a:latin typeface="Cambria Math" panose="02040503050406030204" pitchFamily="18" charset="0"/>
                  <a:ea typeface="+mn-ea"/>
                  <a:cs typeface="+mn-cs"/>
                </a:rPr>
                <a:t>𝐶 ̇_𝑂𝑀𝑑^~</a:t>
              </a:r>
              <a:endParaRPr lang="en-GB" sz="1000"/>
            </a:p>
          </xdr:txBody>
        </xdr:sp>
      </mc:Fallback>
    </mc:AlternateContent>
    <xdr:clientData/>
  </xdr:oneCellAnchor>
  <xdr:oneCellAnchor>
    <xdr:from>
      <xdr:col>2</xdr:col>
      <xdr:colOff>477982</xdr:colOff>
      <xdr:row>112</xdr:row>
      <xdr:rowOff>1731</xdr:rowOff>
    </xdr:from>
    <xdr:ext cx="393674" cy="1105907"/>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000-00005C000000}"/>
                </a:ext>
              </a:extLst>
            </xdr:cNvPr>
            <xdr:cNvSpPr txBox="1"/>
          </xdr:nvSpPr>
          <xdr:spPr>
            <a:xfrm>
              <a:off x="5221432" y="228236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112</xdr:row>
      <xdr:rowOff>1731</xdr:rowOff>
    </xdr:from>
    <xdr:ext cx="867314" cy="1112556"/>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5" name="TextBox 84">
              <a:extLst>
                <a:ext uri="{FF2B5EF4-FFF2-40B4-BE49-F238E27FC236}">
                  <a16:creationId xmlns:a16="http://schemas.microsoft.com/office/drawing/2014/main" id="{00000000-0008-0000-0000-00005D000000}"/>
                </a:ext>
              </a:extLst>
            </xdr:cNvPr>
            <xdr:cNvSpPr txBox="1"/>
          </xdr:nvSpPr>
          <xdr:spPr>
            <a:xfrm>
              <a:off x="10688782" y="228236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108</xdr:row>
      <xdr:rowOff>1731</xdr:rowOff>
    </xdr:from>
    <xdr:ext cx="299740" cy="1113308"/>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86" name="TextBox 85">
              <a:extLst>
                <a:ext uri="{FF2B5EF4-FFF2-40B4-BE49-F238E27FC236}">
                  <a16:creationId xmlns:a16="http://schemas.microsoft.com/office/drawing/2014/main" id="{00000000-0008-0000-0000-00005E000000}"/>
                </a:ext>
              </a:extLst>
            </xdr:cNvPr>
            <xdr:cNvSpPr txBox="1"/>
          </xdr:nvSpPr>
          <xdr:spPr>
            <a:xfrm>
              <a:off x="5221432" y="220235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109</xdr:row>
      <xdr:rowOff>1731</xdr:rowOff>
    </xdr:from>
    <xdr:ext cx="825342" cy="1113308"/>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000-00005F000000}"/>
                </a:ext>
              </a:extLst>
            </xdr:cNvPr>
            <xdr:cNvSpPr txBox="1"/>
          </xdr:nvSpPr>
          <xdr:spPr>
            <a:xfrm>
              <a:off x="10688782" y="222235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117</xdr:row>
      <xdr:rowOff>5195</xdr:rowOff>
    </xdr:from>
    <xdr:ext cx="299368" cy="117741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000-000060000000}"/>
                </a:ext>
              </a:extLst>
            </xdr:cNvPr>
            <xdr:cNvSpPr txBox="1"/>
          </xdr:nvSpPr>
          <xdr:spPr>
            <a:xfrm>
              <a:off x="5207577" y="238272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71004</xdr:colOff>
      <xdr:row>114</xdr:row>
      <xdr:rowOff>5003</xdr:rowOff>
    </xdr:from>
    <xdr:ext cx="65" cy="172227"/>
    <xdr:sp macro="" textlink="">
      <xdr:nvSpPr>
        <xdr:cNvPr id="89" name="TextBox 88">
          <a:extLst>
            <a:ext uri="{FF2B5EF4-FFF2-40B4-BE49-F238E27FC236}">
              <a16:creationId xmlns:a16="http://schemas.microsoft.com/office/drawing/2014/main" id="{00000000-0008-0000-0000-000061000000}"/>
            </a:ext>
          </a:extLst>
        </xdr:cNvPr>
        <xdr:cNvSpPr txBox="1"/>
      </xdr:nvSpPr>
      <xdr:spPr>
        <a:xfrm>
          <a:off x="5129837" y="23129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503670</xdr:colOff>
      <xdr:row>113</xdr:row>
      <xdr:rowOff>14721</xdr:rowOff>
    </xdr:from>
    <xdr:ext cx="138628" cy="110590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0" name="TextBox 89">
              <a:extLst>
                <a:ext uri="{FF2B5EF4-FFF2-40B4-BE49-F238E27FC236}">
                  <a16:creationId xmlns:a16="http://schemas.microsoft.com/office/drawing/2014/main" id="{00000000-0008-0000-0000-000062000000}"/>
                </a:ext>
              </a:extLst>
            </xdr:cNvPr>
            <xdr:cNvSpPr txBox="1"/>
          </xdr:nvSpPr>
          <xdr:spPr>
            <a:xfrm>
              <a:off x="5247120" y="23036646"/>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1" name="TextBox 90">
              <a:extLst>
                <a:ext uri="{FF2B5EF4-FFF2-40B4-BE49-F238E27FC236}">
                  <a16:creationId xmlns:a16="http://schemas.microsoft.com/office/drawing/2014/main" id="{00000000-0008-0000-0000-000063000000}"/>
                </a:ext>
              </a:extLst>
            </xdr:cNvPr>
            <xdr:cNvSpPr txBox="1"/>
          </xdr:nvSpPr>
          <xdr:spPr>
            <a:xfrm>
              <a:off x="4823114" y="198232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450273</xdr:colOff>
      <xdr:row>93</xdr:row>
      <xdr:rowOff>8659</xdr:rowOff>
    </xdr:from>
    <xdr:ext cx="481070" cy="1073152"/>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193723" y="190300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000-000064000000}"/>
                </a:ext>
              </a:extLst>
            </xdr:cNvPr>
            <xdr:cNvSpPr txBox="1"/>
          </xdr:nvSpPr>
          <xdr:spPr>
            <a:xfrm>
              <a:off x="5193723" y="190300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76</xdr:row>
      <xdr:rowOff>5002</xdr:rowOff>
    </xdr:from>
    <xdr:ext cx="362891" cy="1063980"/>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208154" y="156175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000-000065000000}"/>
                </a:ext>
              </a:extLst>
            </xdr:cNvPr>
            <xdr:cNvSpPr txBox="1"/>
          </xdr:nvSpPr>
          <xdr:spPr>
            <a:xfrm>
              <a:off x="5208154" y="156175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421349</xdr:colOff>
      <xdr:row>36</xdr:row>
      <xdr:rowOff>4629</xdr:rowOff>
    </xdr:from>
    <xdr:ext cx="963483" cy="1143312"/>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00000000-0008-0000-0000-00007D000000}"/>
                </a:ext>
              </a:extLst>
            </xdr:cNvPr>
            <xdr:cNvSpPr txBox="1"/>
          </xdr:nvSpPr>
          <xdr:spPr>
            <a:xfrm>
              <a:off x="5164799" y="7624629"/>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13" name="TextBox 112">
              <a:extLst>
                <a:ext uri="{FF2B5EF4-FFF2-40B4-BE49-F238E27FC236}">
                  <a16:creationId xmlns:a16="http://schemas.microsoft.com/office/drawing/2014/main" id="{00000000-0008-0000-0000-00007D000000}"/>
                </a:ext>
              </a:extLst>
            </xdr:cNvPr>
            <xdr:cNvSpPr txBox="1"/>
          </xdr:nvSpPr>
          <xdr:spPr>
            <a:xfrm>
              <a:off x="5164799" y="7624629"/>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𝑝_𝑠 )</a:t>
              </a:r>
              <a:endParaRPr lang="en-GB" sz="1100"/>
            </a:p>
          </xdr:txBody>
        </xdr:sp>
      </mc:Fallback>
    </mc:AlternateContent>
    <xdr:clientData/>
  </xdr:oneCellAnchor>
  <xdr:oneCellAnchor>
    <xdr:from>
      <xdr:col>2</xdr:col>
      <xdr:colOff>421349</xdr:colOff>
      <xdr:row>35</xdr:row>
      <xdr:rowOff>4629</xdr:rowOff>
    </xdr:from>
    <xdr:ext cx="954128" cy="1143312"/>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00000000-0008-0000-0000-00007E000000}"/>
                </a:ext>
              </a:extLst>
            </xdr:cNvPr>
            <xdr:cNvSpPr txBox="1"/>
          </xdr:nvSpPr>
          <xdr:spPr>
            <a:xfrm>
              <a:off x="5164799" y="7424604"/>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14" name="TextBox 113">
              <a:extLst>
                <a:ext uri="{FF2B5EF4-FFF2-40B4-BE49-F238E27FC236}">
                  <a16:creationId xmlns:a16="http://schemas.microsoft.com/office/drawing/2014/main" id="{00000000-0008-0000-0000-00007E000000}"/>
                </a:ext>
              </a:extLst>
            </xdr:cNvPr>
            <xdr:cNvSpPr txBox="1"/>
          </xdr:nvSpPr>
          <xdr:spPr>
            <a:xfrm>
              <a:off x="5164799" y="7424604"/>
              <a:ext cx="32739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37</xdr:row>
      <xdr:rowOff>4629</xdr:rowOff>
    </xdr:from>
    <xdr:ext cx="936853" cy="111745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164799" y="7824654"/>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5" name="TextBox 114">
              <a:extLst>
                <a:ext uri="{FF2B5EF4-FFF2-40B4-BE49-F238E27FC236}">
                  <a16:creationId xmlns:a16="http://schemas.microsoft.com/office/drawing/2014/main" id="{00000000-0008-0000-0000-00007F000000}"/>
                </a:ext>
              </a:extLst>
            </xdr:cNvPr>
            <xdr:cNvSpPr txBox="1"/>
          </xdr:nvSpPr>
          <xdr:spPr>
            <a:xfrm>
              <a:off x="5164799" y="7824654"/>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38</xdr:row>
      <xdr:rowOff>4629</xdr:rowOff>
    </xdr:from>
    <xdr:ext cx="951606" cy="1084734"/>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16" name="TextBox 115">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34</xdr:row>
      <xdr:rowOff>4629</xdr:rowOff>
    </xdr:from>
    <xdr:ext cx="1253615" cy="1133540"/>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164799" y="7224579"/>
              <a:ext cx="461858"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𝑈𝐶</m:t>
                            </m:r>
                          </m:sub>
                        </m:sSub>
                      </m:sub>
                    </m:sSub>
                  </m:oMath>
                </m:oMathPara>
              </a14:m>
              <a:endParaRPr lang="en-GB" sz="1100"/>
            </a:p>
          </xdr:txBody>
        </xdr:sp>
      </mc:Choice>
      <mc:Fallback xmlns="">
        <xdr:sp macro="" textlink="">
          <xdr:nvSpPr>
            <xdr:cNvPr id="117" name="TextBox 116">
              <a:extLst>
                <a:ext uri="{FF2B5EF4-FFF2-40B4-BE49-F238E27FC236}">
                  <a16:creationId xmlns:a16="http://schemas.microsoft.com/office/drawing/2014/main" id="{00000000-0008-0000-0000-000081000000}"/>
                </a:ext>
              </a:extLst>
            </xdr:cNvPr>
            <xdr:cNvSpPr txBox="1"/>
          </xdr:nvSpPr>
          <xdr:spPr>
            <a:xfrm>
              <a:off x="5164799" y="7224579"/>
              <a:ext cx="461858"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𝑝_(𝑠,𝑈𝐶) )</a:t>
              </a:r>
              <a:endParaRPr lang="en-GB" sz="1100"/>
            </a:p>
          </xdr:txBody>
        </xdr:sp>
      </mc:Fallback>
    </mc:AlternateContent>
    <xdr:clientData/>
  </xdr:oneCellAnchor>
  <xdr:oneCellAnchor>
    <xdr:from>
      <xdr:col>2</xdr:col>
      <xdr:colOff>421349</xdr:colOff>
      <xdr:row>33</xdr:row>
      <xdr:rowOff>14154</xdr:rowOff>
    </xdr:from>
    <xdr:ext cx="736289" cy="1078216"/>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164799" y="7005504"/>
              <a:ext cx="296428" cy="24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sSubSup>
                          <m:sSubSupPr>
                            <m:ctrlPr>
                              <a:rPr lang="en-GB" sz="1100" b="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𝑓</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up>
                            <m:r>
                              <a:rPr lang="en-GB" sz="1100" b="0" i="1">
                                <a:solidFill>
                                  <a:schemeClr val="tx1"/>
                                </a:solidFill>
                                <a:effectLst/>
                                <a:latin typeface="Cambria Math" panose="02040503050406030204" pitchFamily="18" charset="0"/>
                                <a:ea typeface="Cambria Math" panose="02040503050406030204" pitchFamily="18" charset="0"/>
                                <a:cs typeface="+mn-cs"/>
                              </a:rPr>
                              <m:t>°</m:t>
                            </m:r>
                          </m:sup>
                        </m:sSubSup>
                      </m:e>
                      <m:sub/>
                    </m:sSub>
                  </m:oMath>
                </m:oMathPara>
              </a14:m>
              <a:endParaRPr lang="en-GB" sz="1100"/>
            </a:p>
          </xdr:txBody>
        </xdr:sp>
      </mc:Choice>
      <mc:Fallback xmlns="">
        <xdr:sp macro="" textlink="">
          <xdr:nvSpPr>
            <xdr:cNvPr id="118" name="TextBox 117">
              <a:extLst>
                <a:ext uri="{FF2B5EF4-FFF2-40B4-BE49-F238E27FC236}">
                  <a16:creationId xmlns:a16="http://schemas.microsoft.com/office/drawing/2014/main" id="{00000000-0008-0000-0000-000082000000}"/>
                </a:ext>
              </a:extLst>
            </xdr:cNvPr>
            <xdr:cNvSpPr txBox="1"/>
          </xdr:nvSpPr>
          <xdr:spPr>
            <a:xfrm>
              <a:off x="5164799" y="7005504"/>
              <a:ext cx="296428" cy="241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𝑓_(𝐶 ̇_𝑠)^</a:t>
              </a:r>
              <a:r>
                <a:rPr lang="en-GB" sz="1100" b="0" i="0">
                  <a:solidFill>
                    <a:schemeClr val="tx1"/>
                  </a:solidFill>
                  <a:effectLst/>
                  <a:latin typeface="Cambria Math" panose="02040503050406030204" pitchFamily="18" charset="0"/>
                  <a:ea typeface="Cambria Math" panose="02040503050406030204" pitchFamily="18" charset="0"/>
                  <a:cs typeface="+mn-cs"/>
                </a:rPr>
                <a:t>°〗_</a:t>
              </a:r>
              <a:endParaRPr lang="en-GB" sz="1100"/>
            </a:p>
          </xdr:txBody>
        </xdr:sp>
      </mc:Fallback>
    </mc:AlternateContent>
    <xdr:clientData/>
  </xdr:oneCellAnchor>
  <xdr:oneCellAnchor>
    <xdr:from>
      <xdr:col>2</xdr:col>
      <xdr:colOff>477404</xdr:colOff>
      <xdr:row>147</xdr:row>
      <xdr:rowOff>15586</xdr:rowOff>
    </xdr:from>
    <xdr:ext cx="217446" cy="110590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220854" y="298669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0" name="TextBox 119">
              <a:extLst>
                <a:ext uri="{FF2B5EF4-FFF2-40B4-BE49-F238E27FC236}">
                  <a16:creationId xmlns:a16="http://schemas.microsoft.com/office/drawing/2014/main" id="{00000000-0008-0000-0000-00008F000000}"/>
                </a:ext>
              </a:extLst>
            </xdr:cNvPr>
            <xdr:cNvSpPr txBox="1"/>
          </xdr:nvSpPr>
          <xdr:spPr>
            <a:xfrm>
              <a:off x="5220854" y="298669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477404</xdr:colOff>
      <xdr:row>164</xdr:row>
      <xdr:rowOff>6061</xdr:rowOff>
    </xdr:from>
    <xdr:ext cx="404896" cy="1112556"/>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220854" y="33276886"/>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21" name="TextBox 120">
              <a:extLst>
                <a:ext uri="{FF2B5EF4-FFF2-40B4-BE49-F238E27FC236}">
                  <a16:creationId xmlns:a16="http://schemas.microsoft.com/office/drawing/2014/main" id="{00000000-0008-0000-0000-000090000000}"/>
                </a:ext>
              </a:extLst>
            </xdr:cNvPr>
            <xdr:cNvSpPr txBox="1"/>
          </xdr:nvSpPr>
          <xdr:spPr>
            <a:xfrm>
              <a:off x="5220854" y="33276886"/>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twoCellAnchor>
    <xdr:from>
      <xdr:col>2</xdr:col>
      <xdr:colOff>895350</xdr:colOff>
      <xdr:row>485</xdr:row>
      <xdr:rowOff>180975</xdr:rowOff>
    </xdr:from>
    <xdr:to>
      <xdr:col>7</xdr:col>
      <xdr:colOff>19050</xdr:colOff>
      <xdr:row>503</xdr:row>
      <xdr:rowOff>28575</xdr:rowOff>
    </xdr:to>
    <xdr:graphicFrame macro="">
      <xdr:nvGraphicFramePr>
        <xdr:cNvPr id="46180" name="Chart 1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71004</xdr:colOff>
      <xdr:row>171</xdr:row>
      <xdr:rowOff>5003</xdr:rowOff>
    </xdr:from>
    <xdr:ext cx="65" cy="172227"/>
    <xdr:sp macro="" textlink="">
      <xdr:nvSpPr>
        <xdr:cNvPr id="136" name="TextBox 135">
          <a:extLst>
            <a:ext uri="{FF2B5EF4-FFF2-40B4-BE49-F238E27FC236}">
              <a16:creationId xmlns:a16="http://schemas.microsoft.com/office/drawing/2014/main" id="{00000000-0008-0000-0000-0000A0000000}"/>
            </a:ext>
          </a:extLst>
        </xdr:cNvPr>
        <xdr:cNvSpPr txBox="1"/>
      </xdr:nvSpPr>
      <xdr:spPr>
        <a:xfrm>
          <a:off x="5129837" y="346442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170</xdr:row>
      <xdr:rowOff>15587</xdr:rowOff>
    </xdr:from>
    <xdr:ext cx="335195" cy="1056928"/>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𝑀</m:t>
                        </m:r>
                      </m:e>
                    </m:acc>
                  </m:oMath>
                </m:oMathPara>
              </a14:m>
              <a:endParaRPr lang="en-GB" sz="1100"/>
            </a:p>
          </xdr:txBody>
        </xdr:sp>
      </mc:Choice>
      <mc:Fallback xmlns="">
        <xdr:sp macro="" textlink="">
          <xdr:nvSpPr>
            <xdr:cNvPr id="137" name="TextBox 136">
              <a:extLst>
                <a:ext uri="{FF2B5EF4-FFF2-40B4-BE49-F238E27FC236}">
                  <a16:creationId xmlns:a16="http://schemas.microsoft.com/office/drawing/2014/main" id="{00000000-0008-0000-0000-0000A1000000}"/>
                </a:ext>
              </a:extLst>
            </xdr:cNvPr>
            <xdr:cNvSpPr txBox="1"/>
          </xdr:nvSpPr>
          <xdr:spPr>
            <a:xfrm>
              <a:off x="5199495" y="34477037"/>
              <a:ext cx="239425"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484909</xdr:colOff>
      <xdr:row>104</xdr:row>
      <xdr:rowOff>18184</xdr:rowOff>
    </xdr:from>
    <xdr:ext cx="444358" cy="107779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228359" y="212303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38" name="TextBox 137">
              <a:extLst>
                <a:ext uri="{FF2B5EF4-FFF2-40B4-BE49-F238E27FC236}">
                  <a16:creationId xmlns:a16="http://schemas.microsoft.com/office/drawing/2014/main" id="{00000000-0008-0000-0000-0000A8000000}"/>
                </a:ext>
              </a:extLst>
            </xdr:cNvPr>
            <xdr:cNvSpPr txBox="1"/>
          </xdr:nvSpPr>
          <xdr:spPr>
            <a:xfrm>
              <a:off x="5228359" y="212303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twoCellAnchor editAs="oneCell">
    <xdr:from>
      <xdr:col>3</xdr:col>
      <xdr:colOff>1190625</xdr:colOff>
      <xdr:row>143</xdr:row>
      <xdr:rowOff>19050</xdr:rowOff>
    </xdr:from>
    <xdr:to>
      <xdr:col>4</xdr:col>
      <xdr:colOff>104775</xdr:colOff>
      <xdr:row>153</xdr:row>
      <xdr:rowOff>66675</xdr:rowOff>
    </xdr:to>
    <xdr:pic>
      <xdr:nvPicPr>
        <xdr:cNvPr id="46187" name="Picture 16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5225" y="28851225"/>
          <a:ext cx="361950" cy="2047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1238250</xdr:colOff>
      <xdr:row>143</xdr:row>
      <xdr:rowOff>95250</xdr:rowOff>
    </xdr:from>
    <xdr:to>
      <xdr:col>5</xdr:col>
      <xdr:colOff>190500</xdr:colOff>
      <xdr:row>153</xdr:row>
      <xdr:rowOff>47625</xdr:rowOff>
    </xdr:to>
    <xdr:pic>
      <xdr:nvPicPr>
        <xdr:cNvPr id="46188" name="Picture 16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010650" y="28927425"/>
          <a:ext cx="400050" cy="1952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1133475</xdr:colOff>
      <xdr:row>144</xdr:row>
      <xdr:rowOff>171450</xdr:rowOff>
    </xdr:from>
    <xdr:to>
      <xdr:col>6</xdr:col>
      <xdr:colOff>200025</xdr:colOff>
      <xdr:row>152</xdr:row>
      <xdr:rowOff>38100</xdr:rowOff>
    </xdr:to>
    <xdr:pic>
      <xdr:nvPicPr>
        <xdr:cNvPr id="46189" name="Picture 170"/>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353675" y="29203650"/>
          <a:ext cx="37147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180975</xdr:colOff>
      <xdr:row>156</xdr:row>
      <xdr:rowOff>152400</xdr:rowOff>
    </xdr:from>
    <xdr:to>
      <xdr:col>4</xdr:col>
      <xdr:colOff>1323975</xdr:colOff>
      <xdr:row>157</xdr:row>
      <xdr:rowOff>161925</xdr:rowOff>
    </xdr:to>
    <xdr:pic>
      <xdr:nvPicPr>
        <xdr:cNvPr id="46190" name="Picture 17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953375" y="31594425"/>
          <a:ext cx="11430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123825</xdr:colOff>
      <xdr:row>156</xdr:row>
      <xdr:rowOff>123825</xdr:rowOff>
    </xdr:from>
    <xdr:to>
      <xdr:col>5</xdr:col>
      <xdr:colOff>1219200</xdr:colOff>
      <xdr:row>157</xdr:row>
      <xdr:rowOff>152400</xdr:rowOff>
    </xdr:to>
    <xdr:pic>
      <xdr:nvPicPr>
        <xdr:cNvPr id="46191" name="Picture 17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344025" y="31565850"/>
          <a:ext cx="10953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371475</xdr:colOff>
      <xdr:row>156</xdr:row>
      <xdr:rowOff>123825</xdr:rowOff>
    </xdr:from>
    <xdr:to>
      <xdr:col>6</xdr:col>
      <xdr:colOff>1200150</xdr:colOff>
      <xdr:row>157</xdr:row>
      <xdr:rowOff>133350</xdr:rowOff>
    </xdr:to>
    <xdr:pic>
      <xdr:nvPicPr>
        <xdr:cNvPr id="46192" name="Picture 17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896600" y="31565850"/>
          <a:ext cx="8286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990600</xdr:colOff>
      <xdr:row>304</xdr:row>
      <xdr:rowOff>133350</xdr:rowOff>
    </xdr:from>
    <xdr:to>
      <xdr:col>9</xdr:col>
      <xdr:colOff>390525</xdr:colOff>
      <xdr:row>314</xdr:row>
      <xdr:rowOff>0</xdr:rowOff>
    </xdr:to>
    <xdr:pic>
      <xdr:nvPicPr>
        <xdr:cNvPr id="46194" name="Picture 196"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210800" y="61379100"/>
          <a:ext cx="449580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28575</xdr:colOff>
      <xdr:row>55</xdr:row>
      <xdr:rowOff>142875</xdr:rowOff>
    </xdr:from>
    <xdr:to>
      <xdr:col>16</xdr:col>
      <xdr:colOff>371475</xdr:colOff>
      <xdr:row>61</xdr:row>
      <xdr:rowOff>190500</xdr:rowOff>
    </xdr:to>
    <xdr:pic>
      <xdr:nvPicPr>
        <xdr:cNvPr id="46195" name="Picture 197"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b="40797"/>
        <a:stretch>
          <a:fillRect/>
        </a:stretch>
      </xdr:blipFill>
      <xdr:spPr bwMode="auto">
        <a:xfrm>
          <a:off x="12106275" y="11344275"/>
          <a:ext cx="773430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95250</xdr:colOff>
      <xdr:row>65</xdr:row>
      <xdr:rowOff>19050</xdr:rowOff>
    </xdr:from>
    <xdr:to>
      <xdr:col>11</xdr:col>
      <xdr:colOff>276225</xdr:colOff>
      <xdr:row>70</xdr:row>
      <xdr:rowOff>171450</xdr:rowOff>
    </xdr:to>
    <xdr:pic>
      <xdr:nvPicPr>
        <xdr:cNvPr id="46196" name="Picture 198"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t="39687"/>
        <a:stretch>
          <a:fillRect/>
        </a:stretch>
      </xdr:blipFill>
      <xdr:spPr bwMode="auto">
        <a:xfrm>
          <a:off x="12172950" y="13220700"/>
          <a:ext cx="385762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371475</xdr:colOff>
      <xdr:row>13</xdr:row>
      <xdr:rowOff>9525</xdr:rowOff>
    </xdr:from>
    <xdr:to>
      <xdr:col>15</xdr:col>
      <xdr:colOff>66675</xdr:colOff>
      <xdr:row>25</xdr:row>
      <xdr:rowOff>19050</xdr:rowOff>
    </xdr:to>
    <xdr:pic>
      <xdr:nvPicPr>
        <xdr:cNvPr id="46197" name="Picture 200"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849350" y="2609850"/>
          <a:ext cx="4848225"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257175</xdr:colOff>
      <xdr:row>324</xdr:row>
      <xdr:rowOff>161925</xdr:rowOff>
    </xdr:from>
    <xdr:to>
      <xdr:col>15</xdr:col>
      <xdr:colOff>581025</xdr:colOff>
      <xdr:row>336</xdr:row>
      <xdr:rowOff>66675</xdr:rowOff>
    </xdr:to>
    <xdr:pic>
      <xdr:nvPicPr>
        <xdr:cNvPr id="46198" name="Picture 202" descr="Screen Clippi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b="29131"/>
        <a:stretch>
          <a:fillRect/>
        </a:stretch>
      </xdr:blipFill>
      <xdr:spPr bwMode="auto">
        <a:xfrm>
          <a:off x="14573250" y="65408175"/>
          <a:ext cx="4638675" cy="2305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257175</xdr:colOff>
      <xdr:row>156</xdr:row>
      <xdr:rowOff>133350</xdr:rowOff>
    </xdr:from>
    <xdr:to>
      <xdr:col>7</xdr:col>
      <xdr:colOff>1123950</xdr:colOff>
      <xdr:row>157</xdr:row>
      <xdr:rowOff>123825</xdr:rowOff>
    </xdr:to>
    <xdr:pic>
      <xdr:nvPicPr>
        <xdr:cNvPr id="46225" name="Picture 9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2334875" y="31575375"/>
          <a:ext cx="86677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1390650</xdr:colOff>
      <xdr:row>144</xdr:row>
      <xdr:rowOff>180975</xdr:rowOff>
    </xdr:from>
    <xdr:to>
      <xdr:col>7</xdr:col>
      <xdr:colOff>171450</xdr:colOff>
      <xdr:row>152</xdr:row>
      <xdr:rowOff>123825</xdr:rowOff>
    </xdr:to>
    <xdr:pic>
      <xdr:nvPicPr>
        <xdr:cNvPr id="46226" name="Picture 160"/>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915775" y="29213175"/>
          <a:ext cx="333375"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723900</xdr:colOff>
      <xdr:row>292</xdr:row>
      <xdr:rowOff>19050</xdr:rowOff>
    </xdr:from>
    <xdr:to>
      <xdr:col>2</xdr:col>
      <xdr:colOff>819150</xdr:colOff>
      <xdr:row>293</xdr:row>
      <xdr:rowOff>19050</xdr:rowOff>
    </xdr:to>
    <xdr:pic>
      <xdr:nvPicPr>
        <xdr:cNvPr id="46227" name="Picture 16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24400" y="58702575"/>
          <a:ext cx="115252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933450</xdr:colOff>
      <xdr:row>291</xdr:row>
      <xdr:rowOff>200025</xdr:rowOff>
    </xdr:from>
    <xdr:to>
      <xdr:col>4</xdr:col>
      <xdr:colOff>581025</xdr:colOff>
      <xdr:row>293</xdr:row>
      <xdr:rowOff>9525</xdr:rowOff>
    </xdr:to>
    <xdr:pic>
      <xdr:nvPicPr>
        <xdr:cNvPr id="46228" name="Picture 16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258050" y="58674000"/>
          <a:ext cx="109537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1019175</xdr:colOff>
      <xdr:row>292</xdr:row>
      <xdr:rowOff>9525</xdr:rowOff>
    </xdr:from>
    <xdr:to>
      <xdr:col>6</xdr:col>
      <xdr:colOff>533400</xdr:colOff>
      <xdr:row>293</xdr:row>
      <xdr:rowOff>19050</xdr:rowOff>
    </xdr:to>
    <xdr:pic>
      <xdr:nvPicPr>
        <xdr:cNvPr id="46229" name="Picture 16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239375" y="58693050"/>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885825</xdr:colOff>
      <xdr:row>291</xdr:row>
      <xdr:rowOff>200025</xdr:rowOff>
    </xdr:from>
    <xdr:to>
      <xdr:col>8</xdr:col>
      <xdr:colOff>352425</xdr:colOff>
      <xdr:row>292</xdr:row>
      <xdr:rowOff>219075</xdr:rowOff>
    </xdr:to>
    <xdr:pic>
      <xdr:nvPicPr>
        <xdr:cNvPr id="46230" name="Picture 164"/>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2963525" y="58674000"/>
          <a:ext cx="866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333375</xdr:colOff>
      <xdr:row>394</xdr:row>
      <xdr:rowOff>66675</xdr:rowOff>
    </xdr:from>
    <xdr:to>
      <xdr:col>7</xdr:col>
      <xdr:colOff>685800</xdr:colOff>
      <xdr:row>408</xdr:row>
      <xdr:rowOff>190500</xdr:rowOff>
    </xdr:to>
    <xdr:pic>
      <xdr:nvPicPr>
        <xdr:cNvPr id="46231" name="Picture 149"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657975" y="79495650"/>
          <a:ext cx="6105525" cy="2924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371475</xdr:colOff>
      <xdr:row>412</xdr:row>
      <xdr:rowOff>152400</xdr:rowOff>
    </xdr:from>
    <xdr:to>
      <xdr:col>7</xdr:col>
      <xdr:colOff>819150</xdr:colOff>
      <xdr:row>439</xdr:row>
      <xdr:rowOff>19050</xdr:rowOff>
    </xdr:to>
    <xdr:pic>
      <xdr:nvPicPr>
        <xdr:cNvPr id="46232" name="Picture 150" descr="Screen Clippi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696075" y="83181825"/>
          <a:ext cx="6200775" cy="526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133350</xdr:colOff>
      <xdr:row>395</xdr:row>
      <xdr:rowOff>9525</xdr:rowOff>
    </xdr:from>
    <xdr:to>
      <xdr:col>2</xdr:col>
      <xdr:colOff>1028700</xdr:colOff>
      <xdr:row>409</xdr:row>
      <xdr:rowOff>0</xdr:rowOff>
    </xdr:to>
    <xdr:pic>
      <xdr:nvPicPr>
        <xdr:cNvPr id="46233" name="Picture 151" descr="Screen Clippi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3350" y="79638525"/>
          <a:ext cx="5953125" cy="2790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104775</xdr:colOff>
      <xdr:row>412</xdr:row>
      <xdr:rowOff>104775</xdr:rowOff>
    </xdr:from>
    <xdr:to>
      <xdr:col>3</xdr:col>
      <xdr:colOff>28575</xdr:colOff>
      <xdr:row>439</xdr:row>
      <xdr:rowOff>114300</xdr:rowOff>
    </xdr:to>
    <xdr:pic>
      <xdr:nvPicPr>
        <xdr:cNvPr id="46234" name="Picture 152" descr="Screen Clippi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04775" y="83134200"/>
          <a:ext cx="6248400" cy="5410200"/>
        </a:xfrm>
        <a:prstGeom prst="rect">
          <a:avLst/>
        </a:prstGeom>
        <a:noFill/>
        <a:ln w="9525">
          <a:solidFill>
            <a:srgbClr val="4472C4"/>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364563</xdr:colOff>
      <xdr:row>30</xdr:row>
      <xdr:rowOff>17318</xdr:rowOff>
    </xdr:from>
    <xdr:to>
      <xdr:col>11</xdr:col>
      <xdr:colOff>125569</xdr:colOff>
      <xdr:row>33</xdr:row>
      <xdr:rowOff>188205</xdr:rowOff>
    </xdr:to>
    <xdr:pic>
      <xdr:nvPicPr>
        <xdr:cNvPr id="30" name="Picture 29" descr="Screen Clippin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0889688" y="6037118"/>
          <a:ext cx="4990231" cy="951937"/>
        </a:xfrm>
        <a:prstGeom prst="rect">
          <a:avLst/>
        </a:prstGeom>
        <a:ln>
          <a:solidFill>
            <a:srgbClr val="7030A0"/>
          </a:solidFill>
        </a:ln>
      </xdr:spPr>
    </xdr:pic>
    <xdr:clientData/>
  </xdr:twoCellAnchor>
  <xdr:twoCellAnchor editAs="oneCell">
    <xdr:from>
      <xdr:col>6</xdr:col>
      <xdr:colOff>673673</xdr:colOff>
      <xdr:row>34</xdr:row>
      <xdr:rowOff>103908</xdr:rowOff>
    </xdr:from>
    <xdr:to>
      <xdr:col>10</xdr:col>
      <xdr:colOff>107373</xdr:colOff>
      <xdr:row>37</xdr:row>
      <xdr:rowOff>44532</xdr:rowOff>
    </xdr:to>
    <xdr:pic>
      <xdr:nvPicPr>
        <xdr:cNvPr id="31" name="Picture 30" descr="Screen Clippi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1198798" y="7104783"/>
          <a:ext cx="4062850" cy="540699"/>
        </a:xfrm>
        <a:prstGeom prst="rect">
          <a:avLst/>
        </a:prstGeom>
        <a:ln>
          <a:solidFill>
            <a:srgbClr val="7030A0"/>
          </a:solidFill>
        </a:ln>
      </xdr:spPr>
    </xdr:pic>
    <xdr:clientData/>
  </xdr:twoCellAnchor>
  <xdr:twoCellAnchor editAs="oneCell">
    <xdr:from>
      <xdr:col>6</xdr:col>
      <xdr:colOff>460663</xdr:colOff>
      <xdr:row>37</xdr:row>
      <xdr:rowOff>148938</xdr:rowOff>
    </xdr:from>
    <xdr:to>
      <xdr:col>9</xdr:col>
      <xdr:colOff>180109</xdr:colOff>
      <xdr:row>40</xdr:row>
      <xdr:rowOff>34980</xdr:rowOff>
    </xdr:to>
    <xdr:pic>
      <xdr:nvPicPr>
        <xdr:cNvPr id="46144" name="Picture 46143" descr="Screen Clippin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985788" y="7749888"/>
          <a:ext cx="3510396" cy="486117"/>
        </a:xfrm>
        <a:prstGeom prst="rect">
          <a:avLst/>
        </a:prstGeom>
        <a:ln>
          <a:solidFill>
            <a:srgbClr val="7030A0"/>
          </a:solidFill>
        </a:ln>
      </xdr:spPr>
    </xdr:pic>
    <xdr:clientData/>
  </xdr:twoCellAnchor>
  <xdr:twoCellAnchor editAs="oneCell">
    <xdr:from>
      <xdr:col>6</xdr:col>
      <xdr:colOff>352425</xdr:colOff>
      <xdr:row>40</xdr:row>
      <xdr:rowOff>144606</xdr:rowOff>
    </xdr:from>
    <xdr:to>
      <xdr:col>11</xdr:col>
      <xdr:colOff>720353</xdr:colOff>
      <xdr:row>43</xdr:row>
      <xdr:rowOff>109182</xdr:rowOff>
    </xdr:to>
    <xdr:pic>
      <xdr:nvPicPr>
        <xdr:cNvPr id="46146" name="Picture 46145" descr="Screen Clippi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877550" y="8345631"/>
          <a:ext cx="5597153" cy="564651"/>
        </a:xfrm>
        <a:prstGeom prst="rect">
          <a:avLst/>
        </a:prstGeom>
        <a:ln>
          <a:solidFill>
            <a:srgbClr val="7030A0"/>
          </a:solidFill>
        </a:ln>
      </xdr:spPr>
    </xdr:pic>
    <xdr:clientData/>
  </xdr:twoCellAnchor>
  <xdr:twoCellAnchor editAs="oneCell">
    <xdr:from>
      <xdr:col>7</xdr:col>
      <xdr:colOff>60613</xdr:colOff>
      <xdr:row>83</xdr:row>
      <xdr:rowOff>61606</xdr:rowOff>
    </xdr:from>
    <xdr:to>
      <xdr:col>11</xdr:col>
      <xdr:colOff>661477</xdr:colOff>
      <xdr:row>86</xdr:row>
      <xdr:rowOff>63321</xdr:rowOff>
    </xdr:to>
    <xdr:pic>
      <xdr:nvPicPr>
        <xdr:cNvPr id="46148" name="Picture 46147" descr="Screen Clipping"/>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131386" y="16790970"/>
          <a:ext cx="4280977" cy="599192"/>
        </a:xfrm>
        <a:prstGeom prst="rect">
          <a:avLst/>
        </a:prstGeom>
        <a:ln>
          <a:solidFill>
            <a:srgbClr val="7030A0"/>
          </a:solidFill>
        </a:ln>
      </xdr:spPr>
    </xdr:pic>
    <xdr:clientData/>
  </xdr:twoCellAnchor>
  <xdr:twoCellAnchor editAs="oneCell">
    <xdr:from>
      <xdr:col>7</xdr:col>
      <xdr:colOff>138545</xdr:colOff>
      <xdr:row>86</xdr:row>
      <xdr:rowOff>77931</xdr:rowOff>
    </xdr:from>
    <xdr:to>
      <xdr:col>11</xdr:col>
      <xdr:colOff>509804</xdr:colOff>
      <xdr:row>89</xdr:row>
      <xdr:rowOff>86499</xdr:rowOff>
    </xdr:to>
    <xdr:pic>
      <xdr:nvPicPr>
        <xdr:cNvPr id="46149" name="Picture 46148" descr="Screen Clipping"/>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209318" y="17404772"/>
          <a:ext cx="4051372" cy="606045"/>
        </a:xfrm>
        <a:prstGeom prst="rect">
          <a:avLst/>
        </a:prstGeom>
        <a:ln>
          <a:solidFill>
            <a:srgbClr val="7030A0"/>
          </a:solidFill>
        </a:ln>
      </xdr:spPr>
    </xdr:pic>
    <xdr:clientData/>
  </xdr:twoCellAnchor>
  <xdr:twoCellAnchor editAs="oneCell">
    <xdr:from>
      <xdr:col>7</xdr:col>
      <xdr:colOff>96116</xdr:colOff>
      <xdr:row>101</xdr:row>
      <xdr:rowOff>143022</xdr:rowOff>
    </xdr:from>
    <xdr:to>
      <xdr:col>11</xdr:col>
      <xdr:colOff>664289</xdr:colOff>
      <xdr:row>104</xdr:row>
      <xdr:rowOff>12233</xdr:rowOff>
    </xdr:to>
    <xdr:pic>
      <xdr:nvPicPr>
        <xdr:cNvPr id="46150" name="Picture 46149" descr="Screen Clipping"/>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173816" y="20545572"/>
          <a:ext cx="4244823" cy="469286"/>
        </a:xfrm>
        <a:prstGeom prst="rect">
          <a:avLst/>
        </a:prstGeom>
        <a:ln>
          <a:solidFill>
            <a:srgbClr val="7030A0"/>
          </a:solidFill>
        </a:ln>
      </xdr:spPr>
    </xdr:pic>
    <xdr:clientData/>
  </xdr:twoCellAnchor>
  <xdr:twoCellAnchor editAs="oneCell">
    <xdr:from>
      <xdr:col>7</xdr:col>
      <xdr:colOff>619126</xdr:colOff>
      <xdr:row>109</xdr:row>
      <xdr:rowOff>124444</xdr:rowOff>
    </xdr:from>
    <xdr:to>
      <xdr:col>10</xdr:col>
      <xdr:colOff>570765</xdr:colOff>
      <xdr:row>111</xdr:row>
      <xdr:rowOff>135081</xdr:rowOff>
    </xdr:to>
    <xdr:pic>
      <xdr:nvPicPr>
        <xdr:cNvPr id="46151" name="Picture 46150" descr="Screen Clipping"/>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2696826" y="22127194"/>
          <a:ext cx="3028214" cy="410687"/>
        </a:xfrm>
        <a:prstGeom prst="rect">
          <a:avLst/>
        </a:prstGeom>
        <a:ln>
          <a:solidFill>
            <a:srgbClr val="7030A0"/>
          </a:solidFill>
        </a:ln>
      </xdr:spPr>
    </xdr:pic>
    <xdr:clientData/>
  </xdr:twoCellAnchor>
  <xdr:twoCellAnchor editAs="oneCell">
    <xdr:from>
      <xdr:col>6</xdr:col>
      <xdr:colOff>333375</xdr:colOff>
      <xdr:row>115</xdr:row>
      <xdr:rowOff>89188</xdr:rowOff>
    </xdr:from>
    <xdr:to>
      <xdr:col>8</xdr:col>
      <xdr:colOff>417887</xdr:colOff>
      <xdr:row>117</xdr:row>
      <xdr:rowOff>32962</xdr:rowOff>
    </xdr:to>
    <xdr:pic>
      <xdr:nvPicPr>
        <xdr:cNvPr id="46152" name="Picture 46151" descr="Screen Clipping"/>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0858500" y="23292088"/>
          <a:ext cx="3037262" cy="343824"/>
        </a:xfrm>
        <a:prstGeom prst="rect">
          <a:avLst/>
        </a:prstGeom>
        <a:ln>
          <a:solidFill>
            <a:srgbClr val="7030A0"/>
          </a:solidFill>
        </a:ln>
      </xdr:spPr>
    </xdr:pic>
    <xdr:clientData/>
  </xdr:twoCellAnchor>
  <xdr:twoCellAnchor editAs="oneCell">
    <xdr:from>
      <xdr:col>7</xdr:col>
      <xdr:colOff>1291936</xdr:colOff>
      <xdr:row>106</xdr:row>
      <xdr:rowOff>112568</xdr:rowOff>
    </xdr:from>
    <xdr:to>
      <xdr:col>11</xdr:col>
      <xdr:colOff>652548</xdr:colOff>
      <xdr:row>108</xdr:row>
      <xdr:rowOff>57208</xdr:rowOff>
    </xdr:to>
    <xdr:pic>
      <xdr:nvPicPr>
        <xdr:cNvPr id="165" name="Picture 164" descr="Screen Clipping"/>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69636" y="21515243"/>
          <a:ext cx="3037262" cy="344690"/>
        </a:xfrm>
        <a:prstGeom prst="rect">
          <a:avLst/>
        </a:prstGeom>
        <a:ln>
          <a:solidFill>
            <a:srgbClr val="7030A0"/>
          </a:solidFill>
        </a:ln>
      </xdr:spPr>
    </xdr:pic>
    <xdr:clientData/>
  </xdr:twoCellAnchor>
  <xdr:twoCellAnchor editAs="oneCell">
    <xdr:from>
      <xdr:col>6</xdr:col>
      <xdr:colOff>280555</xdr:colOff>
      <xdr:row>113</xdr:row>
      <xdr:rowOff>152400</xdr:rowOff>
    </xdr:from>
    <xdr:to>
      <xdr:col>9</xdr:col>
      <xdr:colOff>81031</xdr:colOff>
      <xdr:row>115</xdr:row>
      <xdr:rowOff>77976</xdr:rowOff>
    </xdr:to>
    <xdr:pic>
      <xdr:nvPicPr>
        <xdr:cNvPr id="46153" name="Picture 46152" descr="Screen Clipping"/>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0805680" y="22955250"/>
          <a:ext cx="3591426" cy="325626"/>
        </a:xfrm>
        <a:prstGeom prst="rect">
          <a:avLst/>
        </a:prstGeom>
        <a:ln>
          <a:solidFill>
            <a:srgbClr val="7030A0"/>
          </a:solidFill>
        </a:ln>
      </xdr:spPr>
    </xdr:pic>
    <xdr:clientData/>
  </xdr:twoCellAnchor>
  <xdr:twoCellAnchor editAs="oneCell">
    <xdr:from>
      <xdr:col>6</xdr:col>
      <xdr:colOff>171450</xdr:colOff>
      <xdr:row>107</xdr:row>
      <xdr:rowOff>199542</xdr:rowOff>
    </xdr:from>
    <xdr:to>
      <xdr:col>7</xdr:col>
      <xdr:colOff>523875</xdr:colOff>
      <xdr:row>109</xdr:row>
      <xdr:rowOff>15294</xdr:rowOff>
    </xdr:to>
    <xdr:pic>
      <xdr:nvPicPr>
        <xdr:cNvPr id="46155" name="Picture 46154" descr="Screen Clipping"/>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0696575" y="21802242"/>
          <a:ext cx="1905000" cy="215802"/>
        </a:xfrm>
        <a:prstGeom prst="rect">
          <a:avLst/>
        </a:prstGeom>
        <a:ln>
          <a:solidFill>
            <a:srgbClr val="7030A0"/>
          </a:solidFill>
        </a:ln>
      </xdr:spPr>
    </xdr:pic>
    <xdr:clientData/>
  </xdr:twoCellAnchor>
  <xdr:twoCellAnchor editAs="oneCell">
    <xdr:from>
      <xdr:col>7</xdr:col>
      <xdr:colOff>32904</xdr:colOff>
      <xdr:row>104</xdr:row>
      <xdr:rowOff>121227</xdr:rowOff>
    </xdr:from>
    <xdr:to>
      <xdr:col>8</xdr:col>
      <xdr:colOff>784513</xdr:colOff>
      <xdr:row>106</xdr:row>
      <xdr:rowOff>12869</xdr:rowOff>
    </xdr:to>
    <xdr:pic>
      <xdr:nvPicPr>
        <xdr:cNvPr id="46156" name="Picture 46155" descr="Screen Clipping"/>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2110604" y="21123852"/>
          <a:ext cx="2151784" cy="291692"/>
        </a:xfrm>
        <a:prstGeom prst="rect">
          <a:avLst/>
        </a:prstGeom>
        <a:ln>
          <a:solidFill>
            <a:srgbClr val="7030A0"/>
          </a:solidFill>
        </a:ln>
      </xdr:spPr>
    </xdr:pic>
    <xdr:clientData/>
  </xdr:twoCellAnchor>
  <xdr:twoCellAnchor editAs="oneCell">
    <xdr:from>
      <xdr:col>7</xdr:col>
      <xdr:colOff>97848</xdr:colOff>
      <xdr:row>111</xdr:row>
      <xdr:rowOff>190501</xdr:rowOff>
    </xdr:from>
    <xdr:to>
      <xdr:col>10</xdr:col>
      <xdr:colOff>9942</xdr:colOff>
      <xdr:row>113</xdr:row>
      <xdr:rowOff>134265</xdr:rowOff>
    </xdr:to>
    <xdr:pic>
      <xdr:nvPicPr>
        <xdr:cNvPr id="46157" name="Picture 46156"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2175548" y="22593301"/>
          <a:ext cx="2988669" cy="343814"/>
        </a:xfrm>
        <a:prstGeom prst="rect">
          <a:avLst/>
        </a:prstGeom>
        <a:ln>
          <a:solidFill>
            <a:srgbClr val="7030A0"/>
          </a:solidFill>
        </a:ln>
      </xdr:spPr>
    </xdr:pic>
    <xdr:clientData/>
  </xdr:twoCellAnchor>
  <xdr:twoCellAnchor editAs="oneCell">
    <xdr:from>
      <xdr:col>1</xdr:col>
      <xdr:colOff>678007</xdr:colOff>
      <xdr:row>119</xdr:row>
      <xdr:rowOff>129021</xdr:rowOff>
    </xdr:from>
    <xdr:to>
      <xdr:col>7</xdr:col>
      <xdr:colOff>1203964</xdr:colOff>
      <xdr:row>139</xdr:row>
      <xdr:rowOff>29404</xdr:rowOff>
    </xdr:to>
    <xdr:pic>
      <xdr:nvPicPr>
        <xdr:cNvPr id="46158" name="Picture 46157" descr="Screen Clipping"/>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4678507" y="24132021"/>
          <a:ext cx="8603157" cy="3900883"/>
        </a:xfrm>
        <a:prstGeom prst="rect">
          <a:avLst/>
        </a:prstGeom>
        <a:ln>
          <a:solidFill>
            <a:srgbClr val="7030A0"/>
          </a:solidFill>
        </a:ln>
      </xdr:spPr>
    </xdr:pic>
    <xdr:clientData/>
  </xdr:twoCellAnchor>
  <xdr:twoCellAnchor editAs="oneCell">
    <xdr:from>
      <xdr:col>0</xdr:col>
      <xdr:colOff>337703</xdr:colOff>
      <xdr:row>174</xdr:row>
      <xdr:rowOff>77933</xdr:rowOff>
    </xdr:from>
    <xdr:to>
      <xdr:col>1</xdr:col>
      <xdr:colOff>614525</xdr:colOff>
      <xdr:row>176</xdr:row>
      <xdr:rowOff>60667</xdr:rowOff>
    </xdr:to>
    <xdr:pic>
      <xdr:nvPicPr>
        <xdr:cNvPr id="46159" name="Picture 46158" descr="Screen Clipping"/>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337703" y="34982728"/>
          <a:ext cx="4277322" cy="381053"/>
        </a:xfrm>
        <a:prstGeom prst="rect">
          <a:avLst/>
        </a:prstGeom>
        <a:ln>
          <a:solidFill>
            <a:srgbClr val="7030A0"/>
          </a:solidFill>
        </a:ln>
      </xdr:spPr>
    </xdr:pic>
    <xdr:clientData/>
  </xdr:twoCellAnchor>
  <xdr:twoCellAnchor editAs="oneCell">
    <xdr:from>
      <xdr:col>0</xdr:col>
      <xdr:colOff>329046</xdr:colOff>
      <xdr:row>181</xdr:row>
      <xdr:rowOff>181842</xdr:rowOff>
    </xdr:from>
    <xdr:to>
      <xdr:col>1</xdr:col>
      <xdr:colOff>701387</xdr:colOff>
      <xdr:row>185</xdr:row>
      <xdr:rowOff>13535</xdr:rowOff>
    </xdr:to>
    <xdr:pic>
      <xdr:nvPicPr>
        <xdr:cNvPr id="46160" name="Picture 46159" descr="Screen Clipping"/>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29046" y="36498069"/>
          <a:ext cx="4372841" cy="628330"/>
        </a:xfrm>
        <a:prstGeom prst="rect">
          <a:avLst/>
        </a:prstGeom>
        <a:ln>
          <a:solidFill>
            <a:srgbClr val="7030A0"/>
          </a:solidFill>
        </a:ln>
      </xdr:spPr>
    </xdr:pic>
    <xdr:clientData/>
  </xdr:twoCellAnchor>
  <xdr:twoCellAnchor editAs="oneCell">
    <xdr:from>
      <xdr:col>0</xdr:col>
      <xdr:colOff>372342</xdr:colOff>
      <xdr:row>187</xdr:row>
      <xdr:rowOff>34637</xdr:rowOff>
    </xdr:from>
    <xdr:to>
      <xdr:col>2</xdr:col>
      <xdr:colOff>107177</xdr:colOff>
      <xdr:row>190</xdr:row>
      <xdr:rowOff>39053</xdr:rowOff>
    </xdr:to>
    <xdr:pic>
      <xdr:nvPicPr>
        <xdr:cNvPr id="46161" name="Picture 46160"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72342" y="37545819"/>
          <a:ext cx="4791744" cy="619211"/>
        </a:xfrm>
        <a:prstGeom prst="rect">
          <a:avLst/>
        </a:prstGeom>
        <a:ln>
          <a:solidFill>
            <a:srgbClr val="7030A0"/>
          </a:solidFill>
        </a:ln>
      </xdr:spPr>
    </xdr:pic>
    <xdr:clientData/>
  </xdr:twoCellAnchor>
  <xdr:twoCellAnchor editAs="oneCell">
    <xdr:from>
      <xdr:col>0</xdr:col>
      <xdr:colOff>441614</xdr:colOff>
      <xdr:row>194</xdr:row>
      <xdr:rowOff>155863</xdr:rowOff>
    </xdr:from>
    <xdr:to>
      <xdr:col>1</xdr:col>
      <xdr:colOff>861331</xdr:colOff>
      <xdr:row>197</xdr:row>
      <xdr:rowOff>142961</xdr:rowOff>
    </xdr:to>
    <xdr:pic>
      <xdr:nvPicPr>
        <xdr:cNvPr id="46162" name="Picture 46161" descr="Screen Clipping"/>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441614" y="39078477"/>
          <a:ext cx="4420217" cy="619211"/>
        </a:xfrm>
        <a:prstGeom prst="rect">
          <a:avLst/>
        </a:prstGeom>
        <a:ln>
          <a:solidFill>
            <a:srgbClr val="7030A0"/>
          </a:solidFill>
        </a:ln>
      </xdr:spPr>
    </xdr:pic>
    <xdr:clientData/>
  </xdr:twoCellAnchor>
  <xdr:twoCellAnchor editAs="oneCell">
    <xdr:from>
      <xdr:col>0</xdr:col>
      <xdr:colOff>467592</xdr:colOff>
      <xdr:row>202</xdr:row>
      <xdr:rowOff>181841</xdr:rowOff>
    </xdr:from>
    <xdr:to>
      <xdr:col>2</xdr:col>
      <xdr:colOff>162377</xdr:colOff>
      <xdr:row>206</xdr:row>
      <xdr:rowOff>129885</xdr:rowOff>
    </xdr:to>
    <xdr:pic>
      <xdr:nvPicPr>
        <xdr:cNvPr id="46164" name="Picture 46163" descr="Screen Clipping"/>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467592" y="40732364"/>
          <a:ext cx="4751694" cy="796635"/>
        </a:xfrm>
        <a:prstGeom prst="rect">
          <a:avLst/>
        </a:prstGeom>
        <a:ln>
          <a:solidFill>
            <a:srgbClr val="7030A0"/>
          </a:solidFill>
        </a:ln>
      </xdr:spPr>
    </xdr:pic>
    <xdr:clientData/>
  </xdr:twoCellAnchor>
  <xdr:twoCellAnchor editAs="oneCell">
    <xdr:from>
      <xdr:col>0</xdr:col>
      <xdr:colOff>718704</xdr:colOff>
      <xdr:row>225</xdr:row>
      <xdr:rowOff>112566</xdr:rowOff>
    </xdr:from>
    <xdr:to>
      <xdr:col>2</xdr:col>
      <xdr:colOff>148696</xdr:colOff>
      <xdr:row>228</xdr:row>
      <xdr:rowOff>181932</xdr:rowOff>
    </xdr:to>
    <xdr:pic>
      <xdr:nvPicPr>
        <xdr:cNvPr id="46165" name="Picture 46164" descr="Screen Clipping"/>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718704" y="45347657"/>
          <a:ext cx="4486901" cy="666843"/>
        </a:xfrm>
        <a:prstGeom prst="rect">
          <a:avLst/>
        </a:prstGeom>
        <a:ln>
          <a:solidFill>
            <a:srgbClr val="7030A0"/>
          </a:solidFill>
        </a:ln>
      </xdr:spPr>
    </xdr:pic>
    <xdr:clientData/>
  </xdr:twoCellAnchor>
  <xdr:twoCellAnchor editAs="oneCell">
    <xdr:from>
      <xdr:col>0</xdr:col>
      <xdr:colOff>690996</xdr:colOff>
      <xdr:row>217</xdr:row>
      <xdr:rowOff>191367</xdr:rowOff>
    </xdr:from>
    <xdr:to>
      <xdr:col>2</xdr:col>
      <xdr:colOff>816410</xdr:colOff>
      <xdr:row>222</xdr:row>
      <xdr:rowOff>6178</xdr:rowOff>
    </xdr:to>
    <xdr:pic>
      <xdr:nvPicPr>
        <xdr:cNvPr id="46166" name="Picture 46165" descr="Screen Clipping"/>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690996" y="44025417"/>
          <a:ext cx="5183189" cy="833986"/>
        </a:xfrm>
        <a:prstGeom prst="rect">
          <a:avLst/>
        </a:prstGeom>
        <a:ln>
          <a:solidFill>
            <a:srgbClr val="7030A0"/>
          </a:solidFill>
        </a:ln>
      </xdr:spPr>
    </xdr:pic>
    <xdr:clientData/>
  </xdr:twoCellAnchor>
  <xdr:twoCellAnchor editAs="oneCell">
    <xdr:from>
      <xdr:col>0</xdr:col>
      <xdr:colOff>554183</xdr:colOff>
      <xdr:row>236</xdr:row>
      <xdr:rowOff>173183</xdr:rowOff>
    </xdr:from>
    <xdr:to>
      <xdr:col>1</xdr:col>
      <xdr:colOff>701387</xdr:colOff>
      <xdr:row>240</xdr:row>
      <xdr:rowOff>87985</xdr:rowOff>
    </xdr:to>
    <xdr:pic>
      <xdr:nvPicPr>
        <xdr:cNvPr id="46167" name="Picture 46166"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554183" y="47599024"/>
          <a:ext cx="4147704" cy="728756"/>
        </a:xfrm>
        <a:prstGeom prst="rect">
          <a:avLst/>
        </a:prstGeom>
        <a:ln>
          <a:solidFill>
            <a:srgbClr val="7030A0"/>
          </a:solidFill>
        </a:ln>
      </xdr:spPr>
    </xdr:pic>
    <xdr:clientData/>
  </xdr:twoCellAnchor>
  <xdr:twoCellAnchor editAs="oneCell">
    <xdr:from>
      <xdr:col>0</xdr:col>
      <xdr:colOff>692728</xdr:colOff>
      <xdr:row>246</xdr:row>
      <xdr:rowOff>173183</xdr:rowOff>
    </xdr:from>
    <xdr:to>
      <xdr:col>1</xdr:col>
      <xdr:colOff>51955</xdr:colOff>
      <xdr:row>249</xdr:row>
      <xdr:rowOff>94272</xdr:rowOff>
    </xdr:to>
    <xdr:pic>
      <xdr:nvPicPr>
        <xdr:cNvPr id="46168" name="Picture 46167" descr="Screen Clipping"/>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692728" y="49607933"/>
          <a:ext cx="3359727" cy="518566"/>
        </a:xfrm>
        <a:prstGeom prst="rect">
          <a:avLst/>
        </a:prstGeom>
        <a:ln>
          <a:solidFill>
            <a:srgbClr val="7030A0"/>
          </a:solidFill>
        </a:ln>
      </xdr:spPr>
    </xdr:pic>
    <xdr:clientData/>
  </xdr:twoCellAnchor>
  <xdr:twoCellAnchor editAs="oneCell">
    <xdr:from>
      <xdr:col>0</xdr:col>
      <xdr:colOff>675409</xdr:colOff>
      <xdr:row>253</xdr:row>
      <xdr:rowOff>69272</xdr:rowOff>
    </xdr:from>
    <xdr:to>
      <xdr:col>1</xdr:col>
      <xdr:colOff>303068</xdr:colOff>
      <xdr:row>255</xdr:row>
      <xdr:rowOff>183713</xdr:rowOff>
    </xdr:to>
    <xdr:pic>
      <xdr:nvPicPr>
        <xdr:cNvPr id="46169" name="Picture 46168" descr="Screen Clipping"/>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675409" y="50898136"/>
          <a:ext cx="3628159" cy="512759"/>
        </a:xfrm>
        <a:prstGeom prst="rect">
          <a:avLst/>
        </a:prstGeom>
        <a:ln>
          <a:solidFill>
            <a:srgbClr val="7030A0"/>
          </a:solidFill>
        </a:ln>
      </xdr:spPr>
    </xdr:pic>
    <xdr:clientData/>
  </xdr:twoCellAnchor>
  <xdr:twoCellAnchor editAs="oneCell">
    <xdr:from>
      <xdr:col>0</xdr:col>
      <xdr:colOff>666751</xdr:colOff>
      <xdr:row>262</xdr:row>
      <xdr:rowOff>17317</xdr:rowOff>
    </xdr:from>
    <xdr:to>
      <xdr:col>1</xdr:col>
      <xdr:colOff>1045215</xdr:colOff>
      <xdr:row>266</xdr:row>
      <xdr:rowOff>112567</xdr:rowOff>
    </xdr:to>
    <xdr:pic>
      <xdr:nvPicPr>
        <xdr:cNvPr id="46170" name="Picture 46169" descr="Screen Clipping"/>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666751" y="52638612"/>
          <a:ext cx="4378964" cy="891887"/>
        </a:xfrm>
        <a:prstGeom prst="rect">
          <a:avLst/>
        </a:prstGeom>
        <a:ln>
          <a:solidFill>
            <a:srgbClr val="7030A0"/>
          </a:solidFill>
        </a:ln>
      </xdr:spPr>
    </xdr:pic>
    <xdr:clientData/>
  </xdr:twoCellAnchor>
  <xdr:twoCellAnchor editAs="oneCell">
    <xdr:from>
      <xdr:col>0</xdr:col>
      <xdr:colOff>995797</xdr:colOff>
      <xdr:row>282</xdr:row>
      <xdr:rowOff>17319</xdr:rowOff>
    </xdr:from>
    <xdr:to>
      <xdr:col>2</xdr:col>
      <xdr:colOff>86592</xdr:colOff>
      <xdr:row>286</xdr:row>
      <xdr:rowOff>80720</xdr:rowOff>
    </xdr:to>
    <xdr:pic>
      <xdr:nvPicPr>
        <xdr:cNvPr id="46172" name="Picture 46171" descr="Screen Clipping"/>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95797" y="56422637"/>
          <a:ext cx="4147704" cy="860038"/>
        </a:xfrm>
        <a:prstGeom prst="rect">
          <a:avLst/>
        </a:prstGeom>
        <a:ln>
          <a:solidFill>
            <a:srgbClr val="7030A0"/>
          </a:solidFill>
        </a:ln>
      </xdr:spPr>
    </xdr:pic>
    <xdr:clientData/>
  </xdr:twoCellAnchor>
  <xdr:twoCellAnchor editAs="oneCell">
    <xdr:from>
      <xdr:col>0</xdr:col>
      <xdr:colOff>393989</xdr:colOff>
      <xdr:row>288</xdr:row>
      <xdr:rowOff>33772</xdr:rowOff>
    </xdr:from>
    <xdr:to>
      <xdr:col>2</xdr:col>
      <xdr:colOff>433666</xdr:colOff>
      <xdr:row>289</xdr:row>
      <xdr:rowOff>148982</xdr:rowOff>
    </xdr:to>
    <xdr:pic>
      <xdr:nvPicPr>
        <xdr:cNvPr id="46173" name="Picture 46172" descr="Screen Clipping"/>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393989" y="57907672"/>
          <a:ext cx="5097452" cy="315235"/>
        </a:xfrm>
        <a:prstGeom prst="rect">
          <a:avLst/>
        </a:prstGeom>
        <a:ln>
          <a:solidFill>
            <a:srgbClr val="7030A0"/>
          </a:solidFill>
        </a:ln>
      </xdr:spPr>
    </xdr:pic>
    <xdr:clientData/>
  </xdr:twoCellAnchor>
  <xdr:twoCellAnchor editAs="oneCell">
    <xdr:from>
      <xdr:col>0</xdr:col>
      <xdr:colOff>319904</xdr:colOff>
      <xdr:row>273</xdr:row>
      <xdr:rowOff>6063</xdr:rowOff>
    </xdr:from>
    <xdr:to>
      <xdr:col>1</xdr:col>
      <xdr:colOff>536382</xdr:colOff>
      <xdr:row>276</xdr:row>
      <xdr:rowOff>101787</xdr:rowOff>
    </xdr:to>
    <xdr:pic>
      <xdr:nvPicPr>
        <xdr:cNvPr id="46174" name="Picture 46173" descr="Screen Clipping"/>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319904" y="55079613"/>
          <a:ext cx="4216978" cy="695799"/>
        </a:xfrm>
        <a:prstGeom prst="rect">
          <a:avLst/>
        </a:prstGeom>
        <a:ln>
          <a:solidFill>
            <a:srgbClr val="7030A0"/>
          </a:solidFill>
        </a:ln>
      </xdr:spPr>
    </xdr:pic>
    <xdr:clientData/>
  </xdr:twoCellAnchor>
  <xdr:twoCellAnchor editAs="oneCell">
    <xdr:from>
      <xdr:col>8</xdr:col>
      <xdr:colOff>276225</xdr:colOff>
      <xdr:row>149</xdr:row>
      <xdr:rowOff>9525</xdr:rowOff>
    </xdr:from>
    <xdr:to>
      <xdr:col>13</xdr:col>
      <xdr:colOff>297919</xdr:colOff>
      <xdr:row>151</xdr:row>
      <xdr:rowOff>47625</xdr:rowOff>
    </xdr:to>
    <xdr:pic>
      <xdr:nvPicPr>
        <xdr:cNvPr id="46175" name="Picture 46174" descr="Screen Clipping"/>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754100" y="30041850"/>
          <a:ext cx="3736444" cy="438150"/>
        </a:xfrm>
        <a:prstGeom prst="rect">
          <a:avLst/>
        </a:prstGeom>
        <a:ln>
          <a:solidFill>
            <a:srgbClr val="7030A0"/>
          </a:solidFill>
        </a:ln>
      </xdr:spPr>
    </xdr:pic>
    <xdr:clientData/>
  </xdr:twoCellAnchor>
  <xdr:twoCellAnchor editAs="oneCell">
    <xdr:from>
      <xdr:col>6</xdr:col>
      <xdr:colOff>190500</xdr:colOff>
      <xdr:row>257</xdr:row>
      <xdr:rowOff>152400</xdr:rowOff>
    </xdr:from>
    <xdr:to>
      <xdr:col>11</xdr:col>
      <xdr:colOff>58727</xdr:colOff>
      <xdr:row>259</xdr:row>
      <xdr:rowOff>67585</xdr:rowOff>
    </xdr:to>
    <xdr:pic>
      <xdr:nvPicPr>
        <xdr:cNvPr id="188" name="Picture 187" descr="Screen Clipping"/>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715625" y="52025550"/>
          <a:ext cx="5097452" cy="315235"/>
        </a:xfrm>
        <a:prstGeom prst="rect">
          <a:avLst/>
        </a:prstGeom>
        <a:ln>
          <a:solidFill>
            <a:srgbClr val="7030A0"/>
          </a:solid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477404</xdr:colOff>
      <xdr:row>145</xdr:row>
      <xdr:rowOff>196561</xdr:rowOff>
    </xdr:from>
    <xdr:ext cx="208105" cy="111947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554104" y="27380911"/>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150</xdr:row>
      <xdr:rowOff>196561</xdr:rowOff>
    </xdr:from>
    <xdr:ext cx="217446" cy="111544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554104" y="28381036"/>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148</xdr:row>
      <xdr:rowOff>5003</xdr:rowOff>
    </xdr:from>
    <xdr:ext cx="411291" cy="110590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541404" y="27780961"/>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149</xdr:row>
      <xdr:rowOff>5003</xdr:rowOff>
    </xdr:from>
    <xdr:ext cx="362891" cy="106398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541404" y="2798098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150</xdr:row>
      <xdr:rowOff>5002</xdr:rowOff>
    </xdr:from>
    <xdr:ext cx="355949" cy="105692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541404" y="28181011"/>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541404" y="28181011"/>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152</xdr:row>
      <xdr:rowOff>0</xdr:rowOff>
    </xdr:from>
    <xdr:ext cx="222975" cy="112214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4541404" y="28584525"/>
              <a:ext cx="176522"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61479</xdr:colOff>
      <xdr:row>154</xdr:row>
      <xdr:rowOff>196561</xdr:rowOff>
    </xdr:from>
    <xdr:ext cx="65" cy="181795"/>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4147704" y="291811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459219</xdr:colOff>
      <xdr:row>145</xdr:row>
      <xdr:rowOff>6062</xdr:rowOff>
    </xdr:from>
    <xdr:ext cx="203501" cy="1119476"/>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4545444" y="27190412"/>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459219</xdr:colOff>
      <xdr:row>142</xdr:row>
      <xdr:rowOff>10103</xdr:rowOff>
    </xdr:from>
    <xdr:ext cx="212002" cy="111947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4545444" y="26594378"/>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476538</xdr:colOff>
      <xdr:row>144</xdr:row>
      <xdr:rowOff>6062</xdr:rowOff>
    </xdr:from>
    <xdr:ext cx="109967"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794538" y="2917372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794538" y="2917372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154</xdr:row>
      <xdr:rowOff>6062</xdr:rowOff>
    </xdr:from>
    <xdr:ext cx="138628" cy="181140"/>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774045" y="31184562"/>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4774045" y="31184562"/>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61479</xdr:colOff>
      <xdr:row>155</xdr:row>
      <xdr:rowOff>196561</xdr:rowOff>
    </xdr:from>
    <xdr:ext cx="65" cy="181292"/>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4147704" y="2938116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155</xdr:row>
      <xdr:rowOff>6062</xdr:rowOff>
    </xdr:from>
    <xdr:ext cx="126958" cy="18222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774045" y="3138564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4774045" y="31385645"/>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304800</xdr:colOff>
      <xdr:row>140</xdr:row>
      <xdr:rowOff>111125</xdr:rowOff>
    </xdr:from>
    <xdr:ext cx="325217" cy="264560"/>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9935633" y="28463875"/>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477404</xdr:colOff>
      <xdr:row>163</xdr:row>
      <xdr:rowOff>5002</xdr:rowOff>
    </xdr:from>
    <xdr:ext cx="408379" cy="1056928"/>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4554104" y="30800386"/>
              <a:ext cx="24692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477404</xdr:colOff>
      <xdr:row>167</xdr:row>
      <xdr:rowOff>196561</xdr:rowOff>
    </xdr:from>
    <xdr:ext cx="404896" cy="112214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0000000-0008-0000-0100-000015000000}"/>
                </a:ext>
              </a:extLst>
            </xdr:cNvPr>
            <xdr:cNvSpPr txBox="1"/>
          </xdr:nvSpPr>
          <xdr:spPr>
            <a:xfrm>
              <a:off x="4554104" y="31800511"/>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̇_𝑠</a:t>
              </a:r>
              <a:endParaRPr lang="en-GB" sz="1100"/>
            </a:p>
          </xdr:txBody>
        </xdr:sp>
      </mc:Fallback>
    </mc:AlternateContent>
    <xdr:clientData/>
  </xdr:oneCellAnchor>
  <xdr:oneCellAnchor>
    <xdr:from>
      <xdr:col>2</xdr:col>
      <xdr:colOff>464704</xdr:colOff>
      <xdr:row>165</xdr:row>
      <xdr:rowOff>5003</xdr:rowOff>
    </xdr:from>
    <xdr:ext cx="599693" cy="1056928"/>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4541404" y="31200436"/>
              <a:ext cx="418833"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166</xdr:row>
      <xdr:rowOff>5002</xdr:rowOff>
    </xdr:from>
    <xdr:ext cx="551151" cy="1063980"/>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4541404" y="31400461"/>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166</xdr:row>
      <xdr:rowOff>196561</xdr:rowOff>
    </xdr:from>
    <xdr:ext cx="438787" cy="112214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4541404" y="3160048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a14:m>
              <a:endParaRPr lang="en-GB" sz="1100"/>
            </a:p>
          </xdr:txBody>
        </xdr:sp>
      </mc:Choice>
      <mc:Fallback xmlns="">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4541404" y="31600486"/>
              <a:ext cx="32675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464704</xdr:colOff>
      <xdr:row>169</xdr:row>
      <xdr:rowOff>0</xdr:rowOff>
    </xdr:from>
    <xdr:ext cx="424655" cy="106604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m:t>
                            </m:r>
                            <m:r>
                              <a:rPr lang="en-GB" sz="1100" b="0" i="1">
                                <a:latin typeface="Cambria Math" panose="02040503050406030204" pitchFamily="18" charset="0"/>
                              </a:rPr>
                              <m:t>𝐶</m:t>
                            </m:r>
                          </m:e>
                        </m:acc>
                      </m:e>
                      <m:sub>
                        <m:r>
                          <a:rPr lang="en-GB" sz="1100" b="0" i="1">
                            <a:latin typeface="Cambria Math" panose="02040503050406030204" pitchFamily="18" charset="0"/>
                          </a:rPr>
                          <m:t>𝑜</m:t>
                        </m:r>
                      </m:sub>
                    </m:sSub>
                  </m:oMath>
                </m:oMathPara>
              </a14:m>
              <a:endParaRPr lang="en-GB" sz="1100"/>
            </a:p>
          </xdr:txBody>
        </xdr:sp>
      </mc:Choice>
      <mc:Fallback xmlns="">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4541404" y="32004000"/>
              <a:ext cx="260584"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61479</xdr:colOff>
      <xdr:row>171</xdr:row>
      <xdr:rowOff>196561</xdr:rowOff>
    </xdr:from>
    <xdr:ext cx="65" cy="181292"/>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4147704" y="326006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459219</xdr:colOff>
      <xdr:row>162</xdr:row>
      <xdr:rowOff>6062</xdr:rowOff>
    </xdr:from>
    <xdr:ext cx="398777" cy="1119476"/>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4545444" y="30609887"/>
              <a:ext cx="24686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459219</xdr:colOff>
      <xdr:row>159</xdr:row>
      <xdr:rowOff>10103</xdr:rowOff>
    </xdr:from>
    <xdr:ext cx="408159" cy="1119476"/>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m:t>
                        </m:r>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4545444" y="30013853"/>
              <a:ext cx="26577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476538</xdr:colOff>
      <xdr:row>161</xdr:row>
      <xdr:rowOff>6062</xdr:rowOff>
    </xdr:from>
    <xdr:ext cx="177452" cy="1119476"/>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14:m>
                <m:oMath xmlns:m="http://schemas.openxmlformats.org/officeDocument/2006/math">
                  <m:r>
                    <a:rPr lang="en-GB" sz="1100" i="1">
                      <a:latin typeface="Cambria Math" panose="02040503050406030204" pitchFamily="18" charset="0"/>
                      <a:ea typeface="Cambria Math" panose="02040503050406030204" pitchFamily="18" charset="0"/>
                    </a:rPr>
                    <m:t>𝜂</m:t>
                  </m:r>
                </m:oMath>
              </a14:m>
              <a:endParaRPr lang="en-GB" sz="1100"/>
            </a:p>
          </xdr:txBody>
        </xdr:sp>
      </mc:Choice>
      <mc:Fallback xmlns="">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4562763" y="30409862"/>
              <a:ext cx="15773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ea typeface="Cambria Math" panose="02040503050406030204" pitchFamily="18" charset="0"/>
                </a:rPr>
                <a:t>∆</a:t>
              </a: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456045</xdr:colOff>
      <xdr:row>171</xdr:row>
      <xdr:rowOff>6062</xdr:rowOff>
    </xdr:from>
    <xdr:ext cx="214358" cy="1115441"/>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a14:m>
              <a:endParaRPr lang="en-GB" sz="1100"/>
            </a:p>
          </xdr:txBody>
        </xdr:sp>
      </mc:Choice>
      <mc:Fallback xmlns="">
        <xdr:sp macro="" textlink="">
          <xdr:nvSpPr>
            <xdr:cNvPr id="30" name="TextBox 29">
              <a:extLst>
                <a:ext uri="{FF2B5EF4-FFF2-40B4-BE49-F238E27FC236}">
                  <a16:creationId xmlns:a16="http://schemas.microsoft.com/office/drawing/2014/main" id="{00000000-0008-0000-0100-00001E000000}"/>
                </a:ext>
              </a:extLst>
            </xdr:cNvPr>
            <xdr:cNvSpPr txBox="1"/>
          </xdr:nvSpPr>
          <xdr:spPr>
            <a:xfrm>
              <a:off x="4532745" y="32410112"/>
              <a:ext cx="18639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61479</xdr:colOff>
      <xdr:row>172</xdr:row>
      <xdr:rowOff>206086</xdr:rowOff>
    </xdr:from>
    <xdr:ext cx="65" cy="172227"/>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4147704" y="3280063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172</xdr:row>
      <xdr:rowOff>15587</xdr:rowOff>
    </xdr:from>
    <xdr:ext cx="213556" cy="1056928"/>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a14:m>
              <a:endParaRPr lang="en-GB" sz="1100"/>
            </a:p>
          </xdr:txBody>
        </xdr:sp>
      </mc:Choice>
      <mc:Fallback xmlns="">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4532745" y="32610137"/>
              <a:ext cx="17472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t>∆</a:t>
              </a: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631825</xdr:colOff>
      <xdr:row>157</xdr:row>
      <xdr:rowOff>114300</xdr:rowOff>
    </xdr:from>
    <xdr:ext cx="325217" cy="264560"/>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10262658" y="31906633"/>
          <a:ext cx="3252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__</a:t>
          </a:r>
        </a:p>
      </xdr:txBody>
    </xdr:sp>
    <xdr:clientData/>
  </xdr:oneCellAnchor>
  <xdr:oneCellAnchor>
    <xdr:from>
      <xdr:col>2</xdr:col>
      <xdr:colOff>459219</xdr:colOff>
      <xdr:row>143</xdr:row>
      <xdr:rowOff>10103</xdr:rowOff>
    </xdr:from>
    <xdr:ext cx="171826" cy="1119476"/>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2" name="TextBox 41">
              <a:extLst>
                <a:ext uri="{FF2B5EF4-FFF2-40B4-BE49-F238E27FC236}">
                  <a16:creationId xmlns:a16="http://schemas.microsoft.com/office/drawing/2014/main" id="{00000000-0008-0000-0100-00002A000000}"/>
                </a:ext>
              </a:extLst>
            </xdr:cNvPr>
            <xdr:cNvSpPr txBox="1"/>
          </xdr:nvSpPr>
          <xdr:spPr>
            <a:xfrm>
              <a:off x="4545444" y="26794403"/>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459219</xdr:colOff>
      <xdr:row>160</xdr:row>
      <xdr:rowOff>578</xdr:rowOff>
    </xdr:from>
    <xdr:ext cx="266396" cy="1119476"/>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m:t>
                    </m:r>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4545444" y="30213878"/>
              <a:ext cx="23679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61479</xdr:colOff>
      <xdr:row>153</xdr:row>
      <xdr:rowOff>196561</xdr:rowOff>
    </xdr:from>
    <xdr:ext cx="65" cy="172227"/>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4147704" y="2898111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153</xdr:row>
      <xdr:rowOff>6062</xdr:rowOff>
    </xdr:from>
    <xdr:ext cx="155364" cy="181140"/>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4774045" y="30983479"/>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45" name="TextBox 44">
              <a:extLst>
                <a:ext uri="{FF2B5EF4-FFF2-40B4-BE49-F238E27FC236}">
                  <a16:creationId xmlns:a16="http://schemas.microsoft.com/office/drawing/2014/main" id="{00000000-0008-0000-0100-00002D000000}"/>
                </a:ext>
              </a:extLst>
            </xdr:cNvPr>
            <xdr:cNvSpPr txBox="1"/>
          </xdr:nvSpPr>
          <xdr:spPr>
            <a:xfrm>
              <a:off x="4774045" y="30983479"/>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61479</xdr:colOff>
      <xdr:row>154</xdr:row>
      <xdr:rowOff>0</xdr:rowOff>
    </xdr:from>
    <xdr:ext cx="65" cy="172227"/>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4147704" y="28984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459219</xdr:colOff>
      <xdr:row>69</xdr:row>
      <xdr:rowOff>10103</xdr:rowOff>
    </xdr:from>
    <xdr:ext cx="335515" cy="111490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𝐶</m:t>
                        </m:r>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4545444" y="11983028"/>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476538</xdr:colOff>
      <xdr:row>70</xdr:row>
      <xdr:rowOff>6062</xdr:rowOff>
    </xdr:from>
    <xdr:ext cx="109967"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4794538"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𝜂</m:t>
                    </m:r>
                  </m:oMath>
                </m:oMathPara>
              </a14:m>
              <a:endParaRPr lang="en-GB" sz="1100"/>
            </a:p>
          </xdr:txBody>
        </xdr:sp>
      </mc:Choice>
      <mc:Fallback xmlns="">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4794538" y="14282979"/>
              <a:ext cx="1099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𝜂</a:t>
              </a:r>
              <a:endParaRPr lang="en-GB" sz="1100"/>
            </a:p>
          </xdr:txBody>
        </xdr:sp>
      </mc:Fallback>
    </mc:AlternateContent>
    <xdr:clientData/>
  </xdr:oneCellAnchor>
  <xdr:oneCellAnchor>
    <xdr:from>
      <xdr:col>2</xdr:col>
      <xdr:colOff>464704</xdr:colOff>
      <xdr:row>77</xdr:row>
      <xdr:rowOff>15586</xdr:rowOff>
    </xdr:from>
    <xdr:ext cx="411291" cy="110590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4541404" y="13579186"/>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464704</xdr:colOff>
      <xdr:row>78</xdr:row>
      <xdr:rowOff>5003</xdr:rowOff>
    </xdr:from>
    <xdr:ext cx="355949" cy="105692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4541404" y="137696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Sub>
                  </m:oMath>
                </m:oMathPara>
              </a14:m>
              <a:endParaRPr lang="en-GB" sz="1100"/>
            </a:p>
          </xdr:txBody>
        </xdr:sp>
      </mc:Choice>
      <mc:Fallback xmlns="">
        <xdr:sp macro="" textlink="">
          <xdr:nvSpPr>
            <xdr:cNvPr id="50" name="TextBox 49">
              <a:extLst>
                <a:ext uri="{FF2B5EF4-FFF2-40B4-BE49-F238E27FC236}">
                  <a16:creationId xmlns:a16="http://schemas.microsoft.com/office/drawing/2014/main" id="{00000000-0008-0000-0100-000032000000}"/>
                </a:ext>
              </a:extLst>
            </xdr:cNvPr>
            <xdr:cNvSpPr txBox="1"/>
          </xdr:nvSpPr>
          <xdr:spPr>
            <a:xfrm>
              <a:off x="4541404" y="13769686"/>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477404</xdr:colOff>
      <xdr:row>72</xdr:row>
      <xdr:rowOff>196561</xdr:rowOff>
    </xdr:from>
    <xdr:ext cx="217446" cy="1115441"/>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4554104" y="127695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4554104" y="127695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459219</xdr:colOff>
      <xdr:row>74</xdr:row>
      <xdr:rowOff>578</xdr:rowOff>
    </xdr:from>
    <xdr:ext cx="382597" cy="1119476"/>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4545444" y="129831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4545444" y="12983153"/>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512618</xdr:colOff>
      <xdr:row>75</xdr:row>
      <xdr:rowOff>866</xdr:rowOff>
    </xdr:from>
    <xdr:ext cx="90987" cy="17222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4830618" y="15283199"/>
              <a:ext cx="909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
                  </m:oMathParaPr>
                  <m:oMath xmlns:m="http://schemas.openxmlformats.org/officeDocument/2006/math">
                    <m:r>
                      <a:rPr lang="en-GB" sz="1100" b="0" i="1">
                        <a:latin typeface="Cambria Math" panose="02040503050406030204" pitchFamily="18" charset="0"/>
                      </a:rPr>
                      <m:t>𝑡</m:t>
                    </m:r>
                  </m:oMath>
                </m:oMathPara>
              </a14:m>
              <a:endParaRPr lang="en-GB" sz="1100"/>
            </a:p>
          </xdr:txBody>
        </xdr:sp>
      </mc:Choice>
      <mc:Fallback xmlns="">
        <xdr:sp macro="" textlink="">
          <xdr:nvSpPr>
            <xdr:cNvPr id="53" name="TextBox 52">
              <a:extLst>
                <a:ext uri="{FF2B5EF4-FFF2-40B4-BE49-F238E27FC236}">
                  <a16:creationId xmlns:a16="http://schemas.microsoft.com/office/drawing/2014/main" id="{00000000-0008-0000-0100-000035000000}"/>
                </a:ext>
              </a:extLst>
            </xdr:cNvPr>
            <xdr:cNvSpPr txBox="1"/>
          </xdr:nvSpPr>
          <xdr:spPr>
            <a:xfrm>
              <a:off x="4830618" y="15283199"/>
              <a:ext cx="909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477404</xdr:colOff>
      <xdr:row>71</xdr:row>
      <xdr:rowOff>196561</xdr:rowOff>
    </xdr:from>
    <xdr:ext cx="208105" cy="1119476"/>
    <mc:AlternateContent xmlns:mc="http://schemas.openxmlformats.org/markup-compatibility/2006" xmlns:a14="http://schemas.microsoft.com/office/drawing/2010/main">
      <mc:Choice Requires="a14">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4554104" y="125695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4" name="TextBox 53">
              <a:extLst>
                <a:ext uri="{FF2B5EF4-FFF2-40B4-BE49-F238E27FC236}">
                  <a16:creationId xmlns:a16="http://schemas.microsoft.com/office/drawing/2014/main" id="{00000000-0008-0000-0100-000036000000}"/>
                </a:ext>
              </a:extLst>
            </xdr:cNvPr>
            <xdr:cNvSpPr txBox="1"/>
          </xdr:nvSpPr>
          <xdr:spPr>
            <a:xfrm>
              <a:off x="4554104" y="12569536"/>
              <a:ext cx="1628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459219</xdr:colOff>
      <xdr:row>71</xdr:row>
      <xdr:rowOff>6062</xdr:rowOff>
    </xdr:from>
    <xdr:ext cx="203501" cy="1119476"/>
    <mc:AlternateContent xmlns:mc="http://schemas.openxmlformats.org/markup-compatibility/2006" xmlns:a14="http://schemas.microsoft.com/office/drawing/2010/main">
      <mc:Choice Requires="a14">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4545444" y="123790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4545444" y="12379037"/>
              <a:ext cx="1628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459219</xdr:colOff>
      <xdr:row>46</xdr:row>
      <xdr:rowOff>6062</xdr:rowOff>
    </xdr:from>
    <xdr:ext cx="212002" cy="1119476"/>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𝑝</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4545444" y="8778587"/>
              <a:ext cx="181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𝑝_𝐸</a:t>
              </a:r>
              <a:endParaRPr lang="en-GB" sz="1100"/>
            </a:p>
          </xdr:txBody>
        </xdr:sp>
      </mc:Fallback>
    </mc:AlternateContent>
    <xdr:clientData/>
  </xdr:oneCellAnchor>
  <xdr:oneCellAnchor>
    <xdr:from>
      <xdr:col>2</xdr:col>
      <xdr:colOff>459219</xdr:colOff>
      <xdr:row>65</xdr:row>
      <xdr:rowOff>578</xdr:rowOff>
    </xdr:from>
    <xdr:ext cx="171826" cy="1119476"/>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𝐼</m:t>
                        </m:r>
                      </m:e>
                      <m:sub>
                        <m:r>
                          <a:rPr lang="en-GB" sz="1100" b="0" i="1">
                            <a:latin typeface="Cambria Math" panose="02040503050406030204" pitchFamily="18" charset="0"/>
                          </a:rPr>
                          <m:t>𝐸</m:t>
                        </m:r>
                      </m:sub>
                    </m:sSub>
                  </m:oMath>
                </m:oMathPara>
              </a14:m>
              <a:endParaRPr lang="en-GB" sz="1100"/>
            </a:p>
          </xdr:txBody>
        </xdr:sp>
      </mc:Choice>
      <mc:Fallback xmlns="">
        <xdr:sp macro="" textlink="">
          <xdr:nvSpPr>
            <xdr:cNvPr id="57" name="TextBox 56">
              <a:extLst>
                <a:ext uri="{FF2B5EF4-FFF2-40B4-BE49-F238E27FC236}">
                  <a16:creationId xmlns:a16="http://schemas.microsoft.com/office/drawing/2014/main" id="{00000000-0008-0000-0100-000039000000}"/>
                </a:ext>
              </a:extLst>
            </xdr:cNvPr>
            <xdr:cNvSpPr txBox="1"/>
          </xdr:nvSpPr>
          <xdr:spPr>
            <a:xfrm>
              <a:off x="4545444" y="11182928"/>
              <a:ext cx="1527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𝐼_𝐸</a:t>
              </a:r>
              <a:endParaRPr lang="en-GB" sz="1100"/>
            </a:p>
          </xdr:txBody>
        </xdr:sp>
      </mc:Fallback>
    </mc:AlternateContent>
    <xdr:clientData/>
  </xdr:oneCellAnchor>
  <xdr:oneCellAnchor>
    <xdr:from>
      <xdr:col>2</xdr:col>
      <xdr:colOff>61479</xdr:colOff>
      <xdr:row>104</xdr:row>
      <xdr:rowOff>5003</xdr:rowOff>
    </xdr:from>
    <xdr:ext cx="65" cy="172227"/>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4379479" y="211187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551295</xdr:colOff>
      <xdr:row>103</xdr:row>
      <xdr:rowOff>14721</xdr:rowOff>
    </xdr:from>
    <xdr:ext cx="155364" cy="181140"/>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4869295"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m:oMathPara>
              </a14:m>
              <a:endParaRPr lang="en-GB" sz="1100"/>
            </a:p>
          </xdr:txBody>
        </xdr:sp>
      </mc:Choice>
      <mc:Fallback xmlns="">
        <xdr:sp macro="" textlink="">
          <xdr:nvSpPr>
            <xdr:cNvPr id="59" name="TextBox 58">
              <a:extLst>
                <a:ext uri="{FF2B5EF4-FFF2-40B4-BE49-F238E27FC236}">
                  <a16:creationId xmlns:a16="http://schemas.microsoft.com/office/drawing/2014/main" id="{00000000-0008-0000-0100-00003B000000}"/>
                </a:ext>
              </a:extLst>
            </xdr:cNvPr>
            <xdr:cNvSpPr txBox="1"/>
          </xdr:nvSpPr>
          <xdr:spPr>
            <a:xfrm>
              <a:off x="4869295" y="20927388"/>
              <a:ext cx="155364"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477118</xdr:colOff>
      <xdr:row>83</xdr:row>
      <xdr:rowOff>19050</xdr:rowOff>
    </xdr:from>
    <xdr:ext cx="348378" cy="1119476"/>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0" name="TextBox 59">
              <a:extLst>
                <a:ext uri="{FF2B5EF4-FFF2-40B4-BE49-F238E27FC236}">
                  <a16:creationId xmlns:a16="http://schemas.microsoft.com/office/drawing/2014/main" id="{00000000-0008-0000-0100-00003C000000}"/>
                </a:ext>
              </a:extLst>
            </xdr:cNvPr>
            <xdr:cNvSpPr txBox="1"/>
          </xdr:nvSpPr>
          <xdr:spPr>
            <a:xfrm>
              <a:off x="4563343" y="14792325"/>
              <a:ext cx="1692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𝑝_𝑠^∗</a:t>
              </a:r>
              <a:endParaRPr lang="en-GB" sz="1100"/>
            </a:p>
          </xdr:txBody>
        </xdr:sp>
      </mc:Fallback>
    </mc:AlternateContent>
    <xdr:clientData/>
  </xdr:oneCellAnchor>
  <xdr:oneCellAnchor>
    <xdr:from>
      <xdr:col>2</xdr:col>
      <xdr:colOff>439883</xdr:colOff>
      <xdr:row>81</xdr:row>
      <xdr:rowOff>15586</xdr:rowOff>
    </xdr:from>
    <xdr:ext cx="444065" cy="1068292"/>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1" name="TextBox 60">
              <a:extLst>
                <a:ext uri="{FF2B5EF4-FFF2-40B4-BE49-F238E27FC236}">
                  <a16:creationId xmlns:a16="http://schemas.microsoft.com/office/drawing/2014/main" id="{00000000-0008-0000-0100-00003D000000}"/>
                </a:ext>
              </a:extLst>
            </xdr:cNvPr>
            <xdr:cNvSpPr txBox="1"/>
          </xdr:nvSpPr>
          <xdr:spPr>
            <a:xfrm>
              <a:off x="4516583" y="14388811"/>
              <a:ext cx="29604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𝐶_𝑐𝑎𝑝^∗</a:t>
              </a:r>
              <a:endParaRPr lang="en-GB" sz="1100"/>
            </a:p>
          </xdr:txBody>
        </xdr:sp>
      </mc:Fallback>
    </mc:AlternateContent>
    <xdr:clientData/>
  </xdr:oneCellAnchor>
  <xdr:oneCellAnchor>
    <xdr:from>
      <xdr:col>2</xdr:col>
      <xdr:colOff>477982</xdr:colOff>
      <xdr:row>84</xdr:row>
      <xdr:rowOff>1731</xdr:rowOff>
    </xdr:from>
    <xdr:ext cx="354114" cy="1119476"/>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4554682" y="14975031"/>
              <a:ext cx="167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85</xdr:row>
      <xdr:rowOff>1731</xdr:rowOff>
    </xdr:from>
    <xdr:ext cx="359176" cy="1096902"/>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3" name="TextBox 62">
              <a:extLst>
                <a:ext uri="{FF2B5EF4-FFF2-40B4-BE49-F238E27FC236}">
                  <a16:creationId xmlns:a16="http://schemas.microsoft.com/office/drawing/2014/main" id="{00000000-0008-0000-0100-00003F000000}"/>
                </a:ext>
              </a:extLst>
            </xdr:cNvPr>
            <xdr:cNvSpPr txBox="1"/>
          </xdr:nvSpPr>
          <xdr:spPr>
            <a:xfrm>
              <a:off x="4554682" y="15175056"/>
              <a:ext cx="174983"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86</xdr:row>
      <xdr:rowOff>1731</xdr:rowOff>
    </xdr:from>
    <xdr:ext cx="330639" cy="110990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𝑞</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4" name="TextBox 63">
              <a:extLst>
                <a:ext uri="{FF2B5EF4-FFF2-40B4-BE49-F238E27FC236}">
                  <a16:creationId xmlns:a16="http://schemas.microsoft.com/office/drawing/2014/main" id="{00000000-0008-0000-0100-000040000000}"/>
                </a:ext>
              </a:extLst>
            </xdr:cNvPr>
            <xdr:cNvSpPr txBox="1"/>
          </xdr:nvSpPr>
          <xdr:spPr>
            <a:xfrm>
              <a:off x="4554682" y="15375081"/>
              <a:ext cx="19287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𝑞 ̇_𝑠^−</a:t>
              </a:r>
              <a:endParaRPr lang="en-GB" sz="1100"/>
            </a:p>
          </xdr:txBody>
        </xdr:sp>
      </mc:Fallback>
    </mc:AlternateContent>
    <xdr:clientData/>
  </xdr:oneCellAnchor>
  <xdr:oneCellAnchor>
    <xdr:from>
      <xdr:col>2</xdr:col>
      <xdr:colOff>477982</xdr:colOff>
      <xdr:row>87</xdr:row>
      <xdr:rowOff>1731</xdr:rowOff>
    </xdr:from>
    <xdr:ext cx="344043" cy="110590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4554682" y="155751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5" name="TextBox 64">
              <a:extLst>
                <a:ext uri="{FF2B5EF4-FFF2-40B4-BE49-F238E27FC236}">
                  <a16:creationId xmlns:a16="http://schemas.microsoft.com/office/drawing/2014/main" id="{00000000-0008-0000-0100-000041000000}"/>
                </a:ext>
              </a:extLst>
            </xdr:cNvPr>
            <xdr:cNvSpPr txBox="1"/>
          </xdr:nvSpPr>
          <xdr:spPr>
            <a:xfrm>
              <a:off x="4554682" y="1557510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88</xdr:row>
      <xdr:rowOff>1731</xdr:rowOff>
    </xdr:from>
    <xdr:ext cx="367226" cy="110590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4554682" y="157751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6" name="TextBox 65">
              <a:extLst>
                <a:ext uri="{FF2B5EF4-FFF2-40B4-BE49-F238E27FC236}">
                  <a16:creationId xmlns:a16="http://schemas.microsoft.com/office/drawing/2014/main" id="{00000000-0008-0000-0100-000042000000}"/>
                </a:ext>
              </a:extLst>
            </xdr:cNvPr>
            <xdr:cNvSpPr txBox="1"/>
          </xdr:nvSpPr>
          <xdr:spPr>
            <a:xfrm>
              <a:off x="4554682" y="1577513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89</xdr:row>
      <xdr:rowOff>1731</xdr:rowOff>
    </xdr:from>
    <xdr:ext cx="337435" cy="1115441"/>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4554682" y="159751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4554682" y="1597515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477982</xdr:colOff>
      <xdr:row>109</xdr:row>
      <xdr:rowOff>1731</xdr:rowOff>
    </xdr:from>
    <xdr:ext cx="353096" cy="1059669"/>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4554682" y="19975656"/>
              <a:ext cx="1810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110</xdr:row>
      <xdr:rowOff>1731</xdr:rowOff>
    </xdr:from>
    <xdr:ext cx="376642" cy="1059669"/>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4554682" y="20175681"/>
              <a:ext cx="188321"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477982</xdr:colOff>
      <xdr:row>111</xdr:row>
      <xdr:rowOff>1731</xdr:rowOff>
    </xdr:from>
    <xdr:ext cx="346808" cy="1059669"/>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4554682" y="20375706"/>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2</xdr:col>
      <xdr:colOff>79664</xdr:colOff>
      <xdr:row>82</xdr:row>
      <xdr:rowOff>1732</xdr:rowOff>
    </xdr:from>
    <xdr:ext cx="1042401" cy="197427"/>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m:oMathPara>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4156364"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459219</xdr:colOff>
      <xdr:row>91</xdr:row>
      <xdr:rowOff>578</xdr:rowOff>
    </xdr:from>
    <xdr:ext cx="382597" cy="1119476"/>
    <mc:AlternateContent xmlns:mc="http://schemas.openxmlformats.org/markup-compatibility/2006" xmlns:a14="http://schemas.microsoft.com/office/drawing/2010/main">
      <mc:Choice Requires="a14">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4545444" y="163835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𝐸</m:t>
                        </m:r>
                      </m:e>
                      <m:sub>
                        <m:r>
                          <a:rPr lang="en-GB" sz="1100" b="0" i="1">
                            <a:latin typeface="Cambria Math" panose="02040503050406030204" pitchFamily="18" charset="0"/>
                          </a:rPr>
                          <m:t>𝑒𝑚𝑏</m:t>
                        </m:r>
                      </m:sub>
                    </m:sSub>
                  </m:oMath>
                </m:oMathPara>
              </a14:m>
              <a:endParaRPr lang="en-GB" sz="1100"/>
            </a:p>
          </xdr:txBody>
        </xdr:sp>
      </mc:Choice>
      <mc:Fallback xmlns="">
        <xdr:sp macro="" textlink="">
          <xdr:nvSpPr>
            <xdr:cNvPr id="72" name="TextBox 71">
              <a:extLst>
                <a:ext uri="{FF2B5EF4-FFF2-40B4-BE49-F238E27FC236}">
                  <a16:creationId xmlns:a16="http://schemas.microsoft.com/office/drawing/2014/main" id="{00000000-0008-0000-0100-000048000000}"/>
                </a:ext>
              </a:extLst>
            </xdr:cNvPr>
            <xdr:cNvSpPr txBox="1"/>
          </xdr:nvSpPr>
          <xdr:spPr>
            <a:xfrm>
              <a:off x="4545444" y="16383578"/>
              <a:ext cx="33477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𝐸_𝑒𝑚𝑏</a:t>
              </a:r>
              <a:endParaRPr lang="en-GB" sz="1100"/>
            </a:p>
          </xdr:txBody>
        </xdr:sp>
      </mc:Fallback>
    </mc:AlternateContent>
    <xdr:clientData/>
  </xdr:oneCellAnchor>
  <xdr:oneCellAnchor>
    <xdr:from>
      <xdr:col>2</xdr:col>
      <xdr:colOff>459797</xdr:colOff>
      <xdr:row>92</xdr:row>
      <xdr:rowOff>27708</xdr:rowOff>
    </xdr:from>
    <xdr:ext cx="179392" cy="1119476"/>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4546022" y="166012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i="1">
                            <a:latin typeface="Cambria Math" panose="02040503050406030204" pitchFamily="18" charset="0"/>
                          </a:rPr>
                        </m:ctrlPr>
                      </m:sSupPr>
                      <m:e>
                        <m:r>
                          <a:rPr lang="en-GB" sz="1100" b="0" i="1">
                            <a:latin typeface="Cambria Math" panose="02040503050406030204" pitchFamily="18" charset="0"/>
                          </a:rPr>
                          <m:t>𝑡</m:t>
                        </m:r>
                      </m:e>
                      <m:sup>
                        <m:r>
                          <a:rPr lang="en-GB" sz="1100" b="0" i="1">
                            <a:latin typeface="Cambria Math" panose="02040503050406030204" pitchFamily="18" charset="0"/>
                          </a:rPr>
                          <m:t>∗</m:t>
                        </m:r>
                      </m:sup>
                    </m:sSup>
                  </m:oMath>
                </m:oMathPara>
              </a14:m>
              <a:endParaRPr lang="en-GB" sz="1100"/>
            </a:p>
          </xdr:txBody>
        </xdr:sp>
      </mc:Choice>
      <mc:Fallback xmlns="">
        <xdr:sp macro="" textlink="">
          <xdr:nvSpPr>
            <xdr:cNvPr id="73" name="TextBox 72">
              <a:extLst>
                <a:ext uri="{FF2B5EF4-FFF2-40B4-BE49-F238E27FC236}">
                  <a16:creationId xmlns:a16="http://schemas.microsoft.com/office/drawing/2014/main" id="{00000000-0008-0000-0100-000049000000}"/>
                </a:ext>
              </a:extLst>
            </xdr:cNvPr>
            <xdr:cNvSpPr txBox="1"/>
          </xdr:nvSpPr>
          <xdr:spPr>
            <a:xfrm>
              <a:off x="4546022" y="16601208"/>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𝑡^∗</a:t>
              </a:r>
              <a:endParaRPr lang="en-GB" sz="1100"/>
            </a:p>
          </xdr:txBody>
        </xdr:sp>
      </mc:Fallback>
    </mc:AlternateContent>
    <xdr:clientData/>
  </xdr:oneCellAnchor>
  <xdr:oneCellAnchor>
    <xdr:from>
      <xdr:col>2</xdr:col>
      <xdr:colOff>440748</xdr:colOff>
      <xdr:row>94</xdr:row>
      <xdr:rowOff>18184</xdr:rowOff>
    </xdr:from>
    <xdr:ext cx="545200" cy="1050612"/>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𝑒𝑚𝑏</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4" name="TextBox 73">
              <a:extLst>
                <a:ext uri="{FF2B5EF4-FFF2-40B4-BE49-F238E27FC236}">
                  <a16:creationId xmlns:a16="http://schemas.microsoft.com/office/drawing/2014/main" id="{00000000-0008-0000-0100-00004A000000}"/>
                </a:ext>
              </a:extLst>
            </xdr:cNvPr>
            <xdr:cNvSpPr txBox="1"/>
          </xdr:nvSpPr>
          <xdr:spPr>
            <a:xfrm>
              <a:off x="4526973" y="16982209"/>
              <a:ext cx="33477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̇_𝑒𝑚𝑏^∗</a:t>
              </a:r>
              <a:endParaRPr lang="en-GB" sz="1100"/>
            </a:p>
          </xdr:txBody>
        </xdr:sp>
      </mc:Fallback>
    </mc:AlternateContent>
    <xdr:clientData/>
  </xdr:oneCellAnchor>
  <xdr:oneCellAnchor>
    <xdr:from>
      <xdr:col>2</xdr:col>
      <xdr:colOff>440748</xdr:colOff>
      <xdr:row>95</xdr:row>
      <xdr:rowOff>18184</xdr:rowOff>
    </xdr:from>
    <xdr:ext cx="490632" cy="1056928"/>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4526973" y="171822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75" name="TextBox 74">
              <a:extLst>
                <a:ext uri="{FF2B5EF4-FFF2-40B4-BE49-F238E27FC236}">
                  <a16:creationId xmlns:a16="http://schemas.microsoft.com/office/drawing/2014/main" id="{00000000-0008-0000-0100-00004B000000}"/>
                </a:ext>
              </a:extLst>
            </xdr:cNvPr>
            <xdr:cNvSpPr txBox="1"/>
          </xdr:nvSpPr>
          <xdr:spPr>
            <a:xfrm>
              <a:off x="4526973" y="17182234"/>
              <a:ext cx="27898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̇_𝑚𝑑^∗</a:t>
              </a:r>
              <a:endParaRPr lang="en-GB" sz="1100"/>
            </a:p>
          </xdr:txBody>
        </xdr:sp>
      </mc:Fallback>
    </mc:AlternateContent>
    <xdr:clientData/>
  </xdr:oneCellAnchor>
  <xdr:oneCellAnchor>
    <xdr:from>
      <xdr:col>2</xdr:col>
      <xdr:colOff>406977</xdr:colOff>
      <xdr:row>90</xdr:row>
      <xdr:rowOff>0</xdr:rowOff>
    </xdr:from>
    <xdr:ext cx="428253" cy="1084584"/>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4483677" y="161734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𝑆</m:t>
                            </m:r>
                          </m:e>
                        </m:acc>
                      </m:e>
                      <m:sub>
                        <m:r>
                          <a:rPr lang="en-GB" sz="1100" b="0" i="1">
                            <a:latin typeface="Cambria Math" panose="02040503050406030204" pitchFamily="18" charset="0"/>
                          </a:rPr>
                          <m:t>𝑑𝑒𝑣</m:t>
                        </m:r>
                      </m:sub>
                      <m:sup/>
                    </m:sSubSup>
                  </m:oMath>
                </m:oMathPara>
              </a14:m>
              <a:endParaRPr lang="en-GB" sz="1100"/>
            </a:p>
          </xdr:txBody>
        </xdr:sp>
      </mc:Choice>
      <mc:Fallback xmlns="">
        <xdr:sp macro="" textlink="">
          <xdr:nvSpPr>
            <xdr:cNvPr id="76" name="TextBox 75">
              <a:extLst>
                <a:ext uri="{FF2B5EF4-FFF2-40B4-BE49-F238E27FC236}">
                  <a16:creationId xmlns:a16="http://schemas.microsoft.com/office/drawing/2014/main" id="{00000000-0008-0000-0100-00004C000000}"/>
                </a:ext>
              </a:extLst>
            </xdr:cNvPr>
            <xdr:cNvSpPr txBox="1"/>
          </xdr:nvSpPr>
          <xdr:spPr>
            <a:xfrm>
              <a:off x="4483677" y="16173450"/>
              <a:ext cx="288605" cy="1946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𝑆 ̇_𝑑𝑒𝑣^ </a:t>
              </a:r>
              <a:endParaRPr lang="en-GB" sz="1100"/>
            </a:p>
          </xdr:txBody>
        </xdr:sp>
      </mc:Fallback>
    </mc:AlternateContent>
    <xdr:clientData/>
  </xdr:oneCellAnchor>
  <xdr:oneCellAnchor>
    <xdr:from>
      <xdr:col>2</xdr:col>
      <xdr:colOff>545522</xdr:colOff>
      <xdr:row>105</xdr:row>
      <xdr:rowOff>18185</xdr:rowOff>
    </xdr:from>
    <xdr:ext cx="126958" cy="182229"/>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4863522"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𝐺</m:t>
                        </m:r>
                      </m:e>
                    </m:acc>
                  </m:oMath>
                </m:oMathPara>
              </a14:m>
              <a:endParaRPr lang="en-GB" sz="1100"/>
            </a:p>
          </xdr:txBody>
        </xdr:sp>
      </mc:Choice>
      <mc:Fallback xmlns="">
        <xdr:sp macro="" textlink="">
          <xdr:nvSpPr>
            <xdr:cNvPr id="77" name="TextBox 76">
              <a:extLst>
                <a:ext uri="{FF2B5EF4-FFF2-40B4-BE49-F238E27FC236}">
                  <a16:creationId xmlns:a16="http://schemas.microsoft.com/office/drawing/2014/main" id="{00000000-0008-0000-0100-00004D000000}"/>
                </a:ext>
              </a:extLst>
            </xdr:cNvPr>
            <xdr:cNvSpPr txBox="1"/>
          </xdr:nvSpPr>
          <xdr:spPr>
            <a:xfrm>
              <a:off x="4863522" y="21333018"/>
              <a:ext cx="12695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𝐺 ̇</a:t>
              </a:r>
              <a:endParaRPr lang="en-GB" sz="1100"/>
            </a:p>
          </xdr:txBody>
        </xdr:sp>
      </mc:Fallback>
    </mc:AlternateContent>
    <xdr:clientData/>
  </xdr:oneCellAnchor>
  <xdr:oneCellAnchor>
    <xdr:from>
      <xdr:col>6</xdr:col>
      <xdr:colOff>77932</xdr:colOff>
      <xdr:row>105</xdr:row>
      <xdr:rowOff>0</xdr:rowOff>
    </xdr:from>
    <xdr:ext cx="1373364" cy="1112556"/>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p>
                    <m:sSupPr>
                      <m:ctrlPr>
                        <a:rPr lang="en-GB" sz="1100" b="0" i="1">
                          <a:latin typeface="Cambria Math" panose="02040503050406030204" pitchFamily="18" charset="0"/>
                        </a:rPr>
                      </m:ctrlPr>
                    </m:sSupPr>
                    <m:e>
                      <m:acc>
                        <m:accPr>
                          <m:chr m:val="̇"/>
                          <m:ctrlPr>
                            <a:rPr lang="en-GB" sz="1100" b="0" i="1">
                              <a:latin typeface="Cambria Math" panose="02040503050406030204" pitchFamily="18" charset="0"/>
                            </a:rPr>
                          </m:ctrlPr>
                        </m:accPr>
                        <m:e>
                          <m:r>
                            <a:rPr lang="en-GB" sz="1100" b="0" i="1">
                              <a:latin typeface="Cambria Math" panose="02040503050406030204" pitchFamily="18" charset="0"/>
                            </a:rPr>
                            <m:t>𝐺</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r>
                        <m:rPr>
                          <m:nor/>
                        </m:rPr>
                        <a:rPr lang="en-GB" sz="1100" b="0" i="0">
                          <a:solidFill>
                            <a:schemeClr val="tx1"/>
                          </a:solidFill>
                          <a:effectLst/>
                          <a:latin typeface="+mn-lt"/>
                          <a:ea typeface="+mn-ea"/>
                          <a:cs typeface="+mn-cs"/>
                        </a:rPr>
                        <m:t> </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 </m:t>
                          </m:r>
                          <m:r>
                            <a:rPr lang="en-GB" sz="1100" b="0" i="1">
                              <a:solidFill>
                                <a:schemeClr val="tx1"/>
                              </a:solidFill>
                              <a:effectLst/>
                              <a:latin typeface="Cambria Math" panose="02040503050406030204" pitchFamily="18" charset="0"/>
                              <a:ea typeface="+mn-ea"/>
                              <a:cs typeface="+mn-cs"/>
                            </a:rPr>
                            <m:t>𝐺</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9469582" y="19173825"/>
              <a:ext cx="73436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𝐺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 𝐺 ̇〗^^</a:t>
              </a:r>
              <a:r>
                <a:rPr lang="en-GB" sz="1100"/>
                <a:t>=</a:t>
              </a:r>
              <a:r>
                <a:rPr lang="en-GB" sz="1100" b="0" i="0">
                  <a:solidFill>
                    <a:schemeClr val="tx1"/>
                  </a:solidFill>
                  <a:effectLst/>
                  <a:latin typeface="Cambria Math" panose="02040503050406030204" pitchFamily="18" charset="0"/>
                  <a:ea typeface="+mn-ea"/>
                  <a:cs typeface="+mn-cs"/>
                </a:rPr>
                <a:t>( 𝐺) ̇^−</a:t>
              </a:r>
              <a:endParaRPr lang="en-GB" sz="1100"/>
            </a:p>
          </xdr:txBody>
        </xdr:sp>
      </mc:Fallback>
    </mc:AlternateContent>
    <xdr:clientData/>
  </xdr:oneCellAnchor>
  <xdr:oneCellAnchor>
    <xdr:from>
      <xdr:col>6</xdr:col>
      <xdr:colOff>77932</xdr:colOff>
      <xdr:row>103</xdr:row>
      <xdr:rowOff>0</xdr:rowOff>
    </xdr:from>
    <xdr:ext cx="2384700" cy="110590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sSup>
                    <m:sSupPr>
                      <m:ctrlPr>
                        <a:rPr lang="en-GB" sz="1100" b="0" i="1">
                          <a:latin typeface="Cambria Math" panose="02040503050406030204" pitchFamily="18" charset="0"/>
                        </a:rPr>
                      </m:ctrlPr>
                    </m:sSupPr>
                    <m:e>
                      <m:r>
                        <m:rPr>
                          <m:nor/>
                        </m:rPr>
                        <a:rPr lang="en-GB" sz="1100">
                          <a:solidFill>
                            <a:schemeClr val="tx1"/>
                          </a:solidFill>
                          <a:effectLst/>
                          <a:latin typeface="+mn-lt"/>
                          <a:ea typeface="+mn-ea"/>
                          <a:cs typeface="+mn-cs"/>
                        </a:rPr>
                        <m:t>=</m:t>
                      </m:r>
                      <m:acc>
                        <m:accPr>
                          <m:chr m:val="̇"/>
                          <m:ctrlPr>
                            <a:rPr lang="en-GB" sz="1100" b="0" i="1">
                              <a:latin typeface="Cambria Math" panose="02040503050406030204" pitchFamily="18" charset="0"/>
                            </a:rPr>
                          </m:ctrlPr>
                        </m:accPr>
                        <m:e>
                          <m:r>
                            <a:rPr lang="en-GB" sz="1100" b="0" i="1">
                              <a:latin typeface="Cambria Math" panose="02040503050406030204" pitchFamily="18" charset="0"/>
                            </a:rPr>
                            <m:t>𝑀</m:t>
                          </m:r>
                        </m:e>
                      </m:acc>
                    </m:e>
                    <m:sup>
                      <m:r>
                        <a:rPr lang="en-GB" sz="1100" b="0" i="1">
                          <a:latin typeface="Cambria Math" panose="02040503050406030204" pitchFamily="18" charset="0"/>
                        </a:rPr>
                        <m:t>∗</m:t>
                      </m:r>
                    </m:sup>
                  </m:sSup>
                  <m:sSup>
                    <m:sSupPr>
                      <m:ctrlPr>
                        <a:rPr lang="en-GB" sz="1100" b="0" i="1">
                          <a:solidFill>
                            <a:schemeClr val="tx1"/>
                          </a:solidFill>
                          <a:effectLst/>
                          <a:latin typeface="Cambria Math" panose="02040503050406030204" pitchFamily="18" charset="0"/>
                          <a:ea typeface="+mn-ea"/>
                          <a:cs typeface="+mn-cs"/>
                        </a:rPr>
                      </m:ctrlPr>
                    </m:sSupPr>
                    <m:e>
                      <m:r>
                        <m:rPr>
                          <m:nor/>
                        </m:rPr>
                        <a:rPr lang="en-GB" sz="1100">
                          <a:solidFill>
                            <a:schemeClr val="tx1"/>
                          </a:solidFill>
                          <a:effectLst/>
                          <a:latin typeface="+mn-lt"/>
                          <a:ea typeface="+mn-ea"/>
                          <a:cs typeface="+mn-cs"/>
                        </a:rPr>
                        <m:t>=</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r>
                <a:rPr lang="en-GB" sz="1100"/>
                <a:t>=</a:t>
              </a:r>
              <a14:m>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e>
                    <m:sup>
                      <m:r>
                        <a:rPr lang="en-GB" sz="1100" b="0" i="1">
                          <a:solidFill>
                            <a:schemeClr val="tx1"/>
                          </a:solidFill>
                          <a:effectLst/>
                          <a:latin typeface="Cambria Math" panose="02040503050406030204" pitchFamily="18" charset="0"/>
                          <a:ea typeface="+mn-ea"/>
                          <a:cs typeface="+mn-cs"/>
                        </a:rPr>
                        <m:t>~</m:t>
                      </m:r>
                    </m:sup>
                  </m:sSup>
                </m:oMath>
              </a14:m>
              <a:endParaRPr lang="en-GB" sz="1100"/>
            </a:p>
          </xdr:txBody>
        </xdr:sp>
      </mc:Choice>
      <mc:Fallback xmlns="">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469582" y="18773775"/>
              <a:ext cx="121610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𝑀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𝑀 ̇〗^∗</a:t>
              </a:r>
              <a:r>
                <a:rPr lang="en-GB" sz="1100" b="0" i="0">
                  <a:solidFill>
                    <a:schemeClr val="tx1"/>
                  </a:solidFill>
                  <a:effectLst/>
                  <a:latin typeface="Cambria Math" panose="02040503050406030204" pitchFamily="18" charset="0"/>
                  <a:ea typeface="+mn-ea"/>
                  <a:cs typeface="+mn-cs"/>
                </a:rPr>
                <a:t> 〖</a:t>
              </a:r>
              <a:r>
                <a:rPr lang="en-GB" sz="1100" b="0" i="0">
                  <a:solidFill>
                    <a:schemeClr val="tx1"/>
                  </a:solidFill>
                  <a:effectLst/>
                  <a:latin typeface="+mn-lt"/>
                  <a:ea typeface="+mn-ea"/>
                  <a:cs typeface="+mn-cs"/>
                </a:rPr>
                <a:t>"</a:t>
              </a:r>
              <a:r>
                <a:rPr lang="en-GB" sz="110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 𝑀 ̇〗^^</a:t>
              </a:r>
              <a:r>
                <a:rPr lang="en-GB" sz="1100"/>
                <a:t>=</a:t>
              </a:r>
              <a:r>
                <a:rPr lang="en-GB" sz="1100" b="0" i="0">
                  <a:solidFill>
                    <a:schemeClr val="tx1"/>
                  </a:solidFill>
                  <a:effectLst/>
                  <a:latin typeface="Cambria Math" panose="02040503050406030204" pitchFamily="18" charset="0"/>
                  <a:ea typeface="+mn-ea"/>
                  <a:cs typeface="+mn-cs"/>
                </a:rPr>
                <a:t>𝑀 ̇^−</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𝑀 ̇^~</a:t>
              </a:r>
              <a:endParaRPr lang="en-GB" sz="1100"/>
            </a:p>
          </xdr:txBody>
        </xdr:sp>
      </mc:Fallback>
    </mc:AlternateContent>
    <xdr:clientData/>
  </xdr:oneCellAnchor>
  <xdr:oneCellAnchor>
    <xdr:from>
      <xdr:col>6</xdr:col>
      <xdr:colOff>88324</xdr:colOff>
      <xdr:row>83</xdr:row>
      <xdr:rowOff>866</xdr:rowOff>
    </xdr:from>
    <xdr:ext cx="1841477" cy="1167823"/>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𝑝</m:t>
                      </m:r>
                    </m:e>
                    <m:sub>
                      <m:r>
                        <a:rPr lang="en-GB" sz="1100" b="0" i="1">
                          <a:latin typeface="Cambria Math" panose="02040503050406030204" pitchFamily="18" charset="0"/>
                        </a:rPr>
                        <m:t>𝑠</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9479974" y="14783666"/>
              <a:ext cx="1025152" cy="1796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𝑝_𝑠^∗=</a:t>
              </a:r>
              <a:r>
                <a:rPr lang="en-GB" sz="1100" b="0" i="0">
                  <a:solidFill>
                    <a:schemeClr val="tx1"/>
                  </a:solidFill>
                  <a:effectLst/>
                  <a:latin typeface="Cambria Math" panose="02040503050406030204" pitchFamily="18" charset="0"/>
                  <a:ea typeface="+mn-ea"/>
                  <a:cs typeface="+mn-cs"/>
                </a:rPr>
                <a:t>𝑝_𝑠^^</a:t>
              </a:r>
              <a:r>
                <a:rPr lang="en-GB" sz="1100"/>
                <a:t> =</a:t>
              </a:r>
              <a:r>
                <a:rPr lang="en-GB" sz="1100" b="0" i="0">
                  <a:solidFill>
                    <a:schemeClr val="tx1"/>
                  </a:solidFill>
                  <a:effectLst/>
                  <a:latin typeface="Cambria Math" panose="02040503050406030204" pitchFamily="18" charset="0"/>
                  <a:ea typeface="+mn-ea"/>
                  <a:cs typeface="+mn-cs"/>
                </a:rPr>
                <a:t> 𝑝_𝑠^−</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𝑝_𝑠^~</a:t>
              </a:r>
              <a:endParaRPr lang="en-GB" sz="1100"/>
            </a:p>
          </xdr:txBody>
        </xdr:sp>
      </mc:Fallback>
    </mc:AlternateContent>
    <xdr:clientData/>
  </xdr:oneCellAnchor>
  <xdr:oneCellAnchor>
    <xdr:from>
      <xdr:col>6</xdr:col>
      <xdr:colOff>76201</xdr:colOff>
      <xdr:row>81</xdr:row>
      <xdr:rowOff>15586</xdr:rowOff>
    </xdr:from>
    <xdr:ext cx="1602569" cy="10588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100" i="1">
                          <a:latin typeface="Cambria Math" panose="02040503050406030204" pitchFamily="18" charset="0"/>
                        </a:rPr>
                      </m:ctrlPr>
                    </m:sSubSupPr>
                    <m:e>
                      <m:r>
                        <a:rPr lang="en-GB" sz="1100" b="0" i="1">
                          <a:latin typeface="Cambria Math" panose="02040503050406030204" pitchFamily="18" charset="0"/>
                        </a:rPr>
                        <m:t>𝐶</m:t>
                      </m:r>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r>
                <a:rPr lang="en-GB" sz="1100"/>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bSup>
                    <m:sSubSupPr>
                      <m:ctrlPr>
                        <a:rPr lang="en-GB" sz="1100" i="1">
                          <a:solidFill>
                            <a:schemeClr val="tx1"/>
                          </a:solidFill>
                          <a:effectLst/>
                          <a:latin typeface="Cambria Math" panose="02040503050406030204" pitchFamily="18" charset="0"/>
                          <a:ea typeface="+mn-ea"/>
                          <a:cs typeface="+mn-cs"/>
                        </a:rPr>
                      </m:ctrlPr>
                    </m:sSubSupPr>
                    <m:e>
                      <m:r>
                        <a:rPr lang="en-GB" sz="1100" b="0" i="1">
                          <a:solidFill>
                            <a:schemeClr val="tx1"/>
                          </a:solidFill>
                          <a:effectLst/>
                          <a:latin typeface="Cambria Math" panose="02040503050406030204" pitchFamily="18" charset="0"/>
                          <a:ea typeface="+mn-ea"/>
                          <a:cs typeface="+mn-cs"/>
                        </a:rPr>
                        <m:t>𝐶</m:t>
                      </m:r>
                    </m:e>
                    <m:sub>
                      <m:r>
                        <a:rPr lang="en-GB" sz="1100" b="0" i="1">
                          <a:solidFill>
                            <a:schemeClr val="tx1"/>
                          </a:solidFill>
                          <a:effectLst/>
                          <a:latin typeface="Cambria Math" panose="02040503050406030204" pitchFamily="18" charset="0"/>
                          <a:ea typeface="+mn-ea"/>
                          <a:cs typeface="+mn-cs"/>
                        </a:rPr>
                        <m:t>𝑐𝑎𝑝</m:t>
                      </m:r>
                    </m:sub>
                    <m:sup>
                      <m:r>
                        <a:rPr lang="en-GB" sz="1100" b="0" i="1">
                          <a:solidFill>
                            <a:schemeClr val="tx1"/>
                          </a:solidFill>
                          <a:effectLst/>
                          <a:latin typeface="Cambria Math" panose="02040503050406030204" pitchFamily="18" charset="0"/>
                          <a:ea typeface="+mn-ea"/>
                          <a:cs typeface="+mn-cs"/>
                        </a:rPr>
                        <m:t>−</m:t>
                      </m:r>
                    </m:sup>
                  </m:sSubSup>
                </m:oMath>
              </a14:m>
              <a:endParaRPr lang="en-GB" sz="1100"/>
            </a:p>
          </xdr:txBody>
        </xdr:sp>
      </mc:Choice>
      <mc:Fallback xmlns="">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467851" y="14388811"/>
              <a:ext cx="1109471" cy="1900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𝐶_𝑐𝑎𝑝^∗=</a:t>
              </a:r>
              <a:r>
                <a:rPr lang="en-GB" sz="1100" b="0" i="0">
                  <a:solidFill>
                    <a:schemeClr val="tx1"/>
                  </a:solidFill>
                  <a:effectLst/>
                  <a:latin typeface="Cambria Math" panose="02040503050406030204" pitchFamily="18" charset="0"/>
                  <a:ea typeface="+mn-ea"/>
                  <a:cs typeface="+mn-cs"/>
                </a:rPr>
                <a:t>𝐶_𝑐𝑎𝑝^^</a:t>
              </a:r>
              <a:r>
                <a:rPr lang="en-GB" sz="1100"/>
                <a:t> =</a:t>
              </a:r>
              <a:r>
                <a:rPr lang="en-GB" sz="1100" b="0" i="0">
                  <a:solidFill>
                    <a:schemeClr val="tx1"/>
                  </a:solidFill>
                  <a:effectLst/>
                  <a:latin typeface="Cambria Math" panose="02040503050406030204" pitchFamily="18" charset="0"/>
                  <a:ea typeface="+mn-ea"/>
                  <a:cs typeface="+mn-cs"/>
                </a:rPr>
                <a:t> 𝐶_𝑐𝑎𝑝^−</a:t>
              </a:r>
              <a:endParaRPr lang="en-GB" sz="1100"/>
            </a:p>
          </xdr:txBody>
        </xdr:sp>
      </mc:Fallback>
    </mc:AlternateContent>
    <xdr:clientData/>
  </xdr:oneCellAnchor>
  <xdr:oneCellAnchor>
    <xdr:from>
      <xdr:col>6</xdr:col>
      <xdr:colOff>114300</xdr:colOff>
      <xdr:row>82</xdr:row>
      <xdr:rowOff>1732</xdr:rowOff>
    </xdr:from>
    <xdr:ext cx="1051964" cy="1974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r>
                    <a:rPr lang="en-GB" sz="1100" b="0" i="1">
                      <a:latin typeface="Cambria Math" panose="02040503050406030204" pitchFamily="18" charset="0"/>
                    </a:rPr>
                    <m:t>=</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r>
                <a:rPr lang="en-GB">
                  <a:effectLst/>
                </a:rPr>
                <a:t> =</a:t>
              </a:r>
              <a14:m>
                <m:oMath xmlns:m="http://schemas.openxmlformats.org/officeDocument/2006/math">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r>
                    <m:rPr>
                      <m:nor/>
                    </m:rPr>
                    <a:rPr lang="en-GB" sz="1100">
                      <a:solidFill>
                        <a:schemeClr val="tx1"/>
                      </a:solidFill>
                      <a:effectLst/>
                      <a:latin typeface="+mn-lt"/>
                      <a:ea typeface="+mn-ea"/>
                      <a:cs typeface="+mn-cs"/>
                    </a:rPr>
                    <m:t>=</m:t>
                  </m:r>
                  <m:r>
                    <a:rPr lang="en-GB" sz="1100" b="0" i="0">
                      <a:solidFill>
                        <a:schemeClr val="tx1"/>
                      </a:solidFill>
                      <a:effectLst/>
                      <a:latin typeface="Cambria Math" panose="02040503050406030204" pitchFamily="18" charset="0"/>
                      <a:ea typeface="+mn-ea"/>
                      <a:cs typeface="+mn-cs"/>
                    </a:rPr>
                    <m:t> </m:t>
                  </m:r>
                  <m:sSup>
                    <m:sSupPr>
                      <m:ctrlPr>
                        <a:rPr lang="en-GB" sz="1100" i="1">
                          <a:solidFill>
                            <a:schemeClr val="tx1"/>
                          </a:solidFill>
                          <a:effectLst/>
                          <a:latin typeface="Cambria Math" panose="02040503050406030204" pitchFamily="18" charset="0"/>
                          <a:ea typeface="+mn-ea"/>
                          <a:cs typeface="+mn-cs"/>
                        </a:rPr>
                      </m:ctrlPr>
                    </m:sSupPr>
                    <m:e>
                      <m:r>
                        <a:rPr lang="en-GB" sz="1100" i="1">
                          <a:solidFill>
                            <a:schemeClr val="tx1"/>
                          </a:solidFill>
                          <a:effectLst/>
                          <a:latin typeface="Cambria Math" panose="02040503050406030204" pitchFamily="18" charset="0"/>
                          <a:ea typeface="+mn-ea"/>
                          <a:cs typeface="+mn-cs"/>
                        </a:rPr>
                        <m:t>𝜂</m:t>
                      </m:r>
                    </m:e>
                    <m:sup>
                      <m:r>
                        <a:rPr lang="en-GB" sz="1100" b="0" i="1">
                          <a:solidFill>
                            <a:schemeClr val="tx1"/>
                          </a:solidFill>
                          <a:effectLst/>
                          <a:latin typeface="Cambria Math" panose="02040503050406030204" pitchFamily="18" charset="0"/>
                          <a:ea typeface="+mn-ea"/>
                          <a:cs typeface="+mn-cs"/>
                        </a:rPr>
                        <m:t>~</m:t>
                      </m:r>
                    </m:sup>
                  </m:sSup>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9505950" y="14574982"/>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a:effectLst/>
                </a:rPr>
                <a:t> =</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i="0">
                  <a:solidFill>
                    <a:schemeClr val="tx1"/>
                  </a:solidFill>
                  <a:effectLst/>
                  <a:latin typeface="Cambria Math" panose="02040503050406030204" pitchFamily="18" charset="0"/>
                  <a:ea typeface="+mn-ea"/>
                  <a:cs typeface="+mn-cs"/>
                </a:rPr>
                <a:t>=</a:t>
              </a:r>
              <a:r>
                <a:rPr lang="en-GB" sz="1100" b="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𝜂^</a:t>
              </a:r>
              <a:r>
                <a:rPr lang="en-GB" sz="1100" b="0" i="0">
                  <a:solidFill>
                    <a:schemeClr val="tx1"/>
                  </a:solidFill>
                  <a:effectLst/>
                  <a:latin typeface="Cambria Math" panose="02040503050406030204" pitchFamily="18" charset="0"/>
                  <a:ea typeface="+mn-ea"/>
                  <a:cs typeface="+mn-cs"/>
                </a:rPr>
                <a:t>~</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362816</xdr:colOff>
      <xdr:row>106</xdr:row>
      <xdr:rowOff>8659</xdr:rowOff>
    </xdr:from>
    <xdr:ext cx="721223" cy="1063980"/>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4449041" y="19382509"/>
              <a:ext cx="380104"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368878</xdr:colOff>
      <xdr:row>106</xdr:row>
      <xdr:rowOff>195696</xdr:rowOff>
    </xdr:from>
    <xdr:ext cx="697434" cy="1122147"/>
    <mc:AlternateContent xmlns:mc="http://schemas.openxmlformats.org/markup-compatibility/2006" xmlns:a14="http://schemas.microsoft.com/office/drawing/2010/main">
      <mc:Choice Requires="a14">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4445578" y="195695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r>
                          <m:rPr>
                            <m:sty m:val="p"/>
                          </m:rPr>
                          <a:rPr lang="el-GR" sz="1100" i="1">
                            <a:solidFill>
                              <a:schemeClr val="tx1"/>
                            </a:solidFill>
                            <a:effectLst/>
                            <a:latin typeface="Cambria Math" panose="02040503050406030204" pitchFamily="18" charset="0"/>
                            <a:ea typeface="+mn-ea"/>
                            <a:cs typeface="+mn-cs"/>
                          </a:rPr>
                          <m:t>Δ</m:t>
                        </m:r>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𝑚𝑑</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4445578" y="19569546"/>
              <a:ext cx="363048"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l-GR" sz="1100" i="0">
                  <a:solidFill>
                    <a:schemeClr val="tx1"/>
                  </a:solidFill>
                  <a:effectLst/>
                  <a:latin typeface="Cambria Math" panose="02040503050406030204" pitchFamily="18" charset="0"/>
                  <a:ea typeface="+mn-ea"/>
                  <a:cs typeface="+mn-cs"/>
                </a:rPr>
                <a:t>Δ</a:t>
              </a:r>
              <a:r>
                <a:rPr lang="en-GB" sz="1100" b="0" i="0">
                  <a:latin typeface="Cambria Math" panose="02040503050406030204" pitchFamily="18" charset="0"/>
                </a:rPr>
                <a:t>𝐶 ̇〗_𝑚𝑑^∗</a:t>
              </a:r>
              <a:endParaRPr lang="en-GB" sz="1100"/>
            </a:p>
          </xdr:txBody>
        </xdr:sp>
      </mc:Fallback>
    </mc:AlternateContent>
    <xdr:clientData/>
  </xdr:oneCellAnchor>
  <xdr:oneCellAnchor>
    <xdr:from>
      <xdr:col>6</xdr:col>
      <xdr:colOff>95250</xdr:colOff>
      <xdr:row>106</xdr:row>
      <xdr:rowOff>17319</xdr:rowOff>
    </xdr:from>
    <xdr:ext cx="2284165" cy="99230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𝑐𝑎𝑝</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𝑐𝑎𝑝</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9486900" y="19391169"/>
              <a:ext cx="1309333"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̇〗_𝑐𝑎𝑝^^=</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̇〗_𝑐𝑎𝑝^~</a:t>
              </a:r>
              <a:r>
                <a:rPr lang="en-GB" sz="1000"/>
                <a:t>=0</a:t>
              </a:r>
            </a:p>
          </xdr:txBody>
        </xdr:sp>
      </mc:Fallback>
    </mc:AlternateContent>
    <xdr:clientData/>
  </xdr:oneCellAnchor>
  <xdr:oneCellAnchor>
    <xdr:from>
      <xdr:col>6</xdr:col>
      <xdr:colOff>97174</xdr:colOff>
      <xdr:row>107</xdr:row>
      <xdr:rowOff>8659</xdr:rowOff>
    </xdr:from>
    <xdr:ext cx="2231231" cy="948339"/>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r>
                    <a:rPr lang="en-GB" sz="1000" b="0" i="1">
                      <a:latin typeface="Cambria Math" panose="02040503050406030204" pitchFamily="18" charset="0"/>
                    </a:rPr>
                    <m:t>=</m:t>
                  </m:r>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r>
                        <m:rPr>
                          <m:sty m:val="p"/>
                        </m:rPr>
                        <a:rPr lang="el-GR" sz="1000" i="1">
                          <a:solidFill>
                            <a:schemeClr val="tx1"/>
                          </a:solidFill>
                          <a:effectLst/>
                          <a:latin typeface="Cambria Math" panose="02040503050406030204" pitchFamily="18" charset="0"/>
                          <a:ea typeface="+mn-ea"/>
                          <a:cs typeface="+mn-cs"/>
                        </a:rPr>
                        <m:t>Δ</m:t>
                      </m:r>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=0</a:t>
              </a:r>
            </a:p>
          </xdr:txBody>
        </xdr:sp>
      </mc:Choice>
      <mc:Fallback xmlns="">
        <xdr:sp macro="" textlink="">
          <xdr:nvSpPr>
            <xdr:cNvPr id="86" name="TextBox 85">
              <a:extLst>
                <a:ext uri="{FF2B5EF4-FFF2-40B4-BE49-F238E27FC236}">
                  <a16:creationId xmlns:a16="http://schemas.microsoft.com/office/drawing/2014/main" id="{00000000-0008-0000-0100-000056000000}"/>
                </a:ext>
              </a:extLst>
            </xdr:cNvPr>
            <xdr:cNvSpPr txBox="1"/>
          </xdr:nvSpPr>
          <xdr:spPr>
            <a:xfrm>
              <a:off x="9488824" y="19582534"/>
              <a:ext cx="126278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i="0">
                  <a:latin typeface="Cambria Math" panose="02040503050406030204" pitchFamily="18" charset="0"/>
                </a:rPr>
                <a:t>〖</a:t>
              </a:r>
              <a:r>
                <a:rPr lang="el-GR" sz="1000" i="0">
                  <a:solidFill>
                    <a:schemeClr val="tx1"/>
                  </a:solidFill>
                  <a:effectLst/>
                  <a:latin typeface="Cambria Math" panose="02040503050406030204" pitchFamily="18" charset="0"/>
                  <a:ea typeface="+mn-ea"/>
                  <a:cs typeface="+mn-cs"/>
                </a:rPr>
                <a:t>Δ</a:t>
              </a:r>
              <a:r>
                <a:rPr lang="en-GB" sz="1000" b="0" i="0">
                  <a:latin typeface="Cambria Math" panose="02040503050406030204" pitchFamily="18" charset="0"/>
                </a:rPr>
                <a:t>𝐶 ̇〗_𝑚𝑑^^=</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i="0">
                  <a:solidFill>
                    <a:schemeClr val="tx1"/>
                  </a:solidFill>
                  <a:effectLst/>
                  <a:latin typeface="Cambria Math" panose="02040503050406030204" pitchFamily="18" charset="0"/>
                  <a:ea typeface="+mn-ea"/>
                  <a:cs typeface="+mn-cs"/>
                </a:rPr>
                <a:t>〖</a:t>
              </a:r>
              <a:r>
                <a:rPr lang="el-GR" sz="1000" i="0">
                  <a:solidFill>
                    <a:schemeClr val="tx1"/>
                  </a:solidFill>
                  <a:effectLst/>
                  <a:latin typeface="Cambria Math" panose="02040503050406030204" pitchFamily="18" charset="0"/>
                  <a:ea typeface="+mn-ea"/>
                  <a:cs typeface="+mn-cs"/>
                </a:rPr>
                <a:t>Δ</a:t>
              </a:r>
              <a:r>
                <a:rPr lang="en-GB" sz="1000" b="0" i="0">
                  <a:solidFill>
                    <a:schemeClr val="tx1"/>
                  </a:solidFill>
                  <a:effectLst/>
                  <a:latin typeface="Cambria Math" panose="02040503050406030204" pitchFamily="18" charset="0"/>
                  <a:ea typeface="+mn-ea"/>
                  <a:cs typeface="+mn-cs"/>
                </a:rPr>
                <a:t>𝐶 ̇〗_𝑚𝑑^~</a:t>
              </a:r>
              <a:r>
                <a:rPr lang="en-GB" sz="1000"/>
                <a:t>=0</a:t>
              </a:r>
            </a:p>
          </xdr:txBody>
        </xdr:sp>
      </mc:Fallback>
    </mc:AlternateContent>
    <xdr:clientData/>
  </xdr:oneCellAnchor>
  <xdr:oneCellAnchor>
    <xdr:from>
      <xdr:col>2</xdr:col>
      <xdr:colOff>484909</xdr:colOff>
      <xdr:row>115</xdr:row>
      <xdr:rowOff>8659</xdr:rowOff>
    </xdr:from>
    <xdr:ext cx="271232" cy="1105907"/>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4561609" y="21182734"/>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464127</xdr:colOff>
      <xdr:row>116</xdr:row>
      <xdr:rowOff>5195</xdr:rowOff>
    </xdr:from>
    <xdr:ext cx="241426" cy="1177410"/>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8" name="TextBox 87">
              <a:extLst>
                <a:ext uri="{FF2B5EF4-FFF2-40B4-BE49-F238E27FC236}">
                  <a16:creationId xmlns:a16="http://schemas.microsoft.com/office/drawing/2014/main" id="{00000000-0008-0000-0100-000058000000}"/>
                </a:ext>
              </a:extLst>
            </xdr:cNvPr>
            <xdr:cNvSpPr txBox="1"/>
          </xdr:nvSpPr>
          <xdr:spPr>
            <a:xfrm>
              <a:off x="4540827" y="21379295"/>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476250</xdr:colOff>
      <xdr:row>114</xdr:row>
      <xdr:rowOff>35502</xdr:rowOff>
    </xdr:from>
    <xdr:ext cx="261879" cy="105061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4552950" y="21000027"/>
              <a:ext cx="20576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6</xdr:col>
      <xdr:colOff>69273</xdr:colOff>
      <xdr:row>94</xdr:row>
      <xdr:rowOff>18185</xdr:rowOff>
    </xdr:from>
    <xdr:ext cx="1342158" cy="167354"/>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𝐸</m:t>
                          </m:r>
                        </m:e>
                      </m:acc>
                    </m:e>
                    <m:sub>
                      <m:r>
                        <a:rPr lang="en-GB" sz="1000" b="0" i="1">
                          <a:latin typeface="Cambria Math" panose="02040503050406030204" pitchFamily="18" charset="0"/>
                        </a:rPr>
                        <m:t>𝑒𝑚𝑏</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𝐸</m:t>
                          </m:r>
                        </m:e>
                      </m:acc>
                    </m:e>
                    <m:sub>
                      <m:r>
                        <a:rPr lang="en-GB" sz="1000" b="0" i="1">
                          <a:solidFill>
                            <a:schemeClr val="tx1"/>
                          </a:solidFill>
                          <a:effectLst/>
                          <a:latin typeface="Cambria Math" panose="02040503050406030204" pitchFamily="18" charset="0"/>
                          <a:ea typeface="+mn-ea"/>
                          <a:cs typeface="+mn-cs"/>
                        </a:rPr>
                        <m:t>𝑒𝑚𝑏</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0" name="TextBox 89">
              <a:extLst>
                <a:ext uri="{FF2B5EF4-FFF2-40B4-BE49-F238E27FC236}">
                  <a16:creationId xmlns:a16="http://schemas.microsoft.com/office/drawing/2014/main" id="{00000000-0008-0000-0100-00005A000000}"/>
                </a:ext>
              </a:extLst>
            </xdr:cNvPr>
            <xdr:cNvSpPr txBox="1"/>
          </xdr:nvSpPr>
          <xdr:spPr>
            <a:xfrm>
              <a:off x="9460923" y="16982210"/>
              <a:ext cx="1342158"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GB" sz="1000" b="0" i="0">
                  <a:latin typeface="Cambria Math" panose="02040503050406030204" pitchFamily="18" charset="0"/>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r>
                <a:rPr lang="en-GB" sz="1000"/>
                <a:t>=</a:t>
              </a:r>
              <a:r>
                <a:rPr lang="en-GB" sz="1000" b="0" i="0">
                  <a:solidFill>
                    <a:schemeClr val="tx1"/>
                  </a:solidFill>
                  <a:effectLst/>
                  <a:latin typeface="Cambria Math" panose="02040503050406030204" pitchFamily="18" charset="0"/>
                  <a:ea typeface="+mn-ea"/>
                  <a:cs typeface="+mn-cs"/>
                </a:rPr>
                <a:t>𝐸 ̇_𝑒𝑚𝑏^~</a:t>
              </a:r>
              <a:endParaRPr lang="en-GB" sz="1000"/>
            </a:p>
          </xdr:txBody>
        </xdr:sp>
      </mc:Fallback>
    </mc:AlternateContent>
    <xdr:clientData/>
  </xdr:oneCellAnchor>
  <xdr:oneCellAnchor>
    <xdr:from>
      <xdr:col>6</xdr:col>
      <xdr:colOff>69273</xdr:colOff>
      <xdr:row>95</xdr:row>
      <xdr:rowOff>0</xdr:rowOff>
    </xdr:from>
    <xdr:ext cx="2056862" cy="1004124"/>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n-GB" sz="1000" i="1">
                          <a:latin typeface="Cambria Math" panose="02040503050406030204" pitchFamily="18" charset="0"/>
                        </a:rPr>
                      </m:ctrlPr>
                    </m:sSubSupPr>
                    <m:e>
                      <m:acc>
                        <m:accPr>
                          <m:chr m:val="̇"/>
                          <m:ctrlPr>
                            <a:rPr lang="en-GB" sz="1000" i="1">
                              <a:latin typeface="Cambria Math" panose="02040503050406030204" pitchFamily="18" charset="0"/>
                            </a:rPr>
                          </m:ctrlPr>
                        </m:accPr>
                        <m:e>
                          <m:r>
                            <a:rPr lang="en-GB" sz="1000" b="0" i="1">
                              <a:latin typeface="Cambria Math" panose="02040503050406030204" pitchFamily="18" charset="0"/>
                            </a:rPr>
                            <m:t>𝐶</m:t>
                          </m:r>
                        </m:e>
                      </m:acc>
                    </m:e>
                    <m:sub>
                      <m:r>
                        <a:rPr lang="en-GB" sz="1000" b="0" i="1">
                          <a:latin typeface="Cambria Math" panose="02040503050406030204" pitchFamily="18" charset="0"/>
                        </a:rPr>
                        <m:t>𝑚𝑑</m:t>
                      </m:r>
                    </m:sub>
                    <m:sup>
                      <m:r>
                        <a:rPr lang="en-GB" sz="1000" b="0" i="1">
                          <a:latin typeface="Cambria Math" panose="02040503050406030204" pitchFamily="18" charset="0"/>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r>
                <a:rPr lang="en-GB" sz="1000"/>
                <a:t>=</a:t>
              </a:r>
              <a14:m>
                <m:oMath xmlns:m="http://schemas.openxmlformats.org/officeDocument/2006/math">
                  <m:sSubSup>
                    <m:sSubSupPr>
                      <m:ctrlPr>
                        <a:rPr lang="en-GB" sz="1000" i="1">
                          <a:solidFill>
                            <a:schemeClr val="tx1"/>
                          </a:solidFill>
                          <a:effectLst/>
                          <a:latin typeface="Cambria Math" panose="02040503050406030204" pitchFamily="18" charset="0"/>
                          <a:ea typeface="+mn-ea"/>
                          <a:cs typeface="+mn-cs"/>
                        </a:rPr>
                      </m:ctrlPr>
                    </m:sSubSupPr>
                    <m:e>
                      <m:acc>
                        <m:accPr>
                          <m:chr m:val="̇"/>
                          <m:ctrlPr>
                            <a:rPr lang="en-GB" sz="1000" i="1">
                              <a:solidFill>
                                <a:schemeClr val="tx1"/>
                              </a:solidFill>
                              <a:effectLst/>
                              <a:latin typeface="Cambria Math" panose="02040503050406030204" pitchFamily="18" charset="0"/>
                              <a:ea typeface="+mn-ea"/>
                              <a:cs typeface="+mn-cs"/>
                            </a:rPr>
                          </m:ctrlPr>
                        </m:accPr>
                        <m:e>
                          <m:r>
                            <a:rPr lang="en-GB" sz="1000" b="0" i="1">
                              <a:solidFill>
                                <a:schemeClr val="tx1"/>
                              </a:solidFill>
                              <a:effectLst/>
                              <a:latin typeface="Cambria Math" panose="02040503050406030204" pitchFamily="18" charset="0"/>
                              <a:ea typeface="+mn-ea"/>
                              <a:cs typeface="+mn-cs"/>
                            </a:rPr>
                            <m:t>𝐶</m:t>
                          </m:r>
                        </m:e>
                      </m:acc>
                    </m:e>
                    <m:sub>
                      <m:r>
                        <a:rPr lang="en-GB" sz="1000" b="0" i="1">
                          <a:solidFill>
                            <a:schemeClr val="tx1"/>
                          </a:solidFill>
                          <a:effectLst/>
                          <a:latin typeface="Cambria Math" panose="02040503050406030204" pitchFamily="18" charset="0"/>
                          <a:ea typeface="+mn-ea"/>
                          <a:cs typeface="+mn-cs"/>
                        </a:rPr>
                        <m:t>𝑚𝑑</m:t>
                      </m:r>
                    </m:sub>
                    <m:sup>
                      <m:r>
                        <a:rPr lang="en-GB" sz="1000" b="0" i="1">
                          <a:solidFill>
                            <a:schemeClr val="tx1"/>
                          </a:solidFill>
                          <a:effectLst/>
                          <a:latin typeface="Cambria Math" panose="02040503050406030204" pitchFamily="18" charset="0"/>
                          <a:ea typeface="+mn-ea"/>
                          <a:cs typeface="+mn-cs"/>
                        </a:rPr>
                        <m:t>~</m:t>
                      </m:r>
                    </m:sup>
                  </m:sSubSup>
                </m:oMath>
              </a14:m>
              <a:endParaRPr lang="en-GB" sz="1000"/>
            </a:p>
          </xdr:txBody>
        </xdr:sp>
      </mc:Choice>
      <mc:Fallback xmlns="">
        <xdr:sp macro="" textlink="">
          <xdr:nvSpPr>
            <xdr:cNvPr id="91" name="TextBox 90">
              <a:extLst>
                <a:ext uri="{FF2B5EF4-FFF2-40B4-BE49-F238E27FC236}">
                  <a16:creationId xmlns:a16="http://schemas.microsoft.com/office/drawing/2014/main" id="{00000000-0008-0000-0100-00005B000000}"/>
                </a:ext>
              </a:extLst>
            </xdr:cNvPr>
            <xdr:cNvSpPr txBox="1"/>
          </xdr:nvSpPr>
          <xdr:spPr>
            <a:xfrm>
              <a:off x="9460923" y="17173575"/>
              <a:ext cx="1090042" cy="167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000" b="0" i="0">
                  <a:latin typeface="Cambria Math" panose="02040503050406030204" pitchFamily="18" charset="0"/>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r>
                <a:rPr lang="en-GB" sz="1000"/>
                <a:t>=</a:t>
              </a:r>
              <a:r>
                <a:rPr lang="en-GB" sz="1000" b="0" i="0">
                  <a:solidFill>
                    <a:schemeClr val="tx1"/>
                  </a:solidFill>
                  <a:effectLst/>
                  <a:latin typeface="Cambria Math" panose="02040503050406030204" pitchFamily="18" charset="0"/>
                  <a:ea typeface="+mn-ea"/>
                  <a:cs typeface="+mn-cs"/>
                </a:rPr>
                <a:t>𝐶 ̇_𝑚𝑑^~</a:t>
              </a:r>
              <a:endParaRPr lang="en-GB" sz="1000"/>
            </a:p>
          </xdr:txBody>
        </xdr:sp>
      </mc:Fallback>
    </mc:AlternateContent>
    <xdr:clientData/>
  </xdr:oneCellAnchor>
  <xdr:oneCellAnchor>
    <xdr:from>
      <xdr:col>2</xdr:col>
      <xdr:colOff>477982</xdr:colOff>
      <xdr:row>112</xdr:row>
      <xdr:rowOff>1731</xdr:rowOff>
    </xdr:from>
    <xdr:ext cx="393674" cy="110590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4554682" y="20575731"/>
              <a:ext cx="206210"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endParaRPr lang="en-GB" sz="1100"/>
            </a:p>
          </xdr:txBody>
        </xdr:sp>
      </mc:Fallback>
    </mc:AlternateContent>
    <xdr:clientData/>
  </xdr:oneCellAnchor>
  <xdr:oneCellAnchor>
    <xdr:from>
      <xdr:col>6</xdr:col>
      <xdr:colOff>477982</xdr:colOff>
      <xdr:row>112</xdr:row>
      <xdr:rowOff>1731</xdr:rowOff>
    </xdr:from>
    <xdr:ext cx="852614" cy="1112556"/>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r>
                          <a:rPr lang="en-GB" sz="1100" b="0" i="1">
                            <a:latin typeface="Cambria Math" panose="02040503050406030204" pitchFamily="18" charset="0"/>
                          </a:rPr>
                          <m:t>~</m:t>
                        </m:r>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3" name="TextBox 92">
              <a:extLst>
                <a:ext uri="{FF2B5EF4-FFF2-40B4-BE49-F238E27FC236}">
                  <a16:creationId xmlns:a16="http://schemas.microsoft.com/office/drawing/2014/main" id="{00000000-0008-0000-0100-00005D000000}"/>
                </a:ext>
              </a:extLst>
            </xdr:cNvPr>
            <xdr:cNvSpPr txBox="1"/>
          </xdr:nvSpPr>
          <xdr:spPr>
            <a:xfrm>
              <a:off x="9869632" y="20575731"/>
              <a:ext cx="558936"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477982</xdr:colOff>
      <xdr:row>108</xdr:row>
      <xdr:rowOff>1731</xdr:rowOff>
    </xdr:from>
    <xdr:ext cx="299740" cy="1113308"/>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oMath>
                </m:oMathPara>
              </a14:m>
              <a:endParaRPr lang="en-GB" sz="1100"/>
            </a:p>
          </xdr:txBody>
        </xdr:sp>
      </mc:Choice>
      <mc:Fallback xmlns="">
        <xdr:sp macro="" textlink="">
          <xdr:nvSpPr>
            <xdr:cNvPr id="94" name="TextBox 93">
              <a:extLst>
                <a:ext uri="{FF2B5EF4-FFF2-40B4-BE49-F238E27FC236}">
                  <a16:creationId xmlns:a16="http://schemas.microsoft.com/office/drawing/2014/main" id="{00000000-0008-0000-0100-00005E000000}"/>
                </a:ext>
              </a:extLst>
            </xdr:cNvPr>
            <xdr:cNvSpPr txBox="1"/>
          </xdr:nvSpPr>
          <xdr:spPr>
            <a:xfrm>
              <a:off x="4554682" y="19775631"/>
              <a:ext cx="224805"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endParaRPr lang="en-GB" sz="1100"/>
            </a:p>
          </xdr:txBody>
        </xdr:sp>
      </mc:Fallback>
    </mc:AlternateContent>
    <xdr:clientData/>
  </xdr:oneCellAnchor>
  <xdr:oneCellAnchor>
    <xdr:from>
      <xdr:col>6</xdr:col>
      <xdr:colOff>477982</xdr:colOff>
      <xdr:row>109</xdr:row>
      <xdr:rowOff>1731</xdr:rowOff>
    </xdr:from>
    <xdr:ext cx="811353" cy="1113308"/>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𝑜</m:t>
                        </m:r>
                      </m:sub>
                      <m:sup/>
                    </m:sSubSup>
                    <m:r>
                      <a:rPr lang="en-GB" sz="1100" b="0" i="1">
                        <a:latin typeface="Cambria Math" panose="02040503050406030204" pitchFamily="18" charset="0"/>
                      </a:rPr>
                      <m:t>=</m:t>
                    </m:r>
                    <m:sSubSup>
                      <m:sSubSupPr>
                        <m:ctrlPr>
                          <a:rPr lang="en-GB" sz="1100" i="1">
                            <a:solidFill>
                              <a:schemeClr val="tx1"/>
                            </a:solidFill>
                            <a:effectLst/>
                            <a:latin typeface="Cambria Math" panose="02040503050406030204" pitchFamily="18" charset="0"/>
                            <a:ea typeface="+mn-ea"/>
                            <a:cs typeface="+mn-cs"/>
                          </a:rPr>
                        </m:ctrlPr>
                      </m:sSubSup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𝑜</m:t>
                        </m:r>
                      </m:sub>
                      <m:sup>
                        <m:r>
                          <a:rPr lang="en-GB" sz="1100" b="0" i="1">
                            <a:solidFill>
                              <a:schemeClr val="tx1"/>
                            </a:solidFill>
                            <a:effectLst/>
                            <a:latin typeface="Cambria Math" panose="02040503050406030204" pitchFamily="18" charset="0"/>
                            <a:ea typeface="+mn-ea"/>
                            <a:cs typeface="+mn-cs"/>
                          </a:rPr>
                          <m:t>∗</m:t>
                        </m:r>
                      </m:sup>
                    </m:sSubSup>
                  </m:oMath>
                </m:oMathPara>
              </a14:m>
              <a:endParaRPr lang="en-GB" sz="1100"/>
            </a:p>
          </xdr:txBody>
        </xdr:sp>
      </mc:Choice>
      <mc:Fallback xmlns="">
        <xdr:sp macro="" textlink="">
          <xdr:nvSpPr>
            <xdr:cNvPr id="95" name="TextBox 94">
              <a:extLst>
                <a:ext uri="{FF2B5EF4-FFF2-40B4-BE49-F238E27FC236}">
                  <a16:creationId xmlns:a16="http://schemas.microsoft.com/office/drawing/2014/main" id="{00000000-0008-0000-0100-00005F000000}"/>
                </a:ext>
              </a:extLst>
            </xdr:cNvPr>
            <xdr:cNvSpPr txBox="1"/>
          </xdr:nvSpPr>
          <xdr:spPr>
            <a:xfrm>
              <a:off x="9869632" y="19975656"/>
              <a:ext cx="556626" cy="190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̇_𝑜^ =</a:t>
              </a:r>
              <a:r>
                <a:rPr lang="en-GB" sz="1100" b="0" i="0">
                  <a:solidFill>
                    <a:schemeClr val="tx1"/>
                  </a:solidFill>
                  <a:effectLst/>
                  <a:latin typeface="Cambria Math" panose="02040503050406030204" pitchFamily="18" charset="0"/>
                  <a:ea typeface="+mn-ea"/>
                  <a:cs typeface="+mn-cs"/>
                </a:rPr>
                <a:t>𝐶 ̇_𝑜^∗</a:t>
              </a:r>
              <a:endParaRPr lang="en-GB" sz="1100"/>
            </a:p>
          </xdr:txBody>
        </xdr:sp>
      </mc:Fallback>
    </mc:AlternateContent>
    <xdr:clientData/>
  </xdr:oneCellAnchor>
  <xdr:oneCellAnchor>
    <xdr:from>
      <xdr:col>2</xdr:col>
      <xdr:colOff>464127</xdr:colOff>
      <xdr:row>117</xdr:row>
      <xdr:rowOff>5195</xdr:rowOff>
    </xdr:from>
    <xdr:ext cx="299368" cy="117741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𝑁</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4540827" y="21579320"/>
              <a:ext cx="222112"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𝑁 ̇^~</a:t>
              </a:r>
              <a:endParaRPr lang="en-GB" sz="1100"/>
            </a:p>
          </xdr:txBody>
        </xdr:sp>
      </mc:Fallback>
    </mc:AlternateContent>
    <xdr:clientData/>
  </xdr:oneCellAnchor>
  <xdr:oneCellAnchor>
    <xdr:from>
      <xdr:col>2</xdr:col>
      <xdr:colOff>61479</xdr:colOff>
      <xdr:row>114</xdr:row>
      <xdr:rowOff>5003</xdr:rowOff>
    </xdr:from>
    <xdr:ext cx="65" cy="172227"/>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4379479" y="23129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503670</xdr:colOff>
      <xdr:row>113</xdr:row>
      <xdr:rowOff>14721</xdr:rowOff>
    </xdr:from>
    <xdr:ext cx="138628" cy="181140"/>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4821670" y="22938221"/>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𝑁</m:t>
                        </m:r>
                      </m:e>
                    </m:acc>
                  </m:oMath>
                </m:oMathPara>
              </a14:m>
              <a:endParaRPr lang="en-GB" sz="1100"/>
            </a:p>
          </xdr:txBody>
        </xdr:sp>
      </mc:Choice>
      <mc:Fallback xmlns="">
        <xdr:sp macro="" textlink="">
          <xdr:nvSpPr>
            <xdr:cNvPr id="98" name="TextBox 97">
              <a:extLst>
                <a:ext uri="{FF2B5EF4-FFF2-40B4-BE49-F238E27FC236}">
                  <a16:creationId xmlns:a16="http://schemas.microsoft.com/office/drawing/2014/main" id="{00000000-0008-0000-0100-000062000000}"/>
                </a:ext>
              </a:extLst>
            </xdr:cNvPr>
            <xdr:cNvSpPr txBox="1"/>
          </xdr:nvSpPr>
          <xdr:spPr>
            <a:xfrm>
              <a:off x="4821670" y="22938221"/>
              <a:ext cx="138628"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𝑁 ̇</a:t>
              </a:r>
              <a:endParaRPr lang="en-GB" sz="1100"/>
            </a:p>
          </xdr:txBody>
        </xdr:sp>
      </mc:Fallback>
    </mc:AlternateContent>
    <xdr:clientData/>
  </xdr:oneCellAnchor>
  <xdr:oneCellAnchor>
    <xdr:from>
      <xdr:col>2</xdr:col>
      <xdr:colOff>79664</xdr:colOff>
      <xdr:row>97</xdr:row>
      <xdr:rowOff>1732</xdr:rowOff>
    </xdr:from>
    <xdr:ext cx="1042401" cy="1974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p>
                    <m:sSupPr>
                      <m:ctrlPr>
                        <a:rPr lang="en-GB" sz="1100" i="1">
                          <a:latin typeface="Cambria Math" panose="02040503050406030204" pitchFamily="18" charset="0"/>
                        </a:rPr>
                      </m:ctrlPr>
                    </m:sSupPr>
                    <m:e>
                      <m:r>
                        <a:rPr lang="en-GB" sz="1100" i="1">
                          <a:solidFill>
                            <a:schemeClr val="tx1"/>
                          </a:solidFill>
                          <a:effectLst/>
                          <a:latin typeface="Cambria Math" panose="02040503050406030204" pitchFamily="18" charset="0"/>
                          <a:ea typeface="+mn-ea"/>
                          <a:cs typeface="+mn-cs"/>
                        </a:rPr>
                        <m:t>𝜂</m:t>
                      </m:r>
                    </m:e>
                    <m:sup>
                      <m:r>
                        <a:rPr lang="en-GB" sz="1100" b="0" i="1">
                          <a:latin typeface="Cambria Math" panose="02040503050406030204" pitchFamily="18" charset="0"/>
                        </a:rPr>
                        <m:t>~</m:t>
                      </m:r>
                    </m:sup>
                  </m:sSup>
                </m:oMath>
              </a14:m>
              <a:r>
                <a:rPr lang="en-GB">
                  <a:effectLst/>
                </a:rPr>
                <a:t>/</a:t>
              </a:r>
              <a14:m>
                <m:oMath xmlns:m="http://schemas.openxmlformats.org/officeDocument/2006/math">
                  <m:r>
                    <a:rPr lang="en-GB" sz="1100" i="1">
                      <a:solidFill>
                        <a:schemeClr val="tx1"/>
                      </a:solidFill>
                      <a:effectLst/>
                      <a:latin typeface="Cambria Math" panose="02040503050406030204" pitchFamily="18" charset="0"/>
                      <a:ea typeface="+mn-ea"/>
                      <a:cs typeface="+mn-cs"/>
                    </a:rPr>
                    <m:t>𝜂</m:t>
                  </m:r>
                </m:oMath>
              </a14:m>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Choice>
      <mc:Fallback xmlns="">
        <xdr:sp macro="" textlink="">
          <xdr:nvSpPr>
            <xdr:cNvPr id="99" name="TextBox 98">
              <a:extLst>
                <a:ext uri="{FF2B5EF4-FFF2-40B4-BE49-F238E27FC236}">
                  <a16:creationId xmlns:a16="http://schemas.microsoft.com/office/drawing/2014/main" id="{00000000-0008-0000-0100-000063000000}"/>
                </a:ext>
              </a:extLst>
            </xdr:cNvPr>
            <xdr:cNvSpPr txBox="1"/>
          </xdr:nvSpPr>
          <xdr:spPr>
            <a:xfrm>
              <a:off x="4156364" y="17575357"/>
              <a:ext cx="1042401" cy="197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i="0">
                  <a:solidFill>
                    <a:schemeClr val="tx1"/>
                  </a:solidFill>
                  <a:effectLst/>
                  <a:latin typeface="Cambria Math" panose="02040503050406030204" pitchFamily="18" charset="0"/>
                  <a:ea typeface="+mn-ea"/>
                  <a:cs typeface="+mn-cs"/>
                </a:rPr>
                <a:t>𝜂^</a:t>
              </a:r>
              <a:r>
                <a:rPr lang="en-GB" sz="1100" b="0" i="0">
                  <a:latin typeface="Cambria Math" panose="02040503050406030204" pitchFamily="18" charset="0"/>
                </a:rPr>
                <a:t>~</a:t>
              </a:r>
              <a:r>
                <a:rPr lang="en-GB">
                  <a:effectLst/>
                </a:rPr>
                <a:t>/</a:t>
              </a:r>
              <a:r>
                <a:rPr lang="en-GB" sz="1100" i="0">
                  <a:solidFill>
                    <a:schemeClr val="tx1"/>
                  </a:solidFill>
                  <a:effectLst/>
                  <a:latin typeface="Cambria Math" panose="02040503050406030204" pitchFamily="18" charset="0"/>
                  <a:ea typeface="+mn-ea"/>
                  <a:cs typeface="+mn-cs"/>
                </a:rPr>
                <a:t>𝜂</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a:p>
          </xdr:txBody>
        </xdr:sp>
      </mc:Fallback>
    </mc:AlternateContent>
    <xdr:clientData/>
  </xdr:oneCellAnchor>
  <xdr:oneCellAnchor>
    <xdr:from>
      <xdr:col>2</xdr:col>
      <xdr:colOff>440748</xdr:colOff>
      <xdr:row>93</xdr:row>
      <xdr:rowOff>8659</xdr:rowOff>
    </xdr:from>
    <xdr:ext cx="496588" cy="1073152"/>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4526973" y="167821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en-GB" sz="1100" i="1">
                            <a:latin typeface="Cambria Math" panose="02040503050406030204" pitchFamily="18" charset="0"/>
                          </a:rPr>
                        </m:ctrlPr>
                      </m:sSubSup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up>
                        <m:r>
                          <a:rPr lang="en-GB" sz="1100" b="0" i="1">
                            <a:latin typeface="Cambria Math" panose="02040503050406030204" pitchFamily="18" charset="0"/>
                          </a:rPr>
                          <m:t>∗</m:t>
                        </m:r>
                      </m:sup>
                    </m:sSubSup>
                  </m:oMath>
                </m:oMathPara>
              </a14:m>
              <a:endParaRPr lang="en-GB" sz="1100"/>
            </a:p>
          </xdr:txBody>
        </xdr:sp>
      </mc:Choice>
      <mc:Fallback xmlns="">
        <xdr:sp macro="" textlink="">
          <xdr:nvSpPr>
            <xdr:cNvPr id="100" name="TextBox 99">
              <a:extLst>
                <a:ext uri="{FF2B5EF4-FFF2-40B4-BE49-F238E27FC236}">
                  <a16:creationId xmlns:a16="http://schemas.microsoft.com/office/drawing/2014/main" id="{00000000-0008-0000-0100-000064000000}"/>
                </a:ext>
              </a:extLst>
            </xdr:cNvPr>
            <xdr:cNvSpPr txBox="1"/>
          </xdr:nvSpPr>
          <xdr:spPr>
            <a:xfrm>
              <a:off x="4526973" y="16782184"/>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oneCellAnchor>
    <xdr:from>
      <xdr:col>2</xdr:col>
      <xdr:colOff>464704</xdr:colOff>
      <xdr:row>76</xdr:row>
      <xdr:rowOff>5002</xdr:rowOff>
    </xdr:from>
    <xdr:ext cx="362891" cy="1063980"/>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4541404" y="133696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𝐶</m:t>
                            </m:r>
                          </m:e>
                        </m:acc>
                      </m:e>
                      <m:sub>
                        <m:r>
                          <a:rPr lang="en-GB" sz="1100" b="0" i="1">
                            <a:latin typeface="Cambria Math" panose="02040503050406030204" pitchFamily="18" charset="0"/>
                          </a:rPr>
                          <m:t>𝑐𝑎𝑝</m:t>
                        </m:r>
                      </m:sub>
                    </m:sSub>
                  </m:oMath>
                </m:oMathPara>
              </a14:m>
              <a:endParaRPr lang="en-GB" sz="1100"/>
            </a:p>
          </xdr:txBody>
        </xdr:sp>
      </mc:Choice>
      <mc:Fallback xmlns="">
        <xdr:sp macro="" textlink="">
          <xdr:nvSpPr>
            <xdr:cNvPr id="101" name="TextBox 100">
              <a:extLst>
                <a:ext uri="{FF2B5EF4-FFF2-40B4-BE49-F238E27FC236}">
                  <a16:creationId xmlns:a16="http://schemas.microsoft.com/office/drawing/2014/main" id="{00000000-0008-0000-0100-000065000000}"/>
                </a:ext>
              </a:extLst>
            </xdr:cNvPr>
            <xdr:cNvSpPr txBox="1"/>
          </xdr:nvSpPr>
          <xdr:spPr>
            <a:xfrm>
              <a:off x="4541404" y="13369636"/>
              <a:ext cx="296043" cy="1926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𝐶 ̇_𝑐𝑎𝑝</a:t>
              </a:r>
              <a:endParaRPr lang="en-GB" sz="1100"/>
            </a:p>
          </xdr:txBody>
        </xdr:sp>
      </mc:Fallback>
    </mc:AlternateContent>
    <xdr:clientData/>
  </xdr:oneCellAnchor>
  <xdr:twoCellAnchor editAs="oneCell">
    <xdr:from>
      <xdr:col>4</xdr:col>
      <xdr:colOff>66675</xdr:colOff>
      <xdr:row>328</xdr:row>
      <xdr:rowOff>57150</xdr:rowOff>
    </xdr:from>
    <xdr:to>
      <xdr:col>7</xdr:col>
      <xdr:colOff>1285875</xdr:colOff>
      <xdr:row>346</xdr:row>
      <xdr:rowOff>104775</xdr:rowOff>
    </xdr:to>
    <xdr:pic>
      <xdr:nvPicPr>
        <xdr:cNvPr id="34914" name="Picture 1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3725" y="66227325"/>
          <a:ext cx="5524500" cy="3648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9525</xdr:colOff>
      <xdr:row>328</xdr:row>
      <xdr:rowOff>190500</xdr:rowOff>
    </xdr:from>
    <xdr:to>
      <xdr:col>3</xdr:col>
      <xdr:colOff>828675</xdr:colOff>
      <xdr:row>347</xdr:row>
      <xdr:rowOff>76200</xdr:rowOff>
    </xdr:to>
    <xdr:pic>
      <xdr:nvPicPr>
        <xdr:cNvPr id="34915" name="Picture 11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66360675"/>
          <a:ext cx="6400800" cy="3686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421349</xdr:colOff>
      <xdr:row>36</xdr:row>
      <xdr:rowOff>4629</xdr:rowOff>
    </xdr:from>
    <xdr:ext cx="1054659" cy="1143312"/>
    <mc:AlternateContent xmlns:mc="http://schemas.openxmlformats.org/markup-compatibility/2006" xmlns:a14="http://schemas.microsoft.com/office/drawing/2010/main">
      <mc:Choice Requires="a14">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4490641" y="7418254"/>
              <a:ext cx="418063"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𝑐</m:t>
                        </m:r>
                      </m:sub>
                    </m:sSub>
                  </m:oMath>
                </m:oMathPara>
              </a14:m>
              <a:endParaRPr lang="en-GB" sz="1100"/>
            </a:p>
          </xdr:txBody>
        </xdr:sp>
      </mc:Choice>
      <mc:Fallback xmlns="">
        <xdr:sp macro="" textlink="">
          <xdr:nvSpPr>
            <xdr:cNvPr id="125" name="TextBox 124">
              <a:extLst>
                <a:ext uri="{FF2B5EF4-FFF2-40B4-BE49-F238E27FC236}">
                  <a16:creationId xmlns:a16="http://schemas.microsoft.com/office/drawing/2014/main" id="{00000000-0008-0000-0100-00007D000000}"/>
                </a:ext>
              </a:extLst>
            </xdr:cNvPr>
            <xdr:cNvSpPr txBox="1"/>
          </xdr:nvSpPr>
          <xdr:spPr>
            <a:xfrm>
              <a:off x="4490641" y="7418254"/>
              <a:ext cx="418063"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𝑝_𝑠,𝑐)</a:t>
              </a:r>
              <a:endParaRPr lang="en-GB" sz="1100"/>
            </a:p>
          </xdr:txBody>
        </xdr:sp>
      </mc:Fallback>
    </mc:AlternateContent>
    <xdr:clientData/>
  </xdr:oneCellAnchor>
  <xdr:oneCellAnchor>
    <xdr:from>
      <xdr:col>2</xdr:col>
      <xdr:colOff>421349</xdr:colOff>
      <xdr:row>35</xdr:row>
      <xdr:rowOff>4629</xdr:rowOff>
    </xdr:from>
    <xdr:ext cx="1192520" cy="1143312"/>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4490641" y="7222462"/>
              <a:ext cx="406971"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𝐶</m:t>
                            </m:r>
                          </m:sub>
                        </m:sSub>
                      </m:sub>
                    </m:sSub>
                  </m:oMath>
                </m:oMathPara>
              </a14:m>
              <a:endParaRPr lang="en-GB" sz="1100"/>
            </a:p>
          </xdr:txBody>
        </xdr:sp>
      </mc:Choice>
      <mc:Fallback xmlns="">
        <xdr:sp macro="" textlink="">
          <xdr:nvSpPr>
            <xdr:cNvPr id="126" name="TextBox 125">
              <a:extLst>
                <a:ext uri="{FF2B5EF4-FFF2-40B4-BE49-F238E27FC236}">
                  <a16:creationId xmlns:a16="http://schemas.microsoft.com/office/drawing/2014/main" id="{00000000-0008-0000-0100-00007E000000}"/>
                </a:ext>
              </a:extLst>
            </xdr:cNvPr>
            <xdr:cNvSpPr txBox="1"/>
          </xdr:nvSpPr>
          <xdr:spPr>
            <a:xfrm>
              <a:off x="4490641" y="7222462"/>
              <a:ext cx="406971"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𝑝_(𝑠,𝐶) )</a:t>
              </a:r>
              <a:endParaRPr lang="en-GB" sz="1100"/>
            </a:p>
          </xdr:txBody>
        </xdr:sp>
      </mc:Fallback>
    </mc:AlternateContent>
    <xdr:clientData/>
  </xdr:oneCellAnchor>
  <xdr:oneCellAnchor>
    <xdr:from>
      <xdr:col>2</xdr:col>
      <xdr:colOff>421349</xdr:colOff>
      <xdr:row>37</xdr:row>
      <xdr:rowOff>4629</xdr:rowOff>
    </xdr:from>
    <xdr:ext cx="918577" cy="1117450"/>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7" name="TextBox 126">
              <a:extLst>
                <a:ext uri="{FF2B5EF4-FFF2-40B4-BE49-F238E27FC236}">
                  <a16:creationId xmlns:a16="http://schemas.microsoft.com/office/drawing/2014/main" id="{00000000-0008-0000-0100-00007F000000}"/>
                </a:ext>
              </a:extLst>
            </xdr:cNvPr>
            <xdr:cNvSpPr txBox="1"/>
          </xdr:nvSpPr>
          <xdr:spPr>
            <a:xfrm>
              <a:off x="4498049" y="6976929"/>
              <a:ext cx="315471" cy="2005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𝑀 ̇ )</a:t>
              </a:r>
              <a:endParaRPr lang="en-GB" sz="1100"/>
            </a:p>
          </xdr:txBody>
        </xdr:sp>
      </mc:Fallback>
    </mc:AlternateContent>
    <xdr:clientData/>
  </xdr:oneCellAnchor>
  <xdr:oneCellAnchor>
    <xdr:from>
      <xdr:col>2</xdr:col>
      <xdr:colOff>421349</xdr:colOff>
      <xdr:row>38</xdr:row>
      <xdr:rowOff>4629</xdr:rowOff>
    </xdr:from>
    <xdr:ext cx="932947" cy="1084734"/>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28" name="TextBox 127">
              <a:extLst>
                <a:ext uri="{FF2B5EF4-FFF2-40B4-BE49-F238E27FC236}">
                  <a16:creationId xmlns:a16="http://schemas.microsoft.com/office/drawing/2014/main" id="{00000000-0008-0000-0100-000080000000}"/>
                </a:ext>
              </a:extLst>
            </xdr:cNvPr>
            <xdr:cNvSpPr txBox="1"/>
          </xdr:nvSpPr>
          <xdr:spPr>
            <a:xfrm>
              <a:off x="4498049" y="7176954"/>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oneCellAnchor>
    <xdr:from>
      <xdr:col>2</xdr:col>
      <xdr:colOff>421349</xdr:colOff>
      <xdr:row>34</xdr:row>
      <xdr:rowOff>4629</xdr:rowOff>
    </xdr:from>
    <xdr:ext cx="972164" cy="113354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490641" y="7026671"/>
              <a:ext cx="33034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𝑠</m:t>
                            </m:r>
                            <m:r>
                              <a:rPr lang="en-GB" sz="1100" b="0" i="1">
                                <a:solidFill>
                                  <a:schemeClr val="tx1"/>
                                </a:solidFill>
                                <a:effectLst/>
                                <a:latin typeface="Cambria Math" panose="02040503050406030204" pitchFamily="18" charset="0"/>
                                <a:ea typeface="+mn-ea"/>
                                <a:cs typeface="+mn-cs"/>
                              </a:rPr>
                              <m:t>,</m:t>
                            </m:r>
                          </m:sub>
                        </m:sSub>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𝑝</m:t>
                            </m:r>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29" name="TextBox 128">
              <a:extLst>
                <a:ext uri="{FF2B5EF4-FFF2-40B4-BE49-F238E27FC236}">
                  <a16:creationId xmlns:a16="http://schemas.microsoft.com/office/drawing/2014/main" id="{00000000-0008-0000-0100-000081000000}"/>
                </a:ext>
              </a:extLst>
            </xdr:cNvPr>
            <xdr:cNvSpPr txBox="1"/>
          </xdr:nvSpPr>
          <xdr:spPr>
            <a:xfrm>
              <a:off x="4490641" y="7026671"/>
              <a:ext cx="330347" cy="195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̇_(𝑠,) 𝑝_𝑠 )</a:t>
              </a:r>
              <a:endParaRPr lang="en-GB" sz="1100"/>
            </a:p>
          </xdr:txBody>
        </xdr:sp>
      </mc:Fallback>
    </mc:AlternateContent>
    <xdr:clientData/>
  </xdr:oneCellAnchor>
  <xdr:oneCellAnchor>
    <xdr:from>
      <xdr:col>2</xdr:col>
      <xdr:colOff>421349</xdr:colOff>
      <xdr:row>33</xdr:row>
      <xdr:rowOff>14154</xdr:rowOff>
    </xdr:from>
    <xdr:ext cx="679837" cy="1108252"/>
    <mc:AlternateContent xmlns:mc="http://schemas.openxmlformats.org/markup-compatibility/2006" xmlns:a14="http://schemas.microsoft.com/office/drawing/2010/main">
      <mc:Choice Requires="a14">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4057" y="6650962"/>
              <a:ext cx="232821" cy="191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n-GB" sz="1100" b="0" i="1">
                            <a:solidFill>
                              <a:schemeClr val="tx1"/>
                            </a:solidFill>
                            <a:effectLst/>
                            <a:latin typeface="+mn-lt"/>
                            <a:ea typeface="+mn-ea"/>
                            <a:cs typeface="+mn-cs"/>
                          </a:rPr>
                          <m:t>f</m:t>
                        </m:r>
                        <m:r>
                          <m:rPr>
                            <m:nor/>
                          </m:rPr>
                          <a:rPr lang="en-GB" sz="1100" b="0" i="1" baseline="30000">
                            <a:solidFill>
                              <a:schemeClr val="tx1"/>
                            </a:solidFill>
                            <a:effectLst/>
                            <a:latin typeface="+mn-lt"/>
                            <a:ea typeface="+mn-ea"/>
                            <a:cs typeface="+mn-cs"/>
                          </a:rPr>
                          <m:t>o</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𝐶</m:t>
                                </m:r>
                              </m:e>
                            </m:acc>
                          </m:e>
                          <m:sub>
                            <m:r>
                              <a:rPr lang="en-GB" sz="1100" b="0" i="1">
                                <a:solidFill>
                                  <a:schemeClr val="tx1"/>
                                </a:solidFill>
                                <a:effectLst/>
                                <a:latin typeface="Cambria Math" panose="02040503050406030204" pitchFamily="18" charset="0"/>
                                <a:ea typeface="+mn-ea"/>
                                <a:cs typeface="+mn-cs"/>
                              </a:rPr>
                              <m:t>𝑠</m:t>
                            </m:r>
                          </m:sub>
                        </m:sSub>
                      </m:sub>
                    </m:sSub>
                  </m:oMath>
                </m:oMathPara>
              </a14:m>
              <a:endParaRPr lang="en-GB" sz="1100"/>
            </a:p>
          </xdr:txBody>
        </xdr:sp>
      </mc:Choice>
      <mc:Fallback xmlns="">
        <xdr:sp macro="" textlink="">
          <xdr:nvSpPr>
            <xdr:cNvPr id="130" name="TextBox 129">
              <a:extLst>
                <a:ext uri="{FF2B5EF4-FFF2-40B4-BE49-F238E27FC236}">
                  <a16:creationId xmlns:a16="http://schemas.microsoft.com/office/drawing/2014/main" id="{00000000-0008-0000-0100-000082000000}"/>
                </a:ext>
              </a:extLst>
            </xdr:cNvPr>
            <xdr:cNvSpPr txBox="1"/>
          </xdr:nvSpPr>
          <xdr:spPr>
            <a:xfrm>
              <a:off x="4734057" y="6650962"/>
              <a:ext cx="232821" cy="1910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mn-lt"/>
                  <a:ea typeface="+mn-ea"/>
                  <a:cs typeface="+mn-cs"/>
                </a:rPr>
                <a:t>"f</a:t>
              </a:r>
              <a:r>
                <a:rPr lang="en-GB" sz="1100" b="0" i="0" baseline="30000">
                  <a:solidFill>
                    <a:schemeClr val="tx1"/>
                  </a:solidFill>
                  <a:effectLst/>
                  <a:latin typeface="+mn-lt"/>
                  <a:ea typeface="+mn-ea"/>
                  <a:cs typeface="+mn-cs"/>
                </a:rPr>
                <a:t>o</a:t>
              </a:r>
              <a:r>
                <a:rPr lang="en-GB" sz="1100" b="0" i="0" baseline="30000">
                  <a:solidFill>
                    <a:schemeClr val="tx1"/>
                  </a:solidFill>
                  <a:effectLst/>
                  <a:latin typeface="Cambria Math" panose="02040503050406030204" pitchFamily="18" charset="0"/>
                  <a:ea typeface="+mn-ea"/>
                  <a:cs typeface="+mn-cs"/>
                </a:rPr>
                <a:t>" 〗_(</a:t>
              </a:r>
              <a:r>
                <a:rPr lang="en-GB" sz="1100" b="0" i="0">
                  <a:solidFill>
                    <a:schemeClr val="tx1"/>
                  </a:solidFill>
                  <a:effectLst/>
                  <a:latin typeface="Cambria Math" panose="02040503050406030204" pitchFamily="18" charset="0"/>
                  <a:ea typeface="+mn-ea"/>
                  <a:cs typeface="+mn-cs"/>
                </a:rPr>
                <a:t>𝐶 ̇_𝑠 )</a:t>
              </a:r>
              <a:endParaRPr lang="en-GB" sz="1100"/>
            </a:p>
          </xdr:txBody>
        </xdr:sp>
      </mc:Fallback>
    </mc:AlternateContent>
    <xdr:clientData/>
  </xdr:oneCellAnchor>
  <xdr:oneCellAnchor>
    <xdr:from>
      <xdr:col>2</xdr:col>
      <xdr:colOff>477404</xdr:colOff>
      <xdr:row>147</xdr:row>
      <xdr:rowOff>15586</xdr:rowOff>
    </xdr:from>
    <xdr:ext cx="217446" cy="110590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4554104" y="27590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3" name="TextBox 142">
              <a:extLst>
                <a:ext uri="{FF2B5EF4-FFF2-40B4-BE49-F238E27FC236}">
                  <a16:creationId xmlns:a16="http://schemas.microsoft.com/office/drawing/2014/main" id="{00000000-0008-0000-0100-00008F000000}"/>
                </a:ext>
              </a:extLst>
            </xdr:cNvPr>
            <xdr:cNvSpPr txBox="1"/>
          </xdr:nvSpPr>
          <xdr:spPr>
            <a:xfrm>
              <a:off x="4554104" y="27590461"/>
              <a:ext cx="170175"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501217</xdr:colOff>
      <xdr:row>164</xdr:row>
      <xdr:rowOff>17967</xdr:rowOff>
    </xdr:from>
    <xdr:ext cx="414312" cy="111255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4577917" y="31021842"/>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acc>
                          <m:accPr>
                            <m:chr m:val="̇"/>
                            <m:ctrlPr>
                              <a:rPr lang="en-GB" sz="1100" i="1">
                                <a:latin typeface="Cambria Math" panose="02040503050406030204" pitchFamily="18" charset="0"/>
                              </a:rPr>
                            </m:ctrlPr>
                          </m:accPr>
                          <m:e>
                            <m:r>
                              <a:rPr lang="en-GB" sz="1100" b="0" i="1">
                                <a:solidFill>
                                  <a:schemeClr val="tx1"/>
                                </a:solidFill>
                                <a:effectLst/>
                                <a:latin typeface="Cambria Math" panose="02040503050406030204" pitchFamily="18" charset="0"/>
                                <a:ea typeface="+mn-ea"/>
                                <a:cs typeface="+mn-cs"/>
                              </a:rPr>
                              <m:t>∆</m:t>
                            </m:r>
                            <m:r>
                              <a:rPr lang="en-GB" sz="1100" b="0" i="1">
                                <a:latin typeface="Cambria Math" panose="02040503050406030204" pitchFamily="18" charset="0"/>
                              </a:rPr>
                              <m:t>𝐸</m:t>
                            </m:r>
                          </m:e>
                        </m:acc>
                      </m:e>
                      <m:sub>
                        <m:r>
                          <a:rPr lang="en-GB" sz="1100" b="0" i="1">
                            <a:latin typeface="Cambria Math" panose="02040503050406030204" pitchFamily="18" charset="0"/>
                          </a:rPr>
                          <m:t>𝑠</m:t>
                        </m:r>
                      </m:sub>
                    </m:sSub>
                  </m:oMath>
                </m:oMathPara>
              </a14:m>
              <a:endParaRPr lang="en-GB" sz="1100"/>
            </a:p>
          </xdr:txBody>
        </xdr:sp>
      </mc:Choice>
      <mc:Fallback xmlns="">
        <xdr:sp macro="" textlink="">
          <xdr:nvSpPr>
            <xdr:cNvPr id="144" name="TextBox 143">
              <a:extLst>
                <a:ext uri="{FF2B5EF4-FFF2-40B4-BE49-F238E27FC236}">
                  <a16:creationId xmlns:a16="http://schemas.microsoft.com/office/drawing/2014/main" id="{00000000-0008-0000-0100-000090000000}"/>
                </a:ext>
              </a:extLst>
            </xdr:cNvPr>
            <xdr:cNvSpPr txBox="1"/>
          </xdr:nvSpPr>
          <xdr:spPr>
            <a:xfrm>
              <a:off x="4577917" y="31021842"/>
              <a:ext cx="254237" cy="1822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𝐸) ̇_𝑠</a:t>
              </a:r>
              <a:endParaRPr lang="en-GB" sz="1100"/>
            </a:p>
          </xdr:txBody>
        </xdr:sp>
      </mc:Fallback>
    </mc:AlternateContent>
    <xdr:clientData/>
  </xdr:oneCellAnchor>
  <xdr:oneCellAnchor>
    <xdr:from>
      <xdr:col>2</xdr:col>
      <xdr:colOff>61479</xdr:colOff>
      <xdr:row>170</xdr:row>
      <xdr:rowOff>196561</xdr:rowOff>
    </xdr:from>
    <xdr:ext cx="65" cy="172227"/>
    <xdr:sp macro="" textlink="">
      <xdr:nvSpPr>
        <xdr:cNvPr id="152" name="TextBox 151">
          <a:extLst>
            <a:ext uri="{FF2B5EF4-FFF2-40B4-BE49-F238E27FC236}">
              <a16:creationId xmlns:a16="http://schemas.microsoft.com/office/drawing/2014/main" id="{00000000-0008-0000-0100-000098000000}"/>
            </a:ext>
          </a:extLst>
        </xdr:cNvPr>
        <xdr:cNvSpPr txBox="1"/>
      </xdr:nvSpPr>
      <xdr:spPr>
        <a:xfrm>
          <a:off x="4147704" y="3240058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456045</xdr:colOff>
      <xdr:row>170</xdr:row>
      <xdr:rowOff>6062</xdr:rowOff>
    </xdr:from>
    <xdr:ext cx="240066" cy="1115441"/>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14:m>
                <m:oMath xmlns:m="http://schemas.openxmlformats.org/officeDocument/2006/math">
                  <m:acc>
                    <m:accPr>
                      <m:chr m:val="̇"/>
                      <m:ctrlPr>
                        <a:rPr lang="en-GB" sz="1100" i="1">
                          <a:latin typeface="Cambria Math" panose="02040503050406030204" pitchFamily="18" charset="0"/>
                        </a:rPr>
                      </m:ctrlPr>
                    </m:accPr>
                    <m:e>
                      <m:r>
                        <a:rPr lang="en-GB" sz="1100" b="0" i="1">
                          <a:latin typeface="Cambria Math" panose="02040503050406030204" pitchFamily="18" charset="0"/>
                        </a:rPr>
                        <m:t>𝑀</m:t>
                      </m:r>
                    </m:e>
                  </m:acc>
                </m:oMath>
              </a14:m>
              <a:endParaRPr lang="en-GB" sz="1100"/>
            </a:p>
          </xdr:txBody>
        </xdr:sp>
      </mc:Choice>
      <mc:Fallback xmlns="">
        <xdr:sp macro="" textlink="">
          <xdr:nvSpPr>
            <xdr:cNvPr id="153" name="TextBox 152">
              <a:extLst>
                <a:ext uri="{FF2B5EF4-FFF2-40B4-BE49-F238E27FC236}">
                  <a16:creationId xmlns:a16="http://schemas.microsoft.com/office/drawing/2014/main" id="{00000000-0008-0000-0100-000099000000}"/>
                </a:ext>
              </a:extLst>
            </xdr:cNvPr>
            <xdr:cNvSpPr txBox="1"/>
          </xdr:nvSpPr>
          <xdr:spPr>
            <a:xfrm>
              <a:off x="4532745" y="32210087"/>
              <a:ext cx="203133" cy="181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1">
                  <a:solidFill>
                    <a:schemeClr val="tx1"/>
                  </a:solidFill>
                  <a:effectLst/>
                  <a:latin typeface="+mn-lt"/>
                  <a:ea typeface="+mn-ea"/>
                  <a:cs typeface="+mn-cs"/>
                </a:rPr>
                <a:t>∆</a:t>
              </a:r>
              <a:r>
                <a:rPr lang="en-GB" sz="1100" b="0" i="0">
                  <a:latin typeface="Cambria Math" panose="02040503050406030204" pitchFamily="18" charset="0"/>
                </a:rPr>
                <a:t>𝑀 ̇</a:t>
              </a:r>
              <a:endParaRPr lang="en-GB" sz="1100"/>
            </a:p>
          </xdr:txBody>
        </xdr:sp>
      </mc:Fallback>
    </mc:AlternateContent>
    <xdr:clientData/>
  </xdr:oneCellAnchor>
  <xdr:oneCellAnchor>
    <xdr:from>
      <xdr:col>2</xdr:col>
      <xdr:colOff>61479</xdr:colOff>
      <xdr:row>104</xdr:row>
      <xdr:rowOff>5003</xdr:rowOff>
    </xdr:from>
    <xdr:ext cx="65" cy="172227"/>
    <xdr:sp macro="" textlink="">
      <xdr:nvSpPr>
        <xdr:cNvPr id="162" name="TextBox 161">
          <a:extLst>
            <a:ext uri="{FF2B5EF4-FFF2-40B4-BE49-F238E27FC236}">
              <a16:creationId xmlns:a16="http://schemas.microsoft.com/office/drawing/2014/main" id="{00000000-0008-0000-0100-0000A2000000}"/>
            </a:ext>
          </a:extLst>
        </xdr:cNvPr>
        <xdr:cNvSpPr txBox="1"/>
      </xdr:nvSpPr>
      <xdr:spPr>
        <a:xfrm>
          <a:off x="4379479" y="2111875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a:p>
      </xdr:txBody>
    </xdr:sp>
    <xdr:clientData/>
  </xdr:oneCellAnchor>
  <xdr:oneCellAnchor>
    <xdr:from>
      <xdr:col>2</xdr:col>
      <xdr:colOff>484909</xdr:colOff>
      <xdr:row>104</xdr:row>
      <xdr:rowOff>18184</xdr:rowOff>
    </xdr:from>
    <xdr:ext cx="427901" cy="1077795"/>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00000000-0008-0000-0100-0000A3000000}"/>
                </a:ext>
              </a:extLst>
            </xdr:cNvPr>
            <xdr:cNvSpPr txBox="1"/>
          </xdr:nvSpPr>
          <xdr:spPr>
            <a:xfrm>
              <a:off x="4561609" y="189824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GB" sz="1100" b="0" i="1">
                            <a:solidFill>
                              <a:schemeClr val="tx1"/>
                            </a:solidFill>
                            <a:effectLst/>
                            <a:latin typeface="Cambria Math" panose="02040503050406030204" pitchFamily="18" charset="0"/>
                            <a:ea typeface="+mn-ea"/>
                            <a:cs typeface="+mn-cs"/>
                          </a:rPr>
                        </m:ctrlPr>
                      </m:sSupPr>
                      <m:e>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r>
                              <a:rPr lang="en-GB" sz="1100" b="0" i="1">
                                <a:solidFill>
                                  <a:schemeClr val="tx1"/>
                                </a:solidFill>
                                <a:effectLst/>
                                <a:latin typeface="Cambria Math" panose="02040503050406030204" pitchFamily="18" charset="0"/>
                                <a:ea typeface="+mn-ea"/>
                                <a:cs typeface="+mn-cs"/>
                              </a:rPr>
                              <m:t>′</m:t>
                            </m:r>
                          </m:e>
                        </m:acc>
                      </m:e>
                      <m:sup>
                        <m:r>
                          <a:rPr lang="en-GB" sz="1100" b="0" i="1">
                            <a:solidFill>
                              <a:schemeClr val="tx1"/>
                            </a:solidFill>
                            <a:effectLst/>
                            <a:latin typeface="Cambria Math" panose="02040503050406030204" pitchFamily="18" charset="0"/>
                            <a:ea typeface="+mn-ea"/>
                            <a:cs typeface="+mn-cs"/>
                          </a:rPr>
                          <m:t>^</m:t>
                        </m:r>
                      </m:sup>
                    </m:sSup>
                  </m:oMath>
                </m:oMathPara>
              </a14:m>
              <a:endParaRPr lang="en-GB" sz="1100"/>
            </a:p>
          </xdr:txBody>
        </xdr:sp>
      </mc:Choice>
      <mc:Fallback xmlns="">
        <xdr:sp macro="" textlink="">
          <xdr:nvSpPr>
            <xdr:cNvPr id="163" name="TextBox 162">
              <a:extLst>
                <a:ext uri="{FF2B5EF4-FFF2-40B4-BE49-F238E27FC236}">
                  <a16:creationId xmlns:a16="http://schemas.microsoft.com/office/drawing/2014/main" id="{00000000-0008-0000-0100-0000A3000000}"/>
                </a:ext>
              </a:extLst>
            </xdr:cNvPr>
            <xdr:cNvSpPr txBox="1"/>
          </xdr:nvSpPr>
          <xdr:spPr>
            <a:xfrm>
              <a:off x="4561609" y="18982459"/>
              <a:ext cx="251159" cy="195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(𝑀′) ̇^^</a:t>
              </a:r>
              <a:endParaRPr lang="en-GB" sz="1100"/>
            </a:p>
          </xdr:txBody>
        </xdr:sp>
      </mc:Fallback>
    </mc:AlternateContent>
    <xdr:clientData/>
  </xdr:oneCellAnchor>
  <xdr:oneCellAnchor>
    <xdr:from>
      <xdr:col>2</xdr:col>
      <xdr:colOff>421349</xdr:colOff>
      <xdr:row>38</xdr:row>
      <xdr:rowOff>4629</xdr:rowOff>
    </xdr:from>
    <xdr:ext cx="932947" cy="1084734"/>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m:rPr>
                            <m:nor/>
                          </m:rPr>
                          <a:rPr lang="el-GR" sz="1100">
                            <a:solidFill>
                              <a:schemeClr val="tx1"/>
                            </a:solidFill>
                            <a:effectLst/>
                            <a:latin typeface="+mn-lt"/>
                            <a:ea typeface="+mn-ea"/>
                            <a:cs typeface="+mn-cs"/>
                          </a:rPr>
                          <m:t>ϵ</m:t>
                        </m:r>
                      </m:e>
                      <m:sub>
                        <m:sSub>
                          <m:sSubPr>
                            <m:ctrlPr>
                              <a:rPr lang="en-GB" sz="1100" i="1">
                                <a:solidFill>
                                  <a:schemeClr val="tx1"/>
                                </a:solidFill>
                                <a:effectLst/>
                                <a:latin typeface="Cambria Math" panose="02040503050406030204" pitchFamily="18" charset="0"/>
                                <a:ea typeface="+mn-ea"/>
                                <a:cs typeface="+mn-cs"/>
                              </a:rPr>
                            </m:ctrlPr>
                          </m:sSubPr>
                          <m:e>
                            <m:acc>
                              <m:accPr>
                                <m:chr m:val="̇"/>
                                <m:ctrlPr>
                                  <a:rPr lang="en-GB" sz="110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𝑞</m:t>
                                </m:r>
                              </m:e>
                            </m:acc>
                          </m:e>
                          <m:sub>
                            <m:r>
                              <a:rPr lang="en-GB" sz="1100" b="0" i="1">
                                <a:solidFill>
                                  <a:schemeClr val="tx1"/>
                                </a:solidFill>
                                <a:effectLst/>
                                <a:latin typeface="Cambria Math" panose="02040503050406030204" pitchFamily="18" charset="0"/>
                                <a:ea typeface="+mn-ea"/>
                                <a:cs typeface="+mn-cs"/>
                              </a:rPr>
                              <m:t>𝑜</m:t>
                            </m:r>
                            <m:r>
                              <a:rPr lang="en-GB" sz="1100" b="0" i="1">
                                <a:solidFill>
                                  <a:schemeClr val="tx1"/>
                                </a:solidFill>
                                <a:effectLst/>
                                <a:latin typeface="Cambria Math" panose="02040503050406030204" pitchFamily="18" charset="0"/>
                                <a:ea typeface="+mn-ea"/>
                                <a:cs typeface="+mn-cs"/>
                              </a:rPr>
                              <m:t>,</m:t>
                            </m:r>
                          </m:sub>
                        </m:sSub>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𝑀</m:t>
                            </m:r>
                          </m:e>
                        </m:acc>
                      </m:sub>
                    </m:sSub>
                  </m:oMath>
                </m:oMathPara>
              </a14:m>
              <a:endParaRPr lang="en-GB" sz="1100"/>
            </a:p>
          </xdr:txBody>
        </xdr:sp>
      </mc:Choice>
      <mc:Fallback xmlns="">
        <xdr:sp macro="" textlink="">
          <xdr:nvSpPr>
            <xdr:cNvPr id="171" name="TextBox 170">
              <a:extLst>
                <a:ext uri="{FF2B5EF4-FFF2-40B4-BE49-F238E27FC236}">
                  <a16:creationId xmlns:a16="http://schemas.microsoft.com/office/drawing/2014/main" id="{00000000-0008-0000-0000-000080000000}"/>
                </a:ext>
              </a:extLst>
            </xdr:cNvPr>
            <xdr:cNvSpPr txBox="1"/>
          </xdr:nvSpPr>
          <xdr:spPr>
            <a:xfrm>
              <a:off x="5164799" y="8024679"/>
              <a:ext cx="317202" cy="20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solidFill>
                    <a:schemeClr val="tx1"/>
                  </a:solidFill>
                  <a:effectLst/>
                  <a:latin typeface="+mn-lt"/>
                  <a:ea typeface="+mn-ea"/>
                  <a:cs typeface="+mn-cs"/>
                </a:rPr>
                <a:t>"ϵ</a:t>
              </a:r>
              <a:r>
                <a:rPr lang="el-GR" sz="1100" i="0">
                  <a:solidFill>
                    <a:schemeClr val="tx1"/>
                  </a:solidFill>
                  <a:effectLst/>
                  <a:latin typeface="Cambria Math" panose="02040503050406030204" pitchFamily="18" charset="0"/>
                  <a:ea typeface="+mn-ea"/>
                  <a:cs typeface="+mn-cs"/>
                </a:rPr>
                <a:t>" </a:t>
              </a:r>
              <a:r>
                <a:rPr lang="en-GB" sz="1100" i="0">
                  <a:solidFill>
                    <a:schemeClr val="tx1"/>
                  </a:solidFill>
                  <a:effectLst/>
                  <a:latin typeface="Cambria Math" panose="02040503050406030204" pitchFamily="18" charset="0"/>
                  <a:ea typeface="+mn-ea"/>
                  <a:cs typeface="+mn-cs"/>
                </a:rPr>
                <a:t>_(</a:t>
              </a:r>
              <a:r>
                <a:rPr lang="en-GB" sz="1100" b="0" i="0">
                  <a:solidFill>
                    <a:schemeClr val="tx1"/>
                  </a:solidFill>
                  <a:effectLst/>
                  <a:latin typeface="Cambria Math" panose="02040503050406030204" pitchFamily="18" charset="0"/>
                  <a:ea typeface="+mn-ea"/>
                  <a:cs typeface="+mn-cs"/>
                </a:rPr>
                <a:t>𝑞 ̇_(𝑜,) 𝑀 ̇ )</a:t>
              </a:r>
              <a:endParaRPr lang="en-GB" sz="1100"/>
            </a:p>
          </xdr:txBody>
        </xdr:sp>
      </mc:Fallback>
    </mc:AlternateContent>
    <xdr:clientData/>
  </xdr:oneCellAnchor>
  <xdr:twoCellAnchor editAs="oneCell">
    <xdr:from>
      <xdr:col>3</xdr:col>
      <xdr:colOff>1133475</xdr:colOff>
      <xdr:row>143</xdr:row>
      <xdr:rowOff>38100</xdr:rowOff>
    </xdr:from>
    <xdr:to>
      <xdr:col>4</xdr:col>
      <xdr:colOff>200025</xdr:colOff>
      <xdr:row>153</xdr:row>
      <xdr:rowOff>85725</xdr:rowOff>
    </xdr:to>
    <xdr:pic>
      <xdr:nvPicPr>
        <xdr:cNvPr id="34929" name="Picture 18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715125" y="28851225"/>
          <a:ext cx="361950" cy="2047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1323975</xdr:colOff>
      <xdr:row>143</xdr:row>
      <xdr:rowOff>104775</xdr:rowOff>
    </xdr:from>
    <xdr:to>
      <xdr:col>5</xdr:col>
      <xdr:colOff>276225</xdr:colOff>
      <xdr:row>153</xdr:row>
      <xdr:rowOff>66675</xdr:rowOff>
    </xdr:to>
    <xdr:pic>
      <xdr:nvPicPr>
        <xdr:cNvPr id="34930" name="Picture 18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01025" y="28917900"/>
          <a:ext cx="400050" cy="1962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1228725</xdr:colOff>
      <xdr:row>144</xdr:row>
      <xdr:rowOff>190500</xdr:rowOff>
    </xdr:from>
    <xdr:to>
      <xdr:col>6</xdr:col>
      <xdr:colOff>295275</xdr:colOff>
      <xdr:row>152</xdr:row>
      <xdr:rowOff>57150</xdr:rowOff>
    </xdr:to>
    <xdr:pic>
      <xdr:nvPicPr>
        <xdr:cNvPr id="34931" name="Picture 18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53575" y="29203650"/>
          <a:ext cx="371475" cy="146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157</xdr:row>
      <xdr:rowOff>0</xdr:rowOff>
    </xdr:from>
    <xdr:to>
      <xdr:col>4</xdr:col>
      <xdr:colOff>1304925</xdr:colOff>
      <xdr:row>158</xdr:row>
      <xdr:rowOff>0</xdr:rowOff>
    </xdr:to>
    <xdr:pic>
      <xdr:nvPicPr>
        <xdr:cNvPr id="34932" name="Picture 19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38975" y="31623000"/>
          <a:ext cx="11430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156</xdr:row>
      <xdr:rowOff>180975</xdr:rowOff>
    </xdr:from>
    <xdr:to>
      <xdr:col>5</xdr:col>
      <xdr:colOff>1200150</xdr:colOff>
      <xdr:row>157</xdr:row>
      <xdr:rowOff>200025</xdr:rowOff>
    </xdr:to>
    <xdr:pic>
      <xdr:nvPicPr>
        <xdr:cNvPr id="34933" name="Picture 19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20100" y="31603950"/>
          <a:ext cx="11049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352425</xdr:colOff>
      <xdr:row>156</xdr:row>
      <xdr:rowOff>180975</xdr:rowOff>
    </xdr:from>
    <xdr:to>
      <xdr:col>6</xdr:col>
      <xdr:colOff>1181100</xdr:colOff>
      <xdr:row>157</xdr:row>
      <xdr:rowOff>200025</xdr:rowOff>
    </xdr:to>
    <xdr:pic>
      <xdr:nvPicPr>
        <xdr:cNvPr id="34934" name="Picture 19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982200" y="31603950"/>
          <a:ext cx="8286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1257300</xdr:colOff>
      <xdr:row>3</xdr:row>
      <xdr:rowOff>19050</xdr:rowOff>
    </xdr:from>
    <xdr:to>
      <xdr:col>6</xdr:col>
      <xdr:colOff>809625</xdr:colOff>
      <xdr:row>15</xdr:row>
      <xdr:rowOff>38100</xdr:rowOff>
    </xdr:to>
    <xdr:pic>
      <xdr:nvPicPr>
        <xdr:cNvPr id="34935" name="Picture 198"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572125" y="619125"/>
          <a:ext cx="4867275" cy="241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47625</xdr:colOff>
      <xdr:row>55</xdr:row>
      <xdr:rowOff>152400</xdr:rowOff>
    </xdr:from>
    <xdr:to>
      <xdr:col>16</xdr:col>
      <xdr:colOff>419100</xdr:colOff>
      <xdr:row>61</xdr:row>
      <xdr:rowOff>200025</xdr:rowOff>
    </xdr:to>
    <xdr:pic>
      <xdr:nvPicPr>
        <xdr:cNvPr id="34936" name="Picture 204"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b="40797"/>
        <a:stretch>
          <a:fillRect/>
        </a:stretch>
      </xdr:blipFill>
      <xdr:spPr bwMode="auto">
        <a:xfrm>
          <a:off x="11229975" y="11353800"/>
          <a:ext cx="77914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9525</xdr:colOff>
      <xdr:row>65</xdr:row>
      <xdr:rowOff>0</xdr:rowOff>
    </xdr:from>
    <xdr:to>
      <xdr:col>11</xdr:col>
      <xdr:colOff>161925</xdr:colOff>
      <xdr:row>70</xdr:row>
      <xdr:rowOff>142875</xdr:rowOff>
    </xdr:to>
    <xdr:pic>
      <xdr:nvPicPr>
        <xdr:cNvPr id="34937" name="Picture 209"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t="39687"/>
        <a:stretch>
          <a:fillRect/>
        </a:stretch>
      </xdr:blipFill>
      <xdr:spPr bwMode="auto">
        <a:xfrm>
          <a:off x="11191875" y="13201650"/>
          <a:ext cx="38576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238125</xdr:colOff>
      <xdr:row>157</xdr:row>
      <xdr:rowOff>9525</xdr:rowOff>
    </xdr:from>
    <xdr:to>
      <xdr:col>7</xdr:col>
      <xdr:colOff>1104900</xdr:colOff>
      <xdr:row>157</xdr:row>
      <xdr:rowOff>209550</xdr:rowOff>
    </xdr:to>
    <xdr:pic>
      <xdr:nvPicPr>
        <xdr:cNvPr id="34968" name="Picture 15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1420475" y="31632525"/>
          <a:ext cx="86677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1381125</xdr:colOff>
      <xdr:row>144</xdr:row>
      <xdr:rowOff>180975</xdr:rowOff>
    </xdr:from>
    <xdr:to>
      <xdr:col>7</xdr:col>
      <xdr:colOff>161925</xdr:colOff>
      <xdr:row>152</xdr:row>
      <xdr:rowOff>123825</xdr:rowOff>
    </xdr:to>
    <xdr:pic>
      <xdr:nvPicPr>
        <xdr:cNvPr id="34969" name="Picture 155"/>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1010900" y="29194125"/>
          <a:ext cx="333375"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85725</xdr:colOff>
      <xdr:row>148</xdr:row>
      <xdr:rowOff>171450</xdr:rowOff>
    </xdr:from>
    <xdr:to>
      <xdr:col>12</xdr:col>
      <xdr:colOff>600075</xdr:colOff>
      <xdr:row>150</xdr:row>
      <xdr:rowOff>152400</xdr:rowOff>
    </xdr:to>
    <xdr:pic>
      <xdr:nvPicPr>
        <xdr:cNvPr id="34970" name="Picture 156"/>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696825" y="29984700"/>
          <a:ext cx="3629025" cy="381000"/>
        </a:xfrm>
        <a:prstGeom prst="rect">
          <a:avLst/>
        </a:prstGeom>
        <a:noFill/>
        <a:ln w="9525">
          <a:solidFill>
            <a:srgbClr val="2F5597"/>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523875</xdr:colOff>
      <xdr:row>294</xdr:row>
      <xdr:rowOff>19050</xdr:rowOff>
    </xdr:from>
    <xdr:to>
      <xdr:col>2</xdr:col>
      <xdr:colOff>609600</xdr:colOff>
      <xdr:row>295</xdr:row>
      <xdr:rowOff>19050</xdr:rowOff>
    </xdr:to>
    <xdr:pic>
      <xdr:nvPicPr>
        <xdr:cNvPr id="34971" name="Picture 15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781425" y="5922645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723900</xdr:colOff>
      <xdr:row>293</xdr:row>
      <xdr:rowOff>200025</xdr:rowOff>
    </xdr:from>
    <xdr:to>
      <xdr:col>4</xdr:col>
      <xdr:colOff>523875</xdr:colOff>
      <xdr:row>295</xdr:row>
      <xdr:rowOff>19050</xdr:rowOff>
    </xdr:to>
    <xdr:pic>
      <xdr:nvPicPr>
        <xdr:cNvPr id="34972" name="Picture 15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305550" y="59197875"/>
          <a:ext cx="10953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962025</xdr:colOff>
      <xdr:row>294</xdr:row>
      <xdr:rowOff>9525</xdr:rowOff>
    </xdr:from>
    <xdr:to>
      <xdr:col>6</xdr:col>
      <xdr:colOff>476250</xdr:colOff>
      <xdr:row>295</xdr:row>
      <xdr:rowOff>19050</xdr:rowOff>
    </xdr:to>
    <xdr:pic>
      <xdr:nvPicPr>
        <xdr:cNvPr id="34973" name="Picture 16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286875" y="59216925"/>
          <a:ext cx="8191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828675</xdr:colOff>
      <xdr:row>294</xdr:row>
      <xdr:rowOff>19050</xdr:rowOff>
    </xdr:from>
    <xdr:to>
      <xdr:col>8</xdr:col>
      <xdr:colOff>257175</xdr:colOff>
      <xdr:row>295</xdr:row>
      <xdr:rowOff>0</xdr:rowOff>
    </xdr:to>
    <xdr:pic>
      <xdr:nvPicPr>
        <xdr:cNvPr id="34974" name="Picture 17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2011025" y="59226450"/>
          <a:ext cx="8572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359834</xdr:colOff>
      <xdr:row>274</xdr:row>
      <xdr:rowOff>137583</xdr:rowOff>
    </xdr:from>
    <xdr:to>
      <xdr:col>2</xdr:col>
      <xdr:colOff>258812</xdr:colOff>
      <xdr:row>278</xdr:row>
      <xdr:rowOff>29048</xdr:rowOff>
    </xdr:to>
    <xdr:pic>
      <xdr:nvPicPr>
        <xdr:cNvPr id="151" name="Picture 150" descr="Screen Clipping"/>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59834" y="55647166"/>
          <a:ext cx="4216978" cy="695799"/>
        </a:xfrm>
        <a:prstGeom prst="rect">
          <a:avLst/>
        </a:prstGeom>
        <a:ln>
          <a:solidFill>
            <a:srgbClr val="7030A0"/>
          </a:solidFill>
        </a:ln>
      </xdr:spPr>
    </xdr:pic>
    <xdr:clientData/>
  </xdr:twoCellAnchor>
  <xdr:twoCellAnchor editAs="oneCell">
    <xdr:from>
      <xdr:col>6</xdr:col>
      <xdr:colOff>584696</xdr:colOff>
      <xdr:row>31</xdr:row>
      <xdr:rowOff>84666</xdr:rowOff>
    </xdr:from>
    <xdr:to>
      <xdr:col>11</xdr:col>
      <xdr:colOff>315010</xdr:colOff>
      <xdr:row>35</xdr:row>
      <xdr:rowOff>52353</xdr:rowOff>
    </xdr:to>
    <xdr:pic>
      <xdr:nvPicPr>
        <xdr:cNvPr id="154" name="Picture 153" descr="Screen Clipping"/>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0215529" y="6339416"/>
          <a:ext cx="4990231" cy="951937"/>
        </a:xfrm>
        <a:prstGeom prst="rect">
          <a:avLst/>
        </a:prstGeom>
        <a:ln>
          <a:solidFill>
            <a:srgbClr val="7030A0"/>
          </a:solidFill>
        </a:ln>
      </xdr:spPr>
    </xdr:pic>
    <xdr:clientData/>
  </xdr:twoCellAnchor>
  <xdr:twoCellAnchor editAs="oneCell">
    <xdr:from>
      <xdr:col>6</xdr:col>
      <xdr:colOff>893806</xdr:colOff>
      <xdr:row>35</xdr:row>
      <xdr:rowOff>168081</xdr:rowOff>
    </xdr:from>
    <xdr:to>
      <xdr:col>10</xdr:col>
      <xdr:colOff>299989</xdr:colOff>
      <xdr:row>38</xdr:row>
      <xdr:rowOff>105530</xdr:rowOff>
    </xdr:to>
    <xdr:pic>
      <xdr:nvPicPr>
        <xdr:cNvPr id="155" name="Picture 154" descr="Screen Clipping"/>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0524639" y="7407081"/>
          <a:ext cx="4062850" cy="540699"/>
        </a:xfrm>
        <a:prstGeom prst="rect">
          <a:avLst/>
        </a:prstGeom>
        <a:ln>
          <a:solidFill>
            <a:srgbClr val="7030A0"/>
          </a:solidFill>
        </a:ln>
      </xdr:spPr>
    </xdr:pic>
    <xdr:clientData/>
  </xdr:twoCellAnchor>
  <xdr:twoCellAnchor editAs="oneCell">
    <xdr:from>
      <xdr:col>6</xdr:col>
      <xdr:colOff>680796</xdr:colOff>
      <xdr:row>39</xdr:row>
      <xdr:rowOff>8853</xdr:rowOff>
    </xdr:from>
    <xdr:to>
      <xdr:col>9</xdr:col>
      <xdr:colOff>370608</xdr:colOff>
      <xdr:row>41</xdr:row>
      <xdr:rowOff>92803</xdr:rowOff>
    </xdr:to>
    <xdr:pic>
      <xdr:nvPicPr>
        <xdr:cNvPr id="156" name="Picture 155" descr="Screen Clipping"/>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0311629" y="8052186"/>
          <a:ext cx="3510396" cy="486117"/>
        </a:xfrm>
        <a:prstGeom prst="rect">
          <a:avLst/>
        </a:prstGeom>
        <a:ln>
          <a:solidFill>
            <a:srgbClr val="7030A0"/>
          </a:solidFill>
        </a:ln>
      </xdr:spPr>
    </xdr:pic>
    <xdr:clientData/>
  </xdr:twoCellAnchor>
  <xdr:twoCellAnchor editAs="oneCell">
    <xdr:from>
      <xdr:col>6</xdr:col>
      <xdr:colOff>572558</xdr:colOff>
      <xdr:row>42</xdr:row>
      <xdr:rowOff>1346</xdr:rowOff>
    </xdr:from>
    <xdr:to>
      <xdr:col>12</xdr:col>
      <xdr:colOff>73711</xdr:colOff>
      <xdr:row>44</xdr:row>
      <xdr:rowOff>163830</xdr:rowOff>
    </xdr:to>
    <xdr:pic>
      <xdr:nvPicPr>
        <xdr:cNvPr id="157" name="Picture 156" descr="Screen Clipping"/>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0203391" y="8647929"/>
          <a:ext cx="5597153" cy="564651"/>
        </a:xfrm>
        <a:prstGeom prst="rect">
          <a:avLst/>
        </a:prstGeom>
        <a:ln>
          <a:solidFill>
            <a:srgbClr val="7030A0"/>
          </a:solidFill>
        </a:ln>
      </xdr:spPr>
    </xdr:pic>
    <xdr:clientData/>
  </xdr:twoCellAnchor>
  <xdr:twoCellAnchor editAs="oneCell">
    <xdr:from>
      <xdr:col>7</xdr:col>
      <xdr:colOff>341071</xdr:colOff>
      <xdr:row>83</xdr:row>
      <xdr:rowOff>148004</xdr:rowOff>
    </xdr:from>
    <xdr:to>
      <xdr:col>12</xdr:col>
      <xdr:colOff>78335</xdr:colOff>
      <xdr:row>86</xdr:row>
      <xdr:rowOff>146544</xdr:rowOff>
    </xdr:to>
    <xdr:pic>
      <xdr:nvPicPr>
        <xdr:cNvPr id="158" name="Picture 157" descr="Screen Clipping"/>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1527654" y="17039004"/>
          <a:ext cx="4277514" cy="601790"/>
        </a:xfrm>
        <a:prstGeom prst="rect">
          <a:avLst/>
        </a:prstGeom>
        <a:ln>
          <a:solidFill>
            <a:srgbClr val="7030A0"/>
          </a:solidFill>
        </a:ln>
      </xdr:spPr>
    </xdr:pic>
    <xdr:clientData/>
  </xdr:twoCellAnchor>
  <xdr:twoCellAnchor editAs="oneCell">
    <xdr:from>
      <xdr:col>7</xdr:col>
      <xdr:colOff>419003</xdr:colOff>
      <xdr:row>86</xdr:row>
      <xdr:rowOff>161154</xdr:rowOff>
    </xdr:from>
    <xdr:to>
      <xdr:col>11</xdr:col>
      <xdr:colOff>762745</xdr:colOff>
      <xdr:row>89</xdr:row>
      <xdr:rowOff>166547</xdr:rowOff>
    </xdr:to>
    <xdr:pic>
      <xdr:nvPicPr>
        <xdr:cNvPr id="159" name="Picture 158" descr="Screen Clipping"/>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1605586" y="17655404"/>
          <a:ext cx="4047909" cy="608643"/>
        </a:xfrm>
        <a:prstGeom prst="rect">
          <a:avLst/>
        </a:prstGeom>
        <a:ln>
          <a:solidFill>
            <a:srgbClr val="7030A0"/>
          </a:solidFill>
        </a:ln>
      </xdr:spPr>
    </xdr:pic>
    <xdr:clientData/>
  </xdr:twoCellAnchor>
  <xdr:twoCellAnchor editAs="oneCell">
    <xdr:from>
      <xdr:col>7</xdr:col>
      <xdr:colOff>1244407</xdr:colOff>
      <xdr:row>101</xdr:row>
      <xdr:rowOff>146870</xdr:rowOff>
    </xdr:from>
    <xdr:to>
      <xdr:col>13</xdr:col>
      <xdr:colOff>345730</xdr:colOff>
      <xdr:row>104</xdr:row>
      <xdr:rowOff>12906</xdr:rowOff>
    </xdr:to>
    <xdr:pic>
      <xdr:nvPicPr>
        <xdr:cNvPr id="160" name="Picture 159" descr="Screen Clipping"/>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2430990" y="20657370"/>
          <a:ext cx="4244823" cy="469286"/>
        </a:xfrm>
        <a:prstGeom prst="rect">
          <a:avLst/>
        </a:prstGeom>
        <a:ln>
          <a:solidFill>
            <a:srgbClr val="7030A0"/>
          </a:solidFill>
        </a:ln>
      </xdr:spPr>
    </xdr:pic>
    <xdr:clientData/>
  </xdr:twoCellAnchor>
  <xdr:twoCellAnchor editAs="oneCell">
    <xdr:from>
      <xdr:col>8</xdr:col>
      <xdr:colOff>338667</xdr:colOff>
      <xdr:row>109</xdr:row>
      <xdr:rowOff>119825</xdr:rowOff>
    </xdr:from>
    <xdr:to>
      <xdr:col>12</xdr:col>
      <xdr:colOff>255381</xdr:colOff>
      <xdr:row>111</xdr:row>
      <xdr:rowOff>128346</xdr:rowOff>
    </xdr:to>
    <xdr:pic>
      <xdr:nvPicPr>
        <xdr:cNvPr id="161" name="Picture 160" descr="Screen Clipping"/>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954000" y="22238992"/>
          <a:ext cx="3028214" cy="410687"/>
        </a:xfrm>
        <a:prstGeom prst="rect">
          <a:avLst/>
        </a:prstGeom>
        <a:ln>
          <a:solidFill>
            <a:srgbClr val="7030A0"/>
          </a:solidFill>
        </a:ln>
      </xdr:spPr>
    </xdr:pic>
    <xdr:clientData/>
  </xdr:twoCellAnchor>
  <xdr:twoCellAnchor editAs="oneCell">
    <xdr:from>
      <xdr:col>6</xdr:col>
      <xdr:colOff>1484841</xdr:colOff>
      <xdr:row>115</xdr:row>
      <xdr:rowOff>78219</xdr:rowOff>
    </xdr:from>
    <xdr:to>
      <xdr:col>9</xdr:col>
      <xdr:colOff>701519</xdr:colOff>
      <xdr:row>117</xdr:row>
      <xdr:rowOff>19877</xdr:rowOff>
    </xdr:to>
    <xdr:pic>
      <xdr:nvPicPr>
        <xdr:cNvPr id="164" name="Picture 163" descr="Screen Clipping"/>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1115674" y="23403886"/>
          <a:ext cx="3037262" cy="343824"/>
        </a:xfrm>
        <a:prstGeom prst="rect">
          <a:avLst/>
        </a:prstGeom>
        <a:ln>
          <a:solidFill>
            <a:srgbClr val="7030A0"/>
          </a:solidFill>
        </a:ln>
      </xdr:spPr>
    </xdr:pic>
    <xdr:clientData/>
  </xdr:twoCellAnchor>
  <xdr:twoCellAnchor editAs="oneCell">
    <xdr:from>
      <xdr:col>9</xdr:col>
      <xdr:colOff>175393</xdr:colOff>
      <xdr:row>106</xdr:row>
      <xdr:rowOff>111124</xdr:rowOff>
    </xdr:from>
    <xdr:to>
      <xdr:col>13</xdr:col>
      <xdr:colOff>333989</xdr:colOff>
      <xdr:row>108</xdr:row>
      <xdr:rowOff>53648</xdr:rowOff>
    </xdr:to>
    <xdr:pic>
      <xdr:nvPicPr>
        <xdr:cNvPr id="165" name="Picture 164" descr="Screen Clipping"/>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626810" y="21627041"/>
          <a:ext cx="3037262" cy="344690"/>
        </a:xfrm>
        <a:prstGeom prst="rect">
          <a:avLst/>
        </a:prstGeom>
        <a:ln>
          <a:solidFill>
            <a:srgbClr val="7030A0"/>
          </a:solidFill>
        </a:ln>
      </xdr:spPr>
    </xdr:pic>
    <xdr:clientData/>
  </xdr:twoCellAnchor>
  <xdr:twoCellAnchor editAs="oneCell">
    <xdr:from>
      <xdr:col>6</xdr:col>
      <xdr:colOff>1432021</xdr:colOff>
      <xdr:row>113</xdr:row>
      <xdr:rowOff>143548</xdr:rowOff>
    </xdr:from>
    <xdr:to>
      <xdr:col>10</xdr:col>
      <xdr:colOff>366780</xdr:colOff>
      <xdr:row>115</xdr:row>
      <xdr:rowOff>67007</xdr:rowOff>
    </xdr:to>
    <xdr:pic>
      <xdr:nvPicPr>
        <xdr:cNvPr id="166" name="Picture 165" descr="Screen Clipping"/>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1062854" y="23067048"/>
          <a:ext cx="3591426" cy="325626"/>
        </a:xfrm>
        <a:prstGeom prst="rect">
          <a:avLst/>
        </a:prstGeom>
        <a:ln>
          <a:solidFill>
            <a:srgbClr val="7030A0"/>
          </a:solidFill>
        </a:ln>
      </xdr:spPr>
    </xdr:pic>
    <xdr:clientData/>
  </xdr:twoCellAnchor>
  <xdr:twoCellAnchor editAs="oneCell">
    <xdr:from>
      <xdr:col>6</xdr:col>
      <xdr:colOff>1322916</xdr:colOff>
      <xdr:row>107</xdr:row>
      <xdr:rowOff>197040</xdr:rowOff>
    </xdr:from>
    <xdr:to>
      <xdr:col>8</xdr:col>
      <xdr:colOff>243416</xdr:colOff>
      <xdr:row>109</xdr:row>
      <xdr:rowOff>10675</xdr:rowOff>
    </xdr:to>
    <xdr:pic>
      <xdr:nvPicPr>
        <xdr:cNvPr id="167" name="Picture 166" descr="Screen Clipping"/>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0953749" y="21914040"/>
          <a:ext cx="1905000" cy="215802"/>
        </a:xfrm>
        <a:prstGeom prst="rect">
          <a:avLst/>
        </a:prstGeom>
        <a:ln>
          <a:solidFill>
            <a:srgbClr val="7030A0"/>
          </a:solidFill>
        </a:ln>
      </xdr:spPr>
    </xdr:pic>
    <xdr:clientData/>
  </xdr:twoCellAnchor>
  <xdr:twoCellAnchor editAs="oneCell">
    <xdr:from>
      <xdr:col>7</xdr:col>
      <xdr:colOff>1181195</xdr:colOff>
      <xdr:row>104</xdr:row>
      <xdr:rowOff>121900</xdr:rowOff>
    </xdr:from>
    <xdr:to>
      <xdr:col>10</xdr:col>
      <xdr:colOff>232062</xdr:colOff>
      <xdr:row>106</xdr:row>
      <xdr:rowOff>11425</xdr:rowOff>
    </xdr:to>
    <xdr:pic>
      <xdr:nvPicPr>
        <xdr:cNvPr id="168" name="Picture 167" descr="Screen Clipping"/>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2367778" y="21235650"/>
          <a:ext cx="2151784" cy="291692"/>
        </a:xfrm>
        <a:prstGeom prst="rect">
          <a:avLst/>
        </a:prstGeom>
        <a:ln>
          <a:solidFill>
            <a:srgbClr val="7030A0"/>
          </a:solidFill>
        </a:ln>
      </xdr:spPr>
    </xdr:pic>
    <xdr:clientData/>
  </xdr:twoCellAnchor>
  <xdr:twoCellAnchor editAs="oneCell">
    <xdr:from>
      <xdr:col>7</xdr:col>
      <xdr:colOff>1246139</xdr:colOff>
      <xdr:row>111</xdr:row>
      <xdr:rowOff>183766</xdr:rowOff>
    </xdr:from>
    <xdr:to>
      <xdr:col>11</xdr:col>
      <xdr:colOff>530641</xdr:colOff>
      <xdr:row>113</xdr:row>
      <xdr:rowOff>125413</xdr:rowOff>
    </xdr:to>
    <xdr:pic>
      <xdr:nvPicPr>
        <xdr:cNvPr id="169" name="Picture 168" descr="Screen Clipping"/>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2432722" y="22705099"/>
          <a:ext cx="2988669" cy="343814"/>
        </a:xfrm>
        <a:prstGeom prst="rect">
          <a:avLst/>
        </a:prstGeom>
        <a:ln>
          <a:solidFill>
            <a:srgbClr val="7030A0"/>
          </a:solidFill>
        </a:ln>
      </xdr:spPr>
    </xdr:pic>
    <xdr:clientData/>
  </xdr:twoCellAnchor>
  <xdr:twoCellAnchor editAs="oneCell">
    <xdr:from>
      <xdr:col>2</xdr:col>
      <xdr:colOff>254000</xdr:colOff>
      <xdr:row>119</xdr:row>
      <xdr:rowOff>74084</xdr:rowOff>
    </xdr:from>
    <xdr:to>
      <xdr:col>8</xdr:col>
      <xdr:colOff>559824</xdr:colOff>
      <xdr:row>138</xdr:row>
      <xdr:rowOff>154384</xdr:rowOff>
    </xdr:to>
    <xdr:pic>
      <xdr:nvPicPr>
        <xdr:cNvPr id="170" name="Picture 169" descr="Screen Clipping"/>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4572000" y="24204084"/>
          <a:ext cx="8603157" cy="3900883"/>
        </a:xfrm>
        <a:prstGeom prst="rect">
          <a:avLst/>
        </a:prstGeom>
        <a:ln>
          <a:solidFill>
            <a:srgbClr val="7030A0"/>
          </a:solidFill>
        </a:ln>
      </xdr:spPr>
    </xdr:pic>
    <xdr:clientData/>
  </xdr:twoCellAnchor>
  <xdr:twoCellAnchor editAs="oneCell">
    <xdr:from>
      <xdr:col>8</xdr:col>
      <xdr:colOff>228985</xdr:colOff>
      <xdr:row>148</xdr:row>
      <xdr:rowOff>121804</xdr:rowOff>
    </xdr:from>
    <xdr:to>
      <xdr:col>13</xdr:col>
      <xdr:colOff>250679</xdr:colOff>
      <xdr:row>150</xdr:row>
      <xdr:rowOff>157787</xdr:rowOff>
    </xdr:to>
    <xdr:pic>
      <xdr:nvPicPr>
        <xdr:cNvPr id="172" name="Picture 171" descr="Screen Clipping"/>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2844318" y="30093804"/>
          <a:ext cx="3736444" cy="438150"/>
        </a:xfrm>
        <a:prstGeom prst="rect">
          <a:avLst/>
        </a:prstGeom>
        <a:ln>
          <a:solidFill>
            <a:srgbClr val="7030A0"/>
          </a:solidFill>
        </a:ln>
      </xdr:spPr>
    </xdr:pic>
    <xdr:clientData/>
  </xdr:twoCellAnchor>
  <xdr:twoCellAnchor editAs="oneCell">
    <xdr:from>
      <xdr:col>0</xdr:col>
      <xdr:colOff>1012632</xdr:colOff>
      <xdr:row>175</xdr:row>
      <xdr:rowOff>74083</xdr:rowOff>
    </xdr:from>
    <xdr:to>
      <xdr:col>2</xdr:col>
      <xdr:colOff>971954</xdr:colOff>
      <xdr:row>177</xdr:row>
      <xdr:rowOff>54700</xdr:rowOff>
    </xdr:to>
    <xdr:pic>
      <xdr:nvPicPr>
        <xdr:cNvPr id="173" name="Picture 172" descr="Screen Clipping"/>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12632" y="35507083"/>
          <a:ext cx="4277322" cy="382784"/>
        </a:xfrm>
        <a:prstGeom prst="rect">
          <a:avLst/>
        </a:prstGeom>
        <a:ln>
          <a:solidFill>
            <a:srgbClr val="7030A0"/>
          </a:solidFill>
        </a:ln>
      </xdr:spPr>
    </xdr:pic>
    <xdr:clientData/>
  </xdr:twoCellAnchor>
  <xdr:twoCellAnchor editAs="oneCell">
    <xdr:from>
      <xdr:col>0</xdr:col>
      <xdr:colOff>866392</xdr:colOff>
      <xdr:row>180</xdr:row>
      <xdr:rowOff>62634</xdr:rowOff>
    </xdr:from>
    <xdr:to>
      <xdr:col>2</xdr:col>
      <xdr:colOff>921233</xdr:colOff>
      <xdr:row>183</xdr:row>
      <xdr:rowOff>91177</xdr:rowOff>
    </xdr:to>
    <xdr:pic>
      <xdr:nvPicPr>
        <xdr:cNvPr id="174" name="Picture 173" descr="Screen Clipping"/>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866392" y="36522217"/>
          <a:ext cx="4372841" cy="631793"/>
        </a:xfrm>
        <a:prstGeom prst="rect">
          <a:avLst/>
        </a:prstGeom>
        <a:ln>
          <a:solidFill>
            <a:srgbClr val="7030A0"/>
          </a:solidFill>
        </a:ln>
      </xdr:spPr>
    </xdr:pic>
    <xdr:clientData/>
  </xdr:twoCellAnchor>
  <xdr:twoCellAnchor editAs="oneCell">
    <xdr:from>
      <xdr:col>0</xdr:col>
      <xdr:colOff>454604</xdr:colOff>
      <xdr:row>188</xdr:row>
      <xdr:rowOff>163079</xdr:rowOff>
    </xdr:from>
    <xdr:to>
      <xdr:col>2</xdr:col>
      <xdr:colOff>929214</xdr:colOff>
      <xdr:row>191</xdr:row>
      <xdr:rowOff>183370</xdr:rowOff>
    </xdr:to>
    <xdr:pic>
      <xdr:nvPicPr>
        <xdr:cNvPr id="175" name="Picture 174" descr="Screen Clipping"/>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454604" y="38252496"/>
          <a:ext cx="4792610" cy="623541"/>
        </a:xfrm>
        <a:prstGeom prst="rect">
          <a:avLst/>
        </a:prstGeom>
        <a:ln>
          <a:solidFill>
            <a:srgbClr val="7030A0"/>
          </a:solidFill>
        </a:ln>
      </xdr:spPr>
    </xdr:pic>
    <xdr:clientData/>
  </xdr:twoCellAnchor>
  <xdr:twoCellAnchor editAs="oneCell">
    <xdr:from>
      <xdr:col>0</xdr:col>
      <xdr:colOff>481543</xdr:colOff>
      <xdr:row>194</xdr:row>
      <xdr:rowOff>116029</xdr:rowOff>
    </xdr:from>
    <xdr:to>
      <xdr:col>2</xdr:col>
      <xdr:colOff>583760</xdr:colOff>
      <xdr:row>197</xdr:row>
      <xdr:rowOff>116886</xdr:rowOff>
    </xdr:to>
    <xdr:pic>
      <xdr:nvPicPr>
        <xdr:cNvPr id="176" name="Picture 175" descr="Screen Clipping"/>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481543" y="39411946"/>
          <a:ext cx="4420217" cy="625273"/>
        </a:xfrm>
        <a:prstGeom prst="rect">
          <a:avLst/>
        </a:prstGeom>
        <a:ln>
          <a:solidFill>
            <a:srgbClr val="7030A0"/>
          </a:solidFill>
        </a:ln>
      </xdr:spPr>
    </xdr:pic>
    <xdr:clientData/>
  </xdr:twoCellAnchor>
  <xdr:twoCellAnchor editAs="oneCell">
    <xdr:from>
      <xdr:col>0</xdr:col>
      <xdr:colOff>338188</xdr:colOff>
      <xdr:row>204</xdr:row>
      <xdr:rowOff>12892</xdr:rowOff>
    </xdr:from>
    <xdr:to>
      <xdr:col>2</xdr:col>
      <xdr:colOff>772748</xdr:colOff>
      <xdr:row>207</xdr:row>
      <xdr:rowOff>172602</xdr:rowOff>
    </xdr:to>
    <xdr:pic>
      <xdr:nvPicPr>
        <xdr:cNvPr id="177" name="Picture 176" descr="Screen Clipping"/>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38188" y="41361975"/>
          <a:ext cx="4752560" cy="805294"/>
        </a:xfrm>
        <a:prstGeom prst="rect">
          <a:avLst/>
        </a:prstGeom>
        <a:ln>
          <a:solidFill>
            <a:srgbClr val="7030A0"/>
          </a:solidFill>
        </a:ln>
      </xdr:spPr>
    </xdr:pic>
    <xdr:clientData/>
  </xdr:twoCellAnchor>
  <xdr:twoCellAnchor editAs="oneCell">
    <xdr:from>
      <xdr:col>0</xdr:col>
      <xdr:colOff>578717</xdr:colOff>
      <xdr:row>226</xdr:row>
      <xdr:rowOff>86491</xdr:rowOff>
    </xdr:from>
    <xdr:to>
      <xdr:col>2</xdr:col>
      <xdr:colOff>748484</xdr:colOff>
      <xdr:row>229</xdr:row>
      <xdr:rowOff>152682</xdr:rowOff>
    </xdr:to>
    <xdr:pic>
      <xdr:nvPicPr>
        <xdr:cNvPr id="178" name="Picture 177" descr="Screen Clipping"/>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578717" y="45944074"/>
          <a:ext cx="4487767" cy="669441"/>
        </a:xfrm>
        <a:prstGeom prst="rect">
          <a:avLst/>
        </a:prstGeom>
        <a:ln>
          <a:solidFill>
            <a:srgbClr val="7030A0"/>
          </a:solidFill>
        </a:ln>
      </xdr:spPr>
    </xdr:pic>
    <xdr:clientData/>
  </xdr:twoCellAnchor>
  <xdr:twoCellAnchor editAs="oneCell">
    <xdr:from>
      <xdr:col>0</xdr:col>
      <xdr:colOff>318175</xdr:colOff>
      <xdr:row>216</xdr:row>
      <xdr:rowOff>27708</xdr:rowOff>
    </xdr:from>
    <xdr:to>
      <xdr:col>2</xdr:col>
      <xdr:colOff>1183364</xdr:colOff>
      <xdr:row>220</xdr:row>
      <xdr:rowOff>15028</xdr:rowOff>
    </xdr:to>
    <xdr:pic>
      <xdr:nvPicPr>
        <xdr:cNvPr id="179" name="Picture 178" descr="Screen Clipping"/>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18175" y="43832125"/>
          <a:ext cx="5183189" cy="833986"/>
        </a:xfrm>
        <a:prstGeom prst="rect">
          <a:avLst/>
        </a:prstGeom>
        <a:ln>
          <a:solidFill>
            <a:srgbClr val="7030A0"/>
          </a:solidFill>
        </a:ln>
      </xdr:spPr>
    </xdr:pic>
    <xdr:clientData/>
  </xdr:twoCellAnchor>
  <xdr:twoCellAnchor editAs="oneCell">
    <xdr:from>
      <xdr:col>0</xdr:col>
      <xdr:colOff>498862</xdr:colOff>
      <xdr:row>237</xdr:row>
      <xdr:rowOff>103716</xdr:rowOff>
    </xdr:from>
    <xdr:to>
      <xdr:col>2</xdr:col>
      <xdr:colOff>328566</xdr:colOff>
      <xdr:row>241</xdr:row>
      <xdr:rowOff>33335</xdr:rowOff>
    </xdr:to>
    <xdr:pic>
      <xdr:nvPicPr>
        <xdr:cNvPr id="180" name="Picture 179" descr="Screen Clipping"/>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498862" y="48173216"/>
          <a:ext cx="4147704" cy="733952"/>
        </a:xfrm>
        <a:prstGeom prst="rect">
          <a:avLst/>
        </a:prstGeom>
        <a:ln>
          <a:solidFill>
            <a:srgbClr val="7030A0"/>
          </a:solidFill>
        </a:ln>
      </xdr:spPr>
    </xdr:pic>
    <xdr:clientData/>
  </xdr:twoCellAnchor>
  <xdr:twoCellAnchor editAs="oneCell">
    <xdr:from>
      <xdr:col>0</xdr:col>
      <xdr:colOff>669157</xdr:colOff>
      <xdr:row>246</xdr:row>
      <xdr:rowOff>91016</xdr:rowOff>
    </xdr:from>
    <xdr:to>
      <xdr:col>1</xdr:col>
      <xdr:colOff>769217</xdr:colOff>
      <xdr:row>249</xdr:row>
      <xdr:rowOff>8930</xdr:rowOff>
    </xdr:to>
    <xdr:pic>
      <xdr:nvPicPr>
        <xdr:cNvPr id="181" name="Picture 180" descr="Screen Clipping"/>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669157" y="49970266"/>
          <a:ext cx="3359727" cy="521164"/>
        </a:xfrm>
        <a:prstGeom prst="rect">
          <a:avLst/>
        </a:prstGeom>
        <a:ln>
          <a:solidFill>
            <a:srgbClr val="7030A0"/>
          </a:solidFill>
        </a:ln>
      </xdr:spPr>
    </xdr:pic>
    <xdr:clientData/>
  </xdr:twoCellAnchor>
  <xdr:twoCellAnchor editAs="oneCell">
    <xdr:from>
      <xdr:col>0</xdr:col>
      <xdr:colOff>683588</xdr:colOff>
      <xdr:row>254</xdr:row>
      <xdr:rowOff>96114</xdr:rowOff>
    </xdr:from>
    <xdr:to>
      <xdr:col>1</xdr:col>
      <xdr:colOff>1052080</xdr:colOff>
      <xdr:row>257</xdr:row>
      <xdr:rowOff>7355</xdr:rowOff>
    </xdr:to>
    <xdr:pic>
      <xdr:nvPicPr>
        <xdr:cNvPr id="182" name="Picture 181" descr="Screen Clipping"/>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683588" y="51584031"/>
          <a:ext cx="3628159" cy="514491"/>
        </a:xfrm>
        <a:prstGeom prst="rect">
          <a:avLst/>
        </a:prstGeom>
        <a:ln>
          <a:solidFill>
            <a:srgbClr val="7030A0"/>
          </a:solidFill>
        </a:ln>
      </xdr:spPr>
    </xdr:pic>
    <xdr:clientData/>
  </xdr:twoCellAnchor>
  <xdr:twoCellAnchor editAs="oneCell">
    <xdr:from>
      <xdr:col>0</xdr:col>
      <xdr:colOff>569097</xdr:colOff>
      <xdr:row>262</xdr:row>
      <xdr:rowOff>140467</xdr:rowOff>
    </xdr:from>
    <xdr:to>
      <xdr:col>2</xdr:col>
      <xdr:colOff>630061</xdr:colOff>
      <xdr:row>267</xdr:row>
      <xdr:rowOff>30400</xdr:rowOff>
    </xdr:to>
    <xdr:pic>
      <xdr:nvPicPr>
        <xdr:cNvPr id="183" name="Picture 182" descr="Screen Clipping"/>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69097" y="53237050"/>
          <a:ext cx="4378964" cy="895350"/>
        </a:xfrm>
        <a:prstGeom prst="rect">
          <a:avLst/>
        </a:prstGeom>
        <a:ln>
          <a:solidFill>
            <a:srgbClr val="7030A0"/>
          </a:solidFill>
        </a:ln>
      </xdr:spPr>
    </xdr:pic>
    <xdr:clientData/>
  </xdr:twoCellAnchor>
  <xdr:twoCellAnchor editAs="oneCell">
    <xdr:from>
      <xdr:col>0</xdr:col>
      <xdr:colOff>517143</xdr:colOff>
      <xdr:row>283</xdr:row>
      <xdr:rowOff>13470</xdr:rowOff>
    </xdr:from>
    <xdr:to>
      <xdr:col>2</xdr:col>
      <xdr:colOff>347713</xdr:colOff>
      <xdr:row>287</xdr:row>
      <xdr:rowOff>72637</xdr:rowOff>
    </xdr:to>
    <xdr:pic>
      <xdr:nvPicPr>
        <xdr:cNvPr id="184" name="Picture 183" descr="Screen Clipping"/>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517143" y="57332803"/>
          <a:ext cx="4148570" cy="863501"/>
        </a:xfrm>
        <a:prstGeom prst="rect">
          <a:avLst/>
        </a:prstGeom>
        <a:ln>
          <a:solidFill>
            <a:srgbClr val="7030A0"/>
          </a:solidFill>
        </a:ln>
      </xdr:spPr>
    </xdr:pic>
    <xdr:clientData/>
  </xdr:twoCellAnchor>
  <xdr:twoCellAnchor editAs="oneCell">
    <xdr:from>
      <xdr:col>0</xdr:col>
      <xdr:colOff>264585</xdr:colOff>
      <xdr:row>288</xdr:row>
      <xdr:rowOff>55322</xdr:rowOff>
    </xdr:from>
    <xdr:to>
      <xdr:col>2</xdr:col>
      <xdr:colOff>1044037</xdr:colOff>
      <xdr:row>289</xdr:row>
      <xdr:rowOff>169474</xdr:rowOff>
    </xdr:to>
    <xdr:pic>
      <xdr:nvPicPr>
        <xdr:cNvPr id="185" name="Picture 184" descr="Screen Clipping"/>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264585" y="58380072"/>
          <a:ext cx="5097452" cy="315235"/>
        </a:xfrm>
        <a:prstGeom prst="rect">
          <a:avLst/>
        </a:prstGeom>
        <a:ln>
          <a:solidFill>
            <a:srgbClr val="7030A0"/>
          </a:solidFill>
        </a:ln>
      </xdr:spPr>
    </xdr:pic>
    <xdr:clientData/>
  </xdr:twoCellAnchor>
  <xdr:twoCellAnchor editAs="oneCell">
    <xdr:from>
      <xdr:col>6</xdr:col>
      <xdr:colOff>67736</xdr:colOff>
      <xdr:row>257</xdr:row>
      <xdr:rowOff>144221</xdr:rowOff>
    </xdr:from>
    <xdr:to>
      <xdr:col>10</xdr:col>
      <xdr:colOff>508521</xdr:colOff>
      <xdr:row>259</xdr:row>
      <xdr:rowOff>57290</xdr:rowOff>
    </xdr:to>
    <xdr:pic>
      <xdr:nvPicPr>
        <xdr:cNvPr id="187" name="Picture 186" descr="Screen Clipping"/>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698569" y="52235388"/>
          <a:ext cx="5097452" cy="315235"/>
        </a:xfrm>
        <a:prstGeom prst="rect">
          <a:avLst/>
        </a:prstGeom>
        <a:ln>
          <a:solidFill>
            <a:srgbClr val="7030A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56</xdr:row>
      <xdr:rowOff>1257300</xdr:rowOff>
    </xdr:from>
    <xdr:to>
      <xdr:col>0</xdr:col>
      <xdr:colOff>5553075</xdr:colOff>
      <xdr:row>56</xdr:row>
      <xdr:rowOff>5972175</xdr:rowOff>
    </xdr:to>
    <xdr:pic>
      <xdr:nvPicPr>
        <xdr:cNvPr id="48129" name="Picture 4" descr="cid:image006.png@01D67F92.F33A380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563725"/>
          <a:ext cx="5457825" cy="394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xdr:colOff>
      <xdr:row>56</xdr:row>
      <xdr:rowOff>57150</xdr:rowOff>
    </xdr:from>
    <xdr:to>
      <xdr:col>1</xdr:col>
      <xdr:colOff>2981325</xdr:colOff>
      <xdr:row>56</xdr:row>
      <xdr:rowOff>3571875</xdr:rowOff>
    </xdr:to>
    <xdr:pic>
      <xdr:nvPicPr>
        <xdr:cNvPr id="48130" name="Picture 5" descr="cid:image007.png@01D67F93.9A509260"/>
        <xdr:cNvPicPr>
          <a:picLocks noChangeAspect="1" noChangeArrowheads="1"/>
        </xdr:cNvPicPr>
      </xdr:nvPicPr>
      <xdr:blipFill>
        <a:blip xmlns:r="http://schemas.openxmlformats.org/officeDocument/2006/relationships" r:embed="rId1" r:link="rId3">
          <a:extLst>
            <a:ext uri="{28A0092B-C50C-407E-A947-70E740481C1C}">
              <a14:useLocalDpi xmlns:a14="http://schemas.microsoft.com/office/drawing/2010/main" val="0"/>
            </a:ext>
          </a:extLst>
        </a:blip>
        <a:srcRect/>
        <a:stretch>
          <a:fillRect/>
        </a:stretch>
      </xdr:blipFill>
      <xdr:spPr bwMode="auto">
        <a:xfrm>
          <a:off x="5724525" y="13363575"/>
          <a:ext cx="2971800" cy="3514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571500</xdr:colOff>
      <xdr:row>56</xdr:row>
      <xdr:rowOff>200025</xdr:rowOff>
    </xdr:from>
    <xdr:to>
      <xdr:col>2</xdr:col>
      <xdr:colOff>4124325</xdr:colOff>
      <xdr:row>56</xdr:row>
      <xdr:rowOff>2276475</xdr:rowOff>
    </xdr:to>
    <xdr:pic>
      <xdr:nvPicPr>
        <xdr:cNvPr id="48131" name="Picture 1" descr="cid:image004.png@01D67F92.5B479920"/>
        <xdr:cNvPicPr>
          <a:picLocks noChangeAspect="1" noChangeArrowheads="1"/>
        </xdr:cNvPicPr>
      </xdr:nvPicPr>
      <xdr:blipFill>
        <a:blip xmlns:r="http://schemas.openxmlformats.org/officeDocument/2006/relationships" r:embed="rId1" r:link="rId4" cstate="print">
          <a:extLst>
            <a:ext uri="{28A0092B-C50C-407E-A947-70E740481C1C}">
              <a14:useLocalDpi xmlns:a14="http://schemas.microsoft.com/office/drawing/2010/main" val="0"/>
            </a:ext>
          </a:extLst>
        </a:blip>
        <a:srcRect/>
        <a:stretch>
          <a:fillRect/>
        </a:stretch>
      </xdr:blipFill>
      <xdr:spPr bwMode="auto">
        <a:xfrm>
          <a:off x="9286875" y="13506450"/>
          <a:ext cx="3552825" cy="207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533400</xdr:colOff>
      <xdr:row>56</xdr:row>
      <xdr:rowOff>19050</xdr:rowOff>
    </xdr:from>
    <xdr:to>
      <xdr:col>4</xdr:col>
      <xdr:colOff>104775</xdr:colOff>
      <xdr:row>56</xdr:row>
      <xdr:rowOff>4695825</xdr:rowOff>
    </xdr:to>
    <xdr:pic>
      <xdr:nvPicPr>
        <xdr:cNvPr id="48132" name="Picture 3" descr="cid:image005.png@01D67F92.A6EBEAC0"/>
        <xdr:cNvPicPr>
          <a:picLocks noChangeAspect="1" noChangeArrowheads="1"/>
        </xdr:cNvPicPr>
      </xdr:nvPicPr>
      <xdr:blipFill>
        <a:blip xmlns:r="http://schemas.openxmlformats.org/officeDocument/2006/relationships" r:embed="rId1" r:link="rId5">
          <a:extLst>
            <a:ext uri="{28A0092B-C50C-407E-A947-70E740481C1C}">
              <a14:useLocalDpi xmlns:a14="http://schemas.microsoft.com/office/drawing/2010/main" val="0"/>
            </a:ext>
          </a:extLst>
        </a:blip>
        <a:srcRect/>
        <a:stretch>
          <a:fillRect/>
        </a:stretch>
      </xdr:blipFill>
      <xdr:spPr bwMode="auto">
        <a:xfrm>
          <a:off x="14039850" y="13325475"/>
          <a:ext cx="6248400" cy="467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64</xdr:row>
      <xdr:rowOff>28575</xdr:rowOff>
    </xdr:from>
    <xdr:to>
      <xdr:col>1</xdr:col>
      <xdr:colOff>1390650</xdr:colOff>
      <xdr:row>83</xdr:row>
      <xdr:rowOff>28575</xdr:rowOff>
    </xdr:to>
    <xdr:pic>
      <xdr:nvPicPr>
        <xdr:cNvPr id="48133" name="Picture 6" descr="cid:image009.jpg@01D67F99.B1802EE0"/>
        <xdr:cNvPicPr>
          <a:picLocks noChangeAspect="1" noChangeArrowheads="1"/>
        </xdr:cNvPicPr>
      </xdr:nvPicPr>
      <xdr:blipFill>
        <a:blip xmlns:r="http://schemas.openxmlformats.org/officeDocument/2006/relationships" r:embed="rId1" r:link="rId6">
          <a:extLst>
            <a:ext uri="{28A0092B-C50C-407E-A947-70E740481C1C}">
              <a14:useLocalDpi xmlns:a14="http://schemas.microsoft.com/office/drawing/2010/main" val="0"/>
            </a:ext>
          </a:extLst>
        </a:blip>
        <a:srcRect/>
        <a:stretch>
          <a:fillRect/>
        </a:stretch>
      </xdr:blipFill>
      <xdr:spPr bwMode="auto">
        <a:xfrm>
          <a:off x="95250" y="19945350"/>
          <a:ext cx="7010400" cy="3800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ur03.safelinks.protection.outlook.com/?url=https%3A%2F%2Fberla.co%2Faverage-us-vehicle-lifespan%2F&amp;data=05%7C01%7CH.Blomfield%40leeds.ac.uk%7Cdc6fa38ed9764468695708da9b24eeee%7Cbdeaeda8c81d45ce863e5232a535b7cb%7C1%7C0%7C637992880168033659%7CUnknown%7CTWFpbGZsb3d8eyJWIjoiMC4wLjAwMDAiLCJQIjoiV2luMzIiLCJBTiI6Ik1haWwiLCJXVCI6Mn0%3D%7C3000%7C%7C%7C&amp;sdata=gDxQLsQstYyuilGKEDmN7QrALDDBlXpY1fsdIVlYQRc%3D&amp;reserved=0" TargetMode="External"/><Relationship Id="rId1" Type="http://schemas.openxmlformats.org/officeDocument/2006/relationships/hyperlink" Target="https://eur03.safelinks.protection.outlook.com/?url=https%3A%2F%2Fgreet.es.anl.gov%2Ffiles%2Fvehicle_and_components_manufacturing&amp;data=05%7C01%7CH.Blomfield%40leeds.ac.uk%7Cdc6fa38ed9764468695708da9b24eeee%7Cbdeaeda8c81d45ce863e5232a535b7cb%7C1%7C0%7C637992880168033659%7CUnknown%7CTWFpbGZsb3d8eyJWIjoiMC4wLjAwMDAiLCJQIjoiV2luMzIiLCJBTiI6Ik1haWwiLCJXVCI6Mn0%3D%7C3000%7C%7C%7C&amp;sdata=p5EVWO1O6nQGqDO9T%2FTGiKEmTGsxTUi1F5xO2fYrsGU%3D&amp;reserved=0"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fred.stlouisfed.org/series/MEPAINUSA672N" TargetMode="External"/><Relationship Id="rId7" Type="http://schemas.openxmlformats.org/officeDocument/2006/relationships/drawing" Target="../drawings/drawing1.xml"/><Relationship Id="rId2" Type="http://schemas.openxmlformats.org/officeDocument/2006/relationships/hyperlink" Target="https://berla.co/average-us-vehicle-lifespan/" TargetMode="External"/><Relationship Id="rId1" Type="http://schemas.openxmlformats.org/officeDocument/2006/relationships/hyperlink" Target="https://www.fhwa.dot.gov/ohim/onh00/bar8.htm" TargetMode="External"/><Relationship Id="rId6" Type="http://schemas.openxmlformats.org/officeDocument/2006/relationships/printerSettings" Target="../printerSettings/printerSettings2.bin"/><Relationship Id="rId5" Type="http://schemas.openxmlformats.org/officeDocument/2006/relationships/hyperlink" Target="https://www.edmunds.com/ford/fusion-energi/2019/cost-to-own/" TargetMode="External"/><Relationship Id="rId4" Type="http://schemas.openxmlformats.org/officeDocument/2006/relationships/hyperlink" Target="https://www.edmunds.com/ford/fusion/2019/cost-to-own/"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fred.stlouisfed.org/series/MEPAINUSA672N" TargetMode="External"/><Relationship Id="rId1" Type="http://schemas.openxmlformats.org/officeDocument/2006/relationships/hyperlink" Target="https://www.eia.gov/electricity/data/state/avgprice_annual.xlsx"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abSelected="1" zoomScale="80" zoomScaleNormal="80" workbookViewId="0">
      <selection activeCell="B11" sqref="B11"/>
    </sheetView>
  </sheetViews>
  <sheetFormatPr defaultRowHeight="15.75"/>
  <cols>
    <col min="1" max="1" width="10.625" style="172" customWidth="1"/>
    <col min="2" max="2" width="71.375" customWidth="1"/>
    <col min="4" max="4" width="78.875" style="193" customWidth="1"/>
  </cols>
  <sheetData>
    <row r="1" spans="1:4">
      <c r="A1" s="199" t="s">
        <v>429</v>
      </c>
      <c r="B1" s="200"/>
      <c r="C1" s="166"/>
      <c r="D1" s="166"/>
    </row>
    <row r="2" spans="1:4">
      <c r="A2" s="26"/>
      <c r="B2" s="166"/>
      <c r="C2" s="166"/>
      <c r="D2" s="166"/>
    </row>
    <row r="3" spans="1:4">
      <c r="A3" s="26"/>
      <c r="B3" s="166"/>
      <c r="C3" s="166"/>
      <c r="D3" s="166"/>
    </row>
    <row r="4" spans="1:4" ht="24" customHeight="1">
      <c r="A4" s="201" t="s">
        <v>506</v>
      </c>
      <c r="B4" s="201"/>
      <c r="C4" s="201"/>
      <c r="D4" s="201"/>
    </row>
    <row r="5" spans="1:4" ht="66" customHeight="1">
      <c r="A5" s="201"/>
      <c r="B5" s="201"/>
      <c r="C5" s="201"/>
      <c r="D5" s="201"/>
    </row>
    <row r="6" spans="1:4">
      <c r="A6" s="173" t="s">
        <v>464</v>
      </c>
      <c r="B6" s="167" t="s">
        <v>465</v>
      </c>
      <c r="C6" s="201" t="s">
        <v>466</v>
      </c>
      <c r="D6" s="201"/>
    </row>
    <row r="7" spans="1:4">
      <c r="A7" s="174">
        <v>1</v>
      </c>
      <c r="B7" s="167" t="s">
        <v>431</v>
      </c>
      <c r="C7" s="201" t="s">
        <v>458</v>
      </c>
      <c r="D7" s="201"/>
    </row>
    <row r="8" spans="1:4" ht="15.6" customHeight="1">
      <c r="A8" s="174">
        <v>2</v>
      </c>
      <c r="B8" s="167" t="s">
        <v>432</v>
      </c>
      <c r="C8" s="201" t="s">
        <v>459</v>
      </c>
      <c r="D8" s="201"/>
    </row>
    <row r="9" spans="1:4">
      <c r="A9" s="174">
        <v>3</v>
      </c>
      <c r="B9" s="167" t="s">
        <v>433</v>
      </c>
      <c r="C9" s="201" t="s">
        <v>456</v>
      </c>
      <c r="D9" s="201"/>
    </row>
    <row r="10" spans="1:4">
      <c r="A10" s="26"/>
      <c r="B10" s="166"/>
      <c r="C10" s="166"/>
      <c r="D10" s="166"/>
    </row>
    <row r="11" spans="1:4">
      <c r="A11" s="26"/>
      <c r="B11" s="166"/>
      <c r="C11" s="166"/>
      <c r="D11" s="166"/>
    </row>
    <row r="12" spans="1:4">
      <c r="A12" s="199" t="s">
        <v>430</v>
      </c>
      <c r="B12" s="200"/>
      <c r="C12" s="166"/>
      <c r="D12" s="166"/>
    </row>
    <row r="13" spans="1:4">
      <c r="A13" s="26" t="s">
        <v>434</v>
      </c>
      <c r="B13" s="166"/>
      <c r="C13" s="166"/>
      <c r="D13" s="166"/>
    </row>
    <row r="14" spans="1:4">
      <c r="A14" s="26"/>
      <c r="B14" s="166"/>
      <c r="C14" s="166"/>
      <c r="D14" s="166"/>
    </row>
    <row r="15" spans="1:4">
      <c r="A15" s="26"/>
      <c r="B15" s="4"/>
      <c r="C15" s="4"/>
      <c r="D15" s="189"/>
    </row>
    <row r="16" spans="1:4">
      <c r="A16" s="26"/>
      <c r="B16" s="4"/>
      <c r="C16" s="4"/>
      <c r="D16" s="189"/>
    </row>
    <row r="17" spans="1:4">
      <c r="A17" s="186" t="s">
        <v>480</v>
      </c>
      <c r="B17" s="187"/>
      <c r="C17" s="188"/>
      <c r="D17" s="190" t="s">
        <v>476</v>
      </c>
    </row>
    <row r="18" spans="1:4" ht="31.5">
      <c r="A18" s="175" t="s">
        <v>475</v>
      </c>
      <c r="B18" s="182"/>
      <c r="C18" s="180"/>
      <c r="D18" s="191" t="s">
        <v>478</v>
      </c>
    </row>
    <row r="19" spans="1:4">
      <c r="A19" s="177"/>
      <c r="B19" s="182"/>
      <c r="C19" s="180"/>
      <c r="D19" s="191"/>
    </row>
    <row r="20" spans="1:4" ht="31.5">
      <c r="A20" s="175" t="s">
        <v>467</v>
      </c>
      <c r="B20" s="182"/>
      <c r="C20" s="180"/>
      <c r="D20" s="191" t="s">
        <v>479</v>
      </c>
    </row>
    <row r="21" spans="1:4">
      <c r="A21" s="176"/>
      <c r="B21" s="182"/>
      <c r="C21" s="180"/>
      <c r="D21" s="191"/>
    </row>
    <row r="22" spans="1:4">
      <c r="A22" s="175" t="s">
        <v>468</v>
      </c>
      <c r="B22" s="182"/>
      <c r="C22" s="180"/>
      <c r="D22" s="191" t="s">
        <v>481</v>
      </c>
    </row>
    <row r="23" spans="1:4">
      <c r="A23" s="176"/>
      <c r="B23" s="182"/>
      <c r="C23" s="180"/>
      <c r="D23" s="191"/>
    </row>
    <row r="24" spans="1:4">
      <c r="A24" s="178"/>
      <c r="B24" s="182"/>
      <c r="C24" s="180"/>
      <c r="D24" s="191"/>
    </row>
    <row r="25" spans="1:4" ht="31.5">
      <c r="A25" s="175" t="s">
        <v>469</v>
      </c>
      <c r="B25" s="182"/>
      <c r="C25" s="180"/>
      <c r="D25" s="191" t="s">
        <v>482</v>
      </c>
    </row>
    <row r="26" spans="1:4">
      <c r="A26" s="177"/>
      <c r="B26" s="182"/>
      <c r="C26" s="180"/>
      <c r="D26" s="191"/>
    </row>
    <row r="27" spans="1:4" ht="31.5">
      <c r="A27" s="179" t="s">
        <v>470</v>
      </c>
      <c r="B27" s="182"/>
      <c r="C27" s="180"/>
      <c r="D27" s="191" t="s">
        <v>483</v>
      </c>
    </row>
    <row r="28" spans="1:4">
      <c r="A28" s="178"/>
      <c r="B28" s="182"/>
      <c r="C28" s="180"/>
      <c r="D28" s="191"/>
    </row>
    <row r="29" spans="1:4" ht="30.75" customHeight="1">
      <c r="A29" s="208" t="s">
        <v>471</v>
      </c>
      <c r="B29" s="209"/>
      <c r="C29" s="180"/>
      <c r="D29" s="191" t="s">
        <v>479</v>
      </c>
    </row>
    <row r="30" spans="1:4">
      <c r="A30" s="178"/>
      <c r="B30" s="182"/>
      <c r="C30" s="180"/>
      <c r="D30" s="191"/>
    </row>
    <row r="31" spans="1:4" ht="31.5">
      <c r="A31" s="179" t="s">
        <v>472</v>
      </c>
      <c r="B31" s="182"/>
      <c r="C31" s="180"/>
      <c r="D31" s="191" t="s">
        <v>484</v>
      </c>
    </row>
    <row r="32" spans="1:4">
      <c r="A32" s="176"/>
      <c r="B32" s="182"/>
      <c r="C32" s="180"/>
      <c r="D32" s="191" t="s">
        <v>485</v>
      </c>
    </row>
    <row r="33" spans="1:4">
      <c r="A33" s="176"/>
      <c r="B33" s="182"/>
      <c r="C33" s="180"/>
      <c r="D33" s="191"/>
    </row>
    <row r="34" spans="1:4">
      <c r="A34" s="179" t="s">
        <v>473</v>
      </c>
      <c r="B34" s="183"/>
      <c r="C34" s="180"/>
      <c r="D34" s="191"/>
    </row>
    <row r="35" spans="1:4" ht="42.75" customHeight="1">
      <c r="A35" s="210" t="s">
        <v>486</v>
      </c>
      <c r="B35" s="211"/>
      <c r="C35" s="180"/>
      <c r="D35" s="191" t="s">
        <v>487</v>
      </c>
    </row>
    <row r="36" spans="1:4" ht="37.5" customHeight="1">
      <c r="A36" s="204" t="s">
        <v>488</v>
      </c>
      <c r="B36" s="205"/>
      <c r="C36" s="180"/>
      <c r="D36" s="191" t="s">
        <v>489</v>
      </c>
    </row>
    <row r="37" spans="1:4">
      <c r="A37" s="177"/>
      <c r="B37" s="185"/>
      <c r="C37" s="180"/>
      <c r="D37" s="191"/>
    </row>
    <row r="38" spans="1:4">
      <c r="A38" s="178"/>
      <c r="B38" s="183"/>
      <c r="C38" s="180"/>
      <c r="D38" s="191"/>
    </row>
    <row r="39" spans="1:4">
      <c r="A39" s="179" t="s">
        <v>474</v>
      </c>
      <c r="B39" s="183"/>
      <c r="C39" s="180"/>
      <c r="D39" s="191" t="s">
        <v>491</v>
      </c>
    </row>
    <row r="40" spans="1:4">
      <c r="A40" s="176" t="s">
        <v>490</v>
      </c>
      <c r="B40" s="183"/>
      <c r="C40" s="180"/>
      <c r="D40" s="191"/>
    </row>
    <row r="41" spans="1:4">
      <c r="A41" s="177"/>
      <c r="B41" s="183"/>
      <c r="C41" s="180"/>
      <c r="D41" s="191"/>
    </row>
    <row r="42" spans="1:4">
      <c r="A42" s="177" t="s">
        <v>497</v>
      </c>
      <c r="B42" s="183"/>
      <c r="C42" s="180"/>
    </row>
    <row r="43" spans="1:4" ht="29.45" customHeight="1">
      <c r="A43" s="212" t="s">
        <v>500</v>
      </c>
      <c r="B43" s="213"/>
      <c r="C43" s="180"/>
      <c r="D43" s="191" t="s">
        <v>499</v>
      </c>
    </row>
    <row r="44" spans="1:4" ht="29.45" customHeight="1">
      <c r="A44" s="196"/>
      <c r="B44" s="197"/>
      <c r="C44" s="180"/>
      <c r="D44" s="191" t="s">
        <v>501</v>
      </c>
    </row>
    <row r="45" spans="1:4">
      <c r="A45" s="194"/>
      <c r="B45" s="195"/>
      <c r="C45" s="180"/>
      <c r="D45" s="191"/>
    </row>
    <row r="46" spans="1:4" ht="30.75" customHeight="1">
      <c r="A46" s="206" t="s">
        <v>498</v>
      </c>
      <c r="B46" s="207"/>
      <c r="C46" s="180"/>
      <c r="D46" s="191" t="s">
        <v>492</v>
      </c>
    </row>
    <row r="47" spans="1:4">
      <c r="A47" s="176"/>
      <c r="B47" s="183"/>
      <c r="C47" s="180"/>
      <c r="D47" s="191"/>
    </row>
    <row r="48" spans="1:4">
      <c r="A48" s="177"/>
      <c r="B48" s="183"/>
      <c r="C48" s="180"/>
      <c r="D48" s="191"/>
    </row>
    <row r="49" spans="1:4" ht="63">
      <c r="A49" s="206" t="s">
        <v>502</v>
      </c>
      <c r="B49" s="207"/>
      <c r="C49" s="180"/>
      <c r="D49" s="191" t="s">
        <v>493</v>
      </c>
    </row>
    <row r="50" spans="1:4" ht="42" customHeight="1">
      <c r="A50" s="202"/>
      <c r="B50" s="203"/>
      <c r="C50" s="181"/>
      <c r="D50" s="192"/>
    </row>
    <row r="51" spans="1:4">
      <c r="A51" s="184"/>
      <c r="B51" s="183"/>
    </row>
  </sheetData>
  <mergeCells count="14">
    <mergeCell ref="A50:B50"/>
    <mergeCell ref="A36:B36"/>
    <mergeCell ref="A49:B49"/>
    <mergeCell ref="A46:B46"/>
    <mergeCell ref="A29:B29"/>
    <mergeCell ref="A35:B35"/>
    <mergeCell ref="A43:B43"/>
    <mergeCell ref="A12:B12"/>
    <mergeCell ref="A1:B1"/>
    <mergeCell ref="A4:D5"/>
    <mergeCell ref="C7:D7"/>
    <mergeCell ref="C8:D8"/>
    <mergeCell ref="C9:D9"/>
    <mergeCell ref="C6:D6"/>
  </mergeCells>
  <hyperlinks>
    <hyperlink ref="A35" r:id="rId1" display="https://eur03.safelinks.protection.outlook.com/?url=https%3A%2F%2Fgreet.es.anl.gov%2Ffiles%2Fvehicle_and_components_manufacturing&amp;data=05%7C01%7CH.Blomfield%40leeds.ac.uk%7Cdc6fa38ed9764468695708da9b24eeee%7Cbdeaeda8c81d45ce863e5232a535b7cb%7C1%7C0%7C637992880168033659%7CUnknown%7CTWFpbGZsb3d8eyJWIjoiMC4wLjAwMDAiLCJQIjoiV2luMzIiLCJBTiI6Ik1haWwiLCJXVCI6Mn0%3D%7C3000%7C%7C%7C&amp;sdata=p5EVWO1O6nQGqDO9T%2FTGiKEmTGsxTUi1F5xO2fYrsGU%3D&amp;reserved=0"/>
    <hyperlink ref="A40" r:id="rId2" display="https://eur03.safelinks.protection.outlook.com/?url=https%3A%2F%2Fberla.co%2Faverage-us-vehicle-lifespan%2F&amp;data=05%7C01%7CH.Blomfield%40leeds.ac.uk%7Cdc6fa38ed9764468695708da9b24eeee%7Cbdeaeda8c81d45ce863e5232a535b7cb%7C1%7C0%7C637992880168033659%7CUnknown%7CTWFpbGZsb3d8eyJWIjoiMC4wLjAwMDAiLCJQIjoiV2luMzIiLCJBTiI6Ik1haWwiLCJXVCI6Mn0%3D%7C3000%7C%7C%7C&amp;sdata=gDxQLsQstYyuilGKEDmN7QrALDDBlXpY1fsdIVlYQRc%3D&amp;reserved=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85"/>
  <sheetViews>
    <sheetView topLeftCell="A367" zoomScaleNormal="100" workbookViewId="0">
      <selection activeCell="A379" sqref="A379"/>
    </sheetView>
  </sheetViews>
  <sheetFormatPr defaultColWidth="11" defaultRowHeight="15.75"/>
  <cols>
    <col min="1" max="1" width="52.5" style="4" customWidth="1"/>
    <col min="2" max="2" width="13.875" style="4" customWidth="1"/>
    <col min="3" max="3" width="16.625" style="4" customWidth="1"/>
    <col min="4" max="5" width="19" style="4" customWidth="1"/>
    <col min="6" max="6" width="17.125" style="5" customWidth="1"/>
    <col min="7" max="7" width="20.375" style="4" customWidth="1"/>
    <col min="8" max="8" width="18.375" style="4" customWidth="1"/>
    <col min="9" max="10" width="11" style="4" customWidth="1"/>
    <col min="11" max="11" width="7.875" style="4" customWidth="1"/>
    <col min="12" max="12" width="11" style="4" customWidth="1"/>
    <col min="13" max="13" width="7.875" style="4" customWidth="1"/>
    <col min="14" max="14" width="11" style="4" customWidth="1"/>
    <col min="15" max="15" width="7.875" style="4" customWidth="1"/>
    <col min="16" max="16" width="11" style="4" customWidth="1"/>
  </cols>
  <sheetData>
    <row r="1" spans="1:16">
      <c r="A1" s="9" t="s">
        <v>435</v>
      </c>
      <c r="D1" s="4" t="s">
        <v>126</v>
      </c>
      <c r="F1" s="4"/>
    </row>
    <row r="2" spans="1:16">
      <c r="A2" s="9"/>
      <c r="D2" s="6"/>
      <c r="E2" s="4" t="s">
        <v>127</v>
      </c>
    </row>
    <row r="3" spans="1:16">
      <c r="A3" s="26" t="s">
        <v>457</v>
      </c>
      <c r="B3" s="53">
        <v>1</v>
      </c>
      <c r="D3" s="41"/>
      <c r="E3" s="26" t="s">
        <v>463</v>
      </c>
    </row>
    <row r="4" spans="1:16">
      <c r="A4" s="4" t="s">
        <v>165</v>
      </c>
      <c r="B4" s="14">
        <f>E54</f>
        <v>2.63</v>
      </c>
      <c r="C4" s="4" t="s">
        <v>462</v>
      </c>
      <c r="F4" s="4"/>
    </row>
    <row r="5" spans="1:16">
      <c r="A5" s="10" t="s">
        <v>391</v>
      </c>
      <c r="B5" s="23">
        <f>B383</f>
        <v>35460</v>
      </c>
      <c r="C5" s="4" t="s">
        <v>164</v>
      </c>
      <c r="F5" s="4"/>
    </row>
    <row r="6" spans="1:16">
      <c r="A6" s="10" t="str">
        <f t="shared" ref="A6:B8" si="0">A303</f>
        <v>Fusion Titanium 2.0L gasoline car  - lifetime</v>
      </c>
      <c r="B6" s="18">
        <v>14</v>
      </c>
      <c r="C6" s="4" t="s">
        <v>69</v>
      </c>
      <c r="F6" s="26"/>
    </row>
    <row r="7" spans="1:16">
      <c r="A7" s="10" t="str">
        <f t="shared" si="0"/>
        <v>Fusion Titanium 2.0L gasoline car  - mpg</v>
      </c>
      <c r="B7" s="75">
        <f t="shared" si="0"/>
        <v>25</v>
      </c>
      <c r="C7" s="4" t="s">
        <v>461</v>
      </c>
      <c r="P7" s="67"/>
    </row>
    <row r="8" spans="1:16">
      <c r="A8" s="10" t="str">
        <f t="shared" si="0"/>
        <v>Fusion Titanium 2.0L gasoline car  - embodied energy</v>
      </c>
      <c r="B8" s="23">
        <f t="shared" si="0"/>
        <v>34000</v>
      </c>
      <c r="C8" s="4" t="s">
        <v>66</v>
      </c>
    </row>
    <row r="9" spans="1:16">
      <c r="A9" s="10" t="s">
        <v>400</v>
      </c>
      <c r="B9" s="109">
        <f>B465</f>
        <v>2730.8485424875657</v>
      </c>
      <c r="C9" s="64" t="s">
        <v>46</v>
      </c>
    </row>
    <row r="10" spans="1:16">
      <c r="A10" s="10" t="s">
        <v>401</v>
      </c>
      <c r="B10" s="23">
        <f>C383</f>
        <v>35255</v>
      </c>
      <c r="C10" s="4" t="s">
        <v>164</v>
      </c>
    </row>
    <row r="11" spans="1:16">
      <c r="A11" s="10" t="str">
        <f>A307</f>
        <v>Fusion Titanium 2.0L Hybrid car - lifetime</v>
      </c>
      <c r="B11" s="18">
        <v>14</v>
      </c>
      <c r="C11" s="4" t="s">
        <v>69</v>
      </c>
    </row>
    <row r="12" spans="1:16">
      <c r="A12" s="10" t="str">
        <f>A308</f>
        <v>Fusion Titanium 2.0L Hybrid car - mpg</v>
      </c>
      <c r="B12" s="75">
        <f>B308</f>
        <v>42</v>
      </c>
      <c r="C12" s="4" t="s">
        <v>461</v>
      </c>
    </row>
    <row r="13" spans="1:16">
      <c r="A13" s="10" t="str">
        <f>A309</f>
        <v>Fusion Titanium 2.0L Hybrid car - embodied energy</v>
      </c>
      <c r="B13" s="23">
        <f>B309</f>
        <v>40000</v>
      </c>
      <c r="C13" s="4" t="s">
        <v>66</v>
      </c>
    </row>
    <row r="14" spans="1:16">
      <c r="A14" s="10" t="s">
        <v>402</v>
      </c>
      <c r="B14" s="109">
        <f>B472</f>
        <v>2709.6940254231035</v>
      </c>
      <c r="C14" s="64" t="s">
        <v>46</v>
      </c>
    </row>
    <row r="15" spans="1:16">
      <c r="A15" s="4" t="s">
        <v>190</v>
      </c>
      <c r="B15" s="23">
        <f>B310</f>
        <v>12416</v>
      </c>
      <c r="C15" s="4" t="s">
        <v>191</v>
      </c>
    </row>
    <row r="16" spans="1:16">
      <c r="A16" s="4" t="s">
        <v>133</v>
      </c>
      <c r="B16" s="18">
        <v>34317</v>
      </c>
      <c r="C16" s="4" t="s">
        <v>60</v>
      </c>
      <c r="D16" s="154" t="s">
        <v>47</v>
      </c>
    </row>
    <row r="17" spans="1:16">
      <c r="A17" s="4" t="s">
        <v>134</v>
      </c>
      <c r="B17" s="147">
        <v>0.88319000000000003</v>
      </c>
      <c r="C17" s="20" t="s">
        <v>18</v>
      </c>
      <c r="D17" s="4" t="s">
        <v>49</v>
      </c>
      <c r="E17" s="4" t="s">
        <v>419</v>
      </c>
    </row>
    <row r="18" spans="1:16" ht="16.5" thickBot="1">
      <c r="A18" s="4" t="s">
        <v>135</v>
      </c>
      <c r="B18" s="6">
        <v>7.8479999999999994E-2</v>
      </c>
      <c r="C18" s="20" t="s">
        <v>18</v>
      </c>
      <c r="D18" s="4" t="s">
        <v>49</v>
      </c>
      <c r="E18" s="4" t="s">
        <v>419</v>
      </c>
    </row>
    <row r="19" spans="1:16">
      <c r="A19" s="4" t="s">
        <v>428</v>
      </c>
      <c r="B19" s="153">
        <f>D152/(D152+D153)</f>
        <v>6.3960941983925448E-2</v>
      </c>
      <c r="D19" s="155" t="s">
        <v>409</v>
      </c>
      <c r="E19" s="156"/>
      <c r="F19" s="169"/>
      <c r="G19" s="156"/>
      <c r="H19" s="157"/>
    </row>
    <row r="20" spans="1:16">
      <c r="A20" s="25" t="s">
        <v>163</v>
      </c>
      <c r="D20" s="158" t="s">
        <v>410</v>
      </c>
      <c r="E20" s="159" t="s">
        <v>411</v>
      </c>
      <c r="F20" s="170"/>
      <c r="G20" s="159"/>
      <c r="H20" s="160">
        <v>2018</v>
      </c>
    </row>
    <row r="21" spans="1:16">
      <c r="A21" s="43" t="s">
        <v>171</v>
      </c>
      <c r="B21" s="135">
        <f>E268</f>
        <v>0.31690528915147176</v>
      </c>
      <c r="D21" s="158">
        <v>1</v>
      </c>
      <c r="E21" s="159" t="s">
        <v>412</v>
      </c>
      <c r="F21" s="170"/>
      <c r="G21" s="159"/>
      <c r="H21" s="168">
        <v>17851.8</v>
      </c>
    </row>
    <row r="22" spans="1:16">
      <c r="A22" s="43" t="s">
        <v>172</v>
      </c>
      <c r="B22" s="135">
        <f>E291</f>
        <v>0.31690528915147204</v>
      </c>
      <c r="D22" s="158">
        <v>27</v>
      </c>
      <c r="E22" s="159" t="s">
        <v>413</v>
      </c>
      <c r="F22" s="170"/>
      <c r="G22" s="159"/>
      <c r="H22" s="168">
        <v>15766.5</v>
      </c>
    </row>
    <row r="23" spans="1:16">
      <c r="A23" s="43" t="s">
        <v>178</v>
      </c>
      <c r="B23" s="145">
        <f>B21-B22</f>
        <v>0</v>
      </c>
      <c r="D23" s="158">
        <v>34</v>
      </c>
      <c r="E23" s="159" t="s">
        <v>414</v>
      </c>
      <c r="F23" s="170"/>
      <c r="G23" s="159"/>
      <c r="H23" s="168">
        <v>1237.3</v>
      </c>
    </row>
    <row r="24" spans="1:16">
      <c r="A24" s="43" t="s">
        <v>192</v>
      </c>
      <c r="B24" s="34">
        <f>B21*E91</f>
        <v>8066.3806754011603</v>
      </c>
      <c r="C24" s="4" t="s">
        <v>11</v>
      </c>
      <c r="D24" s="161" t="s">
        <v>415</v>
      </c>
      <c r="E24" s="159" t="s">
        <v>416</v>
      </c>
      <c r="F24" s="170"/>
      <c r="G24" s="159"/>
      <c r="H24" s="162">
        <f>H22/H21</f>
        <v>0.88318824992437739</v>
      </c>
    </row>
    <row r="25" spans="1:16" ht="16.5" thickBot="1">
      <c r="D25" s="163" t="s">
        <v>417</v>
      </c>
      <c r="E25" s="164" t="s">
        <v>418</v>
      </c>
      <c r="F25" s="36"/>
      <c r="G25" s="164"/>
      <c r="H25" s="165">
        <f>H23/H22</f>
        <v>7.8476516665081028E-2</v>
      </c>
    </row>
    <row r="26" spans="1:16">
      <c r="A26"/>
      <c r="E26" s="103"/>
      <c r="F26" s="13"/>
      <c r="H26" s="51"/>
    </row>
    <row r="27" spans="1:16">
      <c r="A27" s="15"/>
      <c r="C27" s="113"/>
      <c r="D27" s="112"/>
      <c r="E27" s="103"/>
      <c r="F27" s="13"/>
    </row>
    <row r="28" spans="1:16">
      <c r="A28" s="103"/>
      <c r="C28" s="103"/>
      <c r="D28" s="112"/>
      <c r="E28" s="103"/>
      <c r="F28" s="13"/>
    </row>
    <row r="29" spans="1:16">
      <c r="A29" s="103"/>
      <c r="C29" s="113"/>
      <c r="D29" s="112"/>
      <c r="E29" s="103"/>
      <c r="F29" s="13"/>
    </row>
    <row r="30" spans="1:16">
      <c r="A30" s="10"/>
      <c r="B30" s="10"/>
      <c r="C30" s="10"/>
      <c r="D30" s="13"/>
      <c r="E30" s="10"/>
      <c r="F30" s="4"/>
      <c r="H30" s="51"/>
    </row>
    <row r="31" spans="1:16">
      <c r="A31"/>
      <c r="B31"/>
      <c r="C31"/>
      <c r="D31"/>
      <c r="E31"/>
      <c r="F31"/>
      <c r="G31"/>
      <c r="H31"/>
      <c r="I31"/>
      <c r="J31"/>
      <c r="K31"/>
      <c r="L31"/>
      <c r="M31"/>
      <c r="N31"/>
      <c r="O31"/>
      <c r="P31"/>
    </row>
    <row r="32" spans="1:16">
      <c r="A32"/>
      <c r="B32"/>
      <c r="C32"/>
      <c r="D32"/>
      <c r="E32"/>
      <c r="F32"/>
      <c r="G32"/>
      <c r="H32"/>
      <c r="I32"/>
      <c r="J32"/>
      <c r="K32"/>
      <c r="L32"/>
      <c r="M32"/>
      <c r="N32"/>
      <c r="O32"/>
      <c r="P32"/>
    </row>
    <row r="33" spans="1:16" ht="30">
      <c r="A33" s="9" t="s">
        <v>33</v>
      </c>
      <c r="B33" s="93" t="s">
        <v>450</v>
      </c>
      <c r="C33" s="8" t="s">
        <v>14</v>
      </c>
      <c r="D33" s="8" t="s">
        <v>14</v>
      </c>
      <c r="E33" s="2" t="s">
        <v>16</v>
      </c>
      <c r="F33" s="2" t="s">
        <v>290</v>
      </c>
      <c r="G33"/>
      <c r="H33"/>
      <c r="I33"/>
      <c r="J33"/>
      <c r="K33"/>
      <c r="L33"/>
      <c r="M33"/>
      <c r="N33"/>
      <c r="O33"/>
      <c r="P33"/>
    </row>
    <row r="34" spans="1:16">
      <c r="A34" s="4" t="s">
        <v>291</v>
      </c>
      <c r="D34" s="4" t="s">
        <v>454</v>
      </c>
      <c r="E34" s="110">
        <f>B19</f>
        <v>6.3960941983925448E-2</v>
      </c>
      <c r="F34"/>
      <c r="G34"/>
      <c r="H34"/>
      <c r="I34"/>
      <c r="J34"/>
      <c r="K34"/>
      <c r="L34"/>
      <c r="M34"/>
      <c r="N34"/>
      <c r="O34"/>
      <c r="P34"/>
    </row>
    <row r="35" spans="1:16">
      <c r="A35" s="4" t="s">
        <v>292</v>
      </c>
      <c r="D35" s="4" t="s">
        <v>447</v>
      </c>
      <c r="E35" s="89">
        <v>-0.2</v>
      </c>
      <c r="F35"/>
      <c r="G35"/>
      <c r="H35"/>
      <c r="I35"/>
      <c r="J35"/>
      <c r="K35"/>
      <c r="L35"/>
      <c r="M35"/>
      <c r="N35"/>
      <c r="O35"/>
      <c r="P35"/>
    </row>
    <row r="36" spans="1:16">
      <c r="A36" s="4" t="s">
        <v>448</v>
      </c>
      <c r="B36" s="4">
        <v>115</v>
      </c>
      <c r="D36" s="4" t="s">
        <v>446</v>
      </c>
      <c r="E36" s="90">
        <f>E35+E34*E38</f>
        <v>-0.13603905801607458</v>
      </c>
      <c r="F36" t="s">
        <v>56</v>
      </c>
      <c r="G36"/>
      <c r="H36"/>
      <c r="I36"/>
      <c r="J36"/>
      <c r="K36"/>
      <c r="L36"/>
      <c r="M36"/>
      <c r="N36"/>
      <c r="O36"/>
      <c r="P36"/>
    </row>
    <row r="37" spans="1:16">
      <c r="A37" s="4" t="s">
        <v>449</v>
      </c>
      <c r="B37" s="4">
        <v>121</v>
      </c>
      <c r="D37" s="4" t="s">
        <v>445</v>
      </c>
      <c r="E37" s="90">
        <f>E34*(E34+E35)/(E34-1)</f>
        <v>9.2957513073825063E-3</v>
      </c>
      <c r="F37" t="s">
        <v>57</v>
      </c>
      <c r="G37"/>
      <c r="H37"/>
      <c r="I37"/>
      <c r="J37"/>
      <c r="K37"/>
      <c r="L37"/>
      <c r="M37"/>
      <c r="N37"/>
      <c r="O37"/>
      <c r="P37"/>
    </row>
    <row r="38" spans="1:16">
      <c r="A38" s="4" t="s">
        <v>293</v>
      </c>
      <c r="D38" s="4" t="s">
        <v>294</v>
      </c>
      <c r="E38" s="89">
        <v>1</v>
      </c>
      <c r="F38" t="s">
        <v>59</v>
      </c>
      <c r="G38"/>
      <c r="H38"/>
      <c r="I38"/>
      <c r="J38"/>
      <c r="K38"/>
      <c r="L38"/>
      <c r="M38"/>
      <c r="N38"/>
      <c r="O38"/>
      <c r="P38"/>
    </row>
    <row r="39" spans="1:16">
      <c r="A39" s="4" t="s">
        <v>295</v>
      </c>
      <c r="D39" s="4" t="s">
        <v>296</v>
      </c>
      <c r="E39" s="89">
        <v>1</v>
      </c>
      <c r="F39" t="s">
        <v>61</v>
      </c>
      <c r="G39"/>
      <c r="H39"/>
      <c r="I39"/>
      <c r="J39"/>
      <c r="K39"/>
      <c r="L39"/>
      <c r="M39"/>
      <c r="N39"/>
      <c r="O39"/>
      <c r="P39"/>
    </row>
    <row r="40" spans="1:16">
      <c r="A40" s="4" t="s">
        <v>380</v>
      </c>
      <c r="B40" s="4">
        <v>122</v>
      </c>
      <c r="C40" s="141" t="s">
        <v>382</v>
      </c>
      <c r="D40" s="4" t="s">
        <v>383</v>
      </c>
      <c r="E40" s="12">
        <f>(E34+E35)/(E34-1)</f>
        <v>0.14533480932345708</v>
      </c>
      <c r="F40" s="4"/>
      <c r="G40"/>
      <c r="H40"/>
      <c r="I40"/>
      <c r="J40"/>
      <c r="K40"/>
      <c r="L40"/>
      <c r="M40"/>
      <c r="N40"/>
      <c r="O40"/>
      <c r="P40"/>
    </row>
    <row r="41" spans="1:16">
      <c r="C41" s="141" t="s">
        <v>381</v>
      </c>
      <c r="D41" s="4" t="s">
        <v>385</v>
      </c>
      <c r="E41" s="12">
        <f>(E40-1)/E40</f>
        <v>-5.8806640656499605</v>
      </c>
      <c r="F41" s="4"/>
      <c r="G41"/>
      <c r="H41"/>
      <c r="I41"/>
      <c r="J41"/>
      <c r="K41"/>
      <c r="L41"/>
      <c r="M41"/>
      <c r="N41"/>
      <c r="O41"/>
      <c r="P41"/>
    </row>
    <row r="42" spans="1:16">
      <c r="B42" s="15"/>
      <c r="C42" s="10"/>
      <c r="D42" s="10"/>
      <c r="E42" s="10"/>
      <c r="F42" s="10"/>
    </row>
    <row r="43" spans="1:16">
      <c r="A43" s="10"/>
      <c r="B43" s="10"/>
      <c r="C43" s="111"/>
      <c r="D43" s="13"/>
      <c r="E43" s="13"/>
      <c r="F43" s="64"/>
    </row>
    <row r="44" spans="1:16">
      <c r="A44" s="10"/>
      <c r="B44" s="10"/>
      <c r="C44" s="10"/>
      <c r="D44" s="13"/>
      <c r="E44" s="13"/>
      <c r="F44" s="64"/>
    </row>
    <row r="45" spans="1:16">
      <c r="A45" s="10"/>
      <c r="B45" s="10"/>
      <c r="C45" s="10"/>
      <c r="D45" s="13"/>
      <c r="E45" s="13"/>
      <c r="F45" s="64"/>
    </row>
    <row r="46" spans="1:16">
      <c r="A46" s="43"/>
      <c r="B46" s="59"/>
    </row>
    <row r="47" spans="1:16">
      <c r="A47" s="43"/>
      <c r="B47" s="59"/>
      <c r="P47" s="66"/>
    </row>
    <row r="48" spans="1:16" s="3" customFormat="1">
      <c r="A48" s="7" t="s">
        <v>128</v>
      </c>
      <c r="B48" s="7"/>
      <c r="C48" s="8" t="s">
        <v>14</v>
      </c>
      <c r="D48" s="8" t="s">
        <v>14</v>
      </c>
      <c r="E48" s="8" t="s">
        <v>16</v>
      </c>
      <c r="F48" s="7" t="s">
        <v>13</v>
      </c>
      <c r="G48" s="7" t="s">
        <v>150</v>
      </c>
      <c r="H48" s="7" t="s">
        <v>0</v>
      </c>
      <c r="I48" s="7"/>
      <c r="J48" s="7"/>
      <c r="K48" s="7"/>
      <c r="L48" s="7"/>
      <c r="M48" s="7"/>
      <c r="N48" s="7"/>
      <c r="O48" s="7"/>
      <c r="P48" s="4"/>
    </row>
    <row r="49" spans="1:16">
      <c r="D49" s="5"/>
      <c r="F49" s="4"/>
    </row>
    <row r="50" spans="1:16">
      <c r="A50" s="9" t="s">
        <v>23</v>
      </c>
      <c r="B50" s="9"/>
      <c r="D50" s="5"/>
      <c r="F50" s="4"/>
    </row>
    <row r="51" spans="1:16">
      <c r="A51" s="4" t="s">
        <v>129</v>
      </c>
      <c r="D51" s="5"/>
      <c r="E51" s="6">
        <v>44.6</v>
      </c>
      <c r="F51" s="4" t="s">
        <v>2</v>
      </c>
      <c r="H51" s="4" t="s">
        <v>1</v>
      </c>
    </row>
    <row r="52" spans="1:16">
      <c r="A52" s="4" t="s">
        <v>130</v>
      </c>
      <c r="C52" s="10"/>
      <c r="D52" s="5"/>
      <c r="E52" s="10">
        <f>E51*0.75</f>
        <v>33.450000000000003</v>
      </c>
      <c r="F52" s="4" t="s">
        <v>3</v>
      </c>
      <c r="H52" s="4" t="s">
        <v>4</v>
      </c>
    </row>
    <row r="53" spans="1:16">
      <c r="A53" s="4" t="s">
        <v>131</v>
      </c>
      <c r="C53" s="10"/>
      <c r="D53" s="5"/>
      <c r="E53" s="11">
        <f>E52*E59</f>
        <v>126.62163000000001</v>
      </c>
      <c r="F53" s="4" t="s">
        <v>29</v>
      </c>
      <c r="H53" s="4" t="s">
        <v>132</v>
      </c>
    </row>
    <row r="54" spans="1:16">
      <c r="A54" s="4" t="s">
        <v>426</v>
      </c>
      <c r="C54" s="10"/>
      <c r="D54" s="5"/>
      <c r="E54" s="21">
        <v>2.63</v>
      </c>
      <c r="F54" s="4" t="s">
        <v>30</v>
      </c>
      <c r="H54" s="4" t="s">
        <v>404</v>
      </c>
    </row>
    <row r="55" spans="1:16">
      <c r="A55" s="10" t="s">
        <v>31</v>
      </c>
      <c r="B55" s="10"/>
      <c r="C55" s="5"/>
      <c r="D55" s="5" t="s">
        <v>15</v>
      </c>
      <c r="E55" s="12">
        <f>E54/E53</f>
        <v>2.0770542915929922E-2</v>
      </c>
      <c r="F55" s="4" t="s">
        <v>5</v>
      </c>
    </row>
    <row r="56" spans="1:16">
      <c r="A56" s="70"/>
      <c r="B56" s="70"/>
      <c r="C56" s="10"/>
      <c r="D56" s="13"/>
      <c r="E56" s="14"/>
      <c r="F56" s="10"/>
      <c r="G56" s="10"/>
      <c r="H56" s="10"/>
      <c r="I56" s="10"/>
      <c r="J56" s="10"/>
      <c r="K56" s="10"/>
      <c r="L56" s="10"/>
      <c r="M56" s="10"/>
      <c r="N56" s="10"/>
      <c r="O56" s="10"/>
    </row>
    <row r="57" spans="1:16">
      <c r="A57" s="10"/>
      <c r="B57" s="10"/>
      <c r="C57" s="10"/>
      <c r="D57" s="13"/>
      <c r="E57" s="14"/>
      <c r="F57" s="10"/>
      <c r="G57" s="10"/>
      <c r="H57" s="10"/>
      <c r="I57" s="10"/>
      <c r="J57" s="10"/>
      <c r="K57" s="10"/>
      <c r="L57" s="13"/>
      <c r="M57" s="10"/>
      <c r="N57" s="10"/>
      <c r="O57" s="10"/>
    </row>
    <row r="58" spans="1:16">
      <c r="A58" s="9" t="s">
        <v>24</v>
      </c>
      <c r="B58" s="9"/>
      <c r="F58" s="4"/>
    </row>
    <row r="59" spans="1:16">
      <c r="A59" s="4" t="s">
        <v>25</v>
      </c>
      <c r="E59" s="6">
        <v>3.7854000000000001</v>
      </c>
      <c r="F59" s="4" t="s">
        <v>28</v>
      </c>
    </row>
    <row r="60" spans="1:16">
      <c r="A60" s="4" t="s">
        <v>26</v>
      </c>
      <c r="E60" s="6">
        <v>1.6093440000000001</v>
      </c>
      <c r="F60" s="4" t="s">
        <v>27</v>
      </c>
    </row>
    <row r="61" spans="1:16" s="1" customFormat="1">
      <c r="A61" s="10"/>
      <c r="B61" s="10"/>
      <c r="C61" s="10"/>
      <c r="D61" s="13"/>
      <c r="E61" s="14"/>
      <c r="F61" s="10"/>
      <c r="G61" s="10"/>
      <c r="H61" s="10"/>
      <c r="I61" s="10"/>
      <c r="J61" s="10"/>
      <c r="K61" s="10"/>
      <c r="L61" s="13"/>
      <c r="M61" s="10"/>
      <c r="N61" s="10"/>
      <c r="O61" s="10"/>
      <c r="P61" s="10"/>
    </row>
    <row r="62" spans="1:16" s="1" customFormat="1">
      <c r="A62" s="15" t="s">
        <v>32</v>
      </c>
      <c r="B62" s="15"/>
      <c r="C62" s="10"/>
      <c r="D62" s="13"/>
      <c r="E62" s="14"/>
      <c r="F62" s="10"/>
      <c r="G62" s="10"/>
      <c r="H62" s="10"/>
      <c r="I62" s="10"/>
      <c r="J62" s="10"/>
      <c r="K62" s="10"/>
      <c r="L62" s="13"/>
      <c r="M62" s="10"/>
      <c r="N62" s="10"/>
      <c r="O62" s="10"/>
      <c r="P62" s="10"/>
    </row>
    <row r="63" spans="1:16">
      <c r="A63" s="4" t="s">
        <v>408</v>
      </c>
      <c r="C63" s="4" t="s">
        <v>407</v>
      </c>
      <c r="D63" s="5"/>
      <c r="E63" s="16">
        <v>1594129.6070000001</v>
      </c>
      <c r="F63" s="4" t="s">
        <v>6</v>
      </c>
      <c r="H63" s="4" t="s">
        <v>420</v>
      </c>
    </row>
    <row r="64" spans="1:16">
      <c r="A64" s="4" t="s">
        <v>408</v>
      </c>
      <c r="C64" s="4" t="s">
        <v>19</v>
      </c>
      <c r="D64" s="5"/>
      <c r="E64" s="17">
        <f>E63*41.868*1000000</f>
        <v>66743018385876.008</v>
      </c>
      <c r="F64" s="4" t="s">
        <v>11</v>
      </c>
      <c r="H64" s="4" t="s">
        <v>20</v>
      </c>
    </row>
    <row r="65" spans="1:9">
      <c r="A65" s="4" t="s">
        <v>7</v>
      </c>
      <c r="C65" s="4" t="s">
        <v>427</v>
      </c>
      <c r="D65" s="5"/>
      <c r="E65" s="18">
        <v>20612</v>
      </c>
      <c r="F65" s="4" t="s">
        <v>12</v>
      </c>
      <c r="H65" s="4" t="s">
        <v>8</v>
      </c>
      <c r="I65" s="4" t="s">
        <v>419</v>
      </c>
    </row>
    <row r="66" spans="1:9">
      <c r="A66" s="10" t="s">
        <v>9</v>
      </c>
      <c r="B66" s="10"/>
      <c r="C66" s="5"/>
      <c r="D66" s="5" t="s">
        <v>54</v>
      </c>
      <c r="E66" s="19">
        <f>E64/E65/1000000000</f>
        <v>3.2380660967337476</v>
      </c>
      <c r="F66" s="4" t="s">
        <v>10</v>
      </c>
    </row>
    <row r="67" spans="1:9">
      <c r="A67" s="10" t="s">
        <v>17</v>
      </c>
      <c r="B67" s="10"/>
      <c r="C67" s="10"/>
      <c r="D67" s="13" t="s">
        <v>188</v>
      </c>
      <c r="E67" s="68">
        <f>E55*E66</f>
        <v>6.7256390826825996E-2</v>
      </c>
      <c r="F67" s="64" t="s">
        <v>18</v>
      </c>
    </row>
    <row r="68" spans="1:9">
      <c r="D68" s="5"/>
      <c r="F68" s="20"/>
    </row>
    <row r="69" spans="1:9">
      <c r="A69" s="9" t="s">
        <v>182</v>
      </c>
      <c r="B69" s="9"/>
      <c r="D69" s="5"/>
      <c r="F69" s="4"/>
    </row>
    <row r="70" spans="1:9">
      <c r="A70" s="4" t="s">
        <v>123</v>
      </c>
      <c r="C70" s="5"/>
      <c r="D70" s="5" t="s">
        <v>42</v>
      </c>
      <c r="E70" s="23">
        <f>B5</f>
        <v>35460</v>
      </c>
      <c r="F70" s="4" t="s">
        <v>34</v>
      </c>
    </row>
    <row r="71" spans="1:9">
      <c r="A71" s="4" t="s">
        <v>21</v>
      </c>
      <c r="C71" s="5"/>
      <c r="D71" s="5" t="s">
        <v>76</v>
      </c>
      <c r="E71" s="10">
        <f>B7</f>
        <v>25</v>
      </c>
      <c r="F71" s="4" t="s">
        <v>22</v>
      </c>
    </row>
    <row r="72" spans="1:9">
      <c r="A72" s="4" t="s">
        <v>125</v>
      </c>
      <c r="C72" s="5"/>
      <c r="D72" s="5" t="s">
        <v>36</v>
      </c>
      <c r="E72" s="12">
        <f>E$54/E71</f>
        <v>0.1052</v>
      </c>
      <c r="F72" s="4" t="s">
        <v>124</v>
      </c>
    </row>
    <row r="73" spans="1:9">
      <c r="A73" s="4" t="s">
        <v>189</v>
      </c>
      <c r="C73" s="5"/>
      <c r="D73" s="5" t="s">
        <v>144</v>
      </c>
      <c r="E73" s="23">
        <f>B15</f>
        <v>12416</v>
      </c>
      <c r="F73" s="4" t="s">
        <v>41</v>
      </c>
      <c r="H73" s="4" t="s">
        <v>39</v>
      </c>
    </row>
    <row r="74" spans="1:9">
      <c r="A74" s="4" t="s">
        <v>145</v>
      </c>
      <c r="C74" s="5"/>
      <c r="D74" s="5" t="s">
        <v>143</v>
      </c>
      <c r="E74" s="22">
        <f>E73/E71*E53</f>
        <v>62885.366323200004</v>
      </c>
      <c r="F74" s="4" t="s">
        <v>11</v>
      </c>
      <c r="H74" s="4" t="s">
        <v>38</v>
      </c>
    </row>
    <row r="75" spans="1:9">
      <c r="A75" s="4" t="s">
        <v>67</v>
      </c>
      <c r="C75" s="5"/>
      <c r="D75" s="5" t="s">
        <v>44</v>
      </c>
      <c r="E75" s="23">
        <f>B8</f>
        <v>34000</v>
      </c>
      <c r="F75" s="4" t="s">
        <v>66</v>
      </c>
      <c r="H75" s="4" t="s">
        <v>45</v>
      </c>
    </row>
    <row r="76" spans="1:9">
      <c r="A76" s="4" t="s">
        <v>68</v>
      </c>
      <c r="D76" s="5" t="s">
        <v>70</v>
      </c>
      <c r="E76" s="10">
        <f>B6</f>
        <v>14</v>
      </c>
      <c r="F76" s="4" t="s">
        <v>69</v>
      </c>
    </row>
    <row r="77" spans="1:9">
      <c r="A77" s="4" t="s">
        <v>168</v>
      </c>
      <c r="D77" s="5" t="s">
        <v>169</v>
      </c>
      <c r="E77" s="23">
        <f>B451/7</f>
        <v>4777.7142857142853</v>
      </c>
      <c r="F77" s="4" t="s">
        <v>46</v>
      </c>
    </row>
    <row r="78" spans="1:9">
      <c r="A78" s="4" t="s">
        <v>43</v>
      </c>
      <c r="C78" s="5"/>
      <c r="D78" s="5" t="s">
        <v>71</v>
      </c>
      <c r="E78" s="23">
        <f>E75/E76</f>
        <v>2428.5714285714284</v>
      </c>
      <c r="F78" s="4" t="s">
        <v>11</v>
      </c>
    </row>
    <row r="79" spans="1:9">
      <c r="A79" s="4" t="s">
        <v>282</v>
      </c>
      <c r="D79" s="5" t="s">
        <v>283</v>
      </c>
      <c r="E79" s="23">
        <f>B9</f>
        <v>2730.8485424875657</v>
      </c>
      <c r="F79" s="4" t="s">
        <v>46</v>
      </c>
      <c r="H79" s="84"/>
    </row>
    <row r="80" spans="1:9">
      <c r="D80" s="5"/>
      <c r="E80" s="23"/>
      <c r="F80" s="4"/>
    </row>
    <row r="81" spans="1:7">
      <c r="A81" s="9" t="s">
        <v>183</v>
      </c>
      <c r="B81" s="9"/>
      <c r="D81" s="25"/>
      <c r="E81" s="10"/>
      <c r="F81" s="4"/>
    </row>
    <row r="82" spans="1:7">
      <c r="A82" s="4" t="s">
        <v>123</v>
      </c>
      <c r="C82" s="5"/>
      <c r="D82" s="5" t="s">
        <v>146</v>
      </c>
      <c r="E82" s="23">
        <f>B10</f>
        <v>35255</v>
      </c>
      <c r="F82" s="4" t="s">
        <v>34</v>
      </c>
      <c r="G82" s="5"/>
    </row>
    <row r="83" spans="1:7">
      <c r="A83" s="4" t="s">
        <v>35</v>
      </c>
      <c r="C83" s="5"/>
      <c r="D83" s="5" t="s">
        <v>113</v>
      </c>
      <c r="E83" s="91">
        <f>B12</f>
        <v>42</v>
      </c>
      <c r="F83" s="4" t="s">
        <v>22</v>
      </c>
      <c r="G83" s="5"/>
    </row>
    <row r="84" spans="1:7">
      <c r="A84" s="4" t="s">
        <v>37</v>
      </c>
      <c r="C84" s="5"/>
      <c r="D84" s="5" t="s">
        <v>149</v>
      </c>
      <c r="E84" s="171">
        <f>E$54/E83</f>
        <v>6.2619047619047616E-2</v>
      </c>
      <c r="F84" s="4" t="s">
        <v>124</v>
      </c>
      <c r="G84" s="5"/>
    </row>
    <row r="85" spans="1:7">
      <c r="A85" s="4" t="s">
        <v>177</v>
      </c>
      <c r="D85" s="5" t="s">
        <v>92</v>
      </c>
      <c r="E85" s="23">
        <f>E73</f>
        <v>12416</v>
      </c>
      <c r="F85" s="4" t="s">
        <v>41</v>
      </c>
    </row>
    <row r="86" spans="1:7">
      <c r="A86" s="4" t="s">
        <v>93</v>
      </c>
      <c r="D86" s="5" t="s">
        <v>77</v>
      </c>
      <c r="E86" s="23">
        <f>((E34+(1-E34)*(((1-E34)/(E34))*(E84*E85/D153))^(E41/(1-E41)))^(-1/E41))*E85</f>
        <v>13335.692374921506</v>
      </c>
      <c r="F86" s="4" t="s">
        <v>41</v>
      </c>
    </row>
    <row r="87" spans="1:7">
      <c r="A87" s="4" t="s">
        <v>121</v>
      </c>
      <c r="D87" s="5" t="s">
        <v>118</v>
      </c>
      <c r="E87" s="23">
        <f>((E105+E116)/(E105))^E38 * E86</f>
        <v>13755.628514664464</v>
      </c>
      <c r="F87" s="4" t="s">
        <v>41</v>
      </c>
    </row>
    <row r="88" spans="1:7">
      <c r="A88" s="4" t="s">
        <v>95</v>
      </c>
      <c r="D88" s="5" t="s">
        <v>114</v>
      </c>
      <c r="E88" s="23">
        <f>E85/E$83*E$53</f>
        <v>37431.765668571425</v>
      </c>
      <c r="F88" s="4" t="s">
        <v>11</v>
      </c>
      <c r="G88" s="26"/>
    </row>
    <row r="89" spans="1:7">
      <c r="A89" s="4" t="s">
        <v>94</v>
      </c>
      <c r="D89" s="5" t="s">
        <v>115</v>
      </c>
      <c r="E89" s="23">
        <f>E86/E$83*E$53</f>
        <v>40204.454897407915</v>
      </c>
      <c r="F89" s="4" t="s">
        <v>11</v>
      </c>
    </row>
    <row r="90" spans="1:7">
      <c r="A90" s="4" t="s">
        <v>120</v>
      </c>
      <c r="D90" s="5" t="s">
        <v>119</v>
      </c>
      <c r="E90" s="23">
        <f>E87/E$83*E$53</f>
        <v>41470.478671459372</v>
      </c>
      <c r="F90" s="4" t="s">
        <v>11</v>
      </c>
    </row>
    <row r="91" spans="1:7">
      <c r="A91" s="4" t="s">
        <v>147</v>
      </c>
      <c r="D91" s="5" t="s">
        <v>52</v>
      </c>
      <c r="E91" s="23">
        <f>E74-E88</f>
        <v>25453.600654628579</v>
      </c>
      <c r="F91" s="4" t="s">
        <v>11</v>
      </c>
    </row>
    <row r="92" spans="1:7">
      <c r="A92" s="4" t="s">
        <v>67</v>
      </c>
      <c r="C92" s="5"/>
      <c r="D92" s="5" t="s">
        <v>51</v>
      </c>
      <c r="E92" s="23">
        <f>B13</f>
        <v>40000</v>
      </c>
      <c r="F92" s="4" t="s">
        <v>66</v>
      </c>
    </row>
    <row r="93" spans="1:7">
      <c r="A93" s="4" t="s">
        <v>68</v>
      </c>
      <c r="D93" s="5" t="s">
        <v>72</v>
      </c>
      <c r="E93" s="23">
        <f>B11</f>
        <v>14</v>
      </c>
      <c r="F93" s="4" t="s">
        <v>69</v>
      </c>
    </row>
    <row r="94" spans="1:7">
      <c r="A94" s="4" t="s">
        <v>168</v>
      </c>
      <c r="C94" s="5"/>
      <c r="D94" s="5" t="s">
        <v>170</v>
      </c>
      <c r="E94" s="23">
        <f>B458/7</f>
        <v>4719.2857142857147</v>
      </c>
      <c r="F94" s="4" t="s">
        <v>46</v>
      </c>
    </row>
    <row r="95" spans="1:7">
      <c r="A95" s="4" t="s">
        <v>43</v>
      </c>
      <c r="C95" s="5"/>
      <c r="D95" s="5" t="s">
        <v>116</v>
      </c>
      <c r="E95" s="22">
        <f>E92/E93</f>
        <v>2857.1428571428573</v>
      </c>
      <c r="F95" s="4" t="s">
        <v>11</v>
      </c>
      <c r="G95" s="5"/>
    </row>
    <row r="96" spans="1:7">
      <c r="A96" s="4" t="s">
        <v>282</v>
      </c>
      <c r="C96" s="5"/>
      <c r="D96" s="5" t="s">
        <v>281</v>
      </c>
      <c r="E96" s="22">
        <f>B14</f>
        <v>2709.6940254231035</v>
      </c>
      <c r="F96" s="4" t="s">
        <v>46</v>
      </c>
    </row>
    <row r="97" spans="1:6">
      <c r="C97" s="5"/>
      <c r="D97" s="5"/>
      <c r="E97" s="22"/>
      <c r="F97" s="4"/>
    </row>
    <row r="98" spans="1:6">
      <c r="A98" s="4" t="s">
        <v>173</v>
      </c>
      <c r="C98" s="5"/>
      <c r="D98" s="13" t="s">
        <v>174</v>
      </c>
      <c r="E98" s="57">
        <f>E83/E71</f>
        <v>1.68</v>
      </c>
      <c r="F98" s="58" t="s">
        <v>18</v>
      </c>
    </row>
    <row r="99" spans="1:6">
      <c r="D99" s="5"/>
      <c r="E99" s="22"/>
      <c r="F99" s="4"/>
    </row>
    <row r="100" spans="1:6">
      <c r="A100" s="9" t="s">
        <v>151</v>
      </c>
      <c r="B100" s="9"/>
      <c r="D100" s="5"/>
      <c r="F100" s="20"/>
    </row>
    <row r="101" spans="1:6">
      <c r="A101" s="4" t="s">
        <v>133</v>
      </c>
      <c r="D101" s="5"/>
      <c r="E101" s="23">
        <f>B16</f>
        <v>34317</v>
      </c>
      <c r="F101" s="58" t="s">
        <v>46</v>
      </c>
    </row>
    <row r="102" spans="1:6">
      <c r="A102" s="4" t="s">
        <v>134</v>
      </c>
      <c r="D102" s="5"/>
      <c r="E102" s="63">
        <f>B17</f>
        <v>0.88319000000000003</v>
      </c>
      <c r="F102" s="58" t="s">
        <v>18</v>
      </c>
    </row>
    <row r="103" spans="1:6">
      <c r="A103" s="4" t="s">
        <v>135</v>
      </c>
      <c r="D103" s="5"/>
      <c r="E103" s="10">
        <f>B18</f>
        <v>7.8479999999999994E-2</v>
      </c>
      <c r="F103" s="58" t="s">
        <v>18</v>
      </c>
    </row>
    <row r="104" spans="1:6">
      <c r="A104" s="4" t="s">
        <v>48</v>
      </c>
      <c r="C104" s="5"/>
      <c r="D104" s="5" t="s">
        <v>58</v>
      </c>
      <c r="E104" s="151">
        <f>E101*E102*(1-E103)</f>
        <v>27929.825547069602</v>
      </c>
      <c r="F104" s="58" t="s">
        <v>46</v>
      </c>
    </row>
    <row r="105" spans="1:6">
      <c r="D105" s="13" t="s">
        <v>355</v>
      </c>
      <c r="E105" s="22">
        <f>E104-D150-D151-E106+F143*F165+F170</f>
        <v>19874.98955945245</v>
      </c>
      <c r="F105" s="58" t="s">
        <v>46</v>
      </c>
    </row>
    <row r="106" spans="1:6">
      <c r="A106" s="26" t="s">
        <v>148</v>
      </c>
      <c r="D106" s="5" t="s">
        <v>75</v>
      </c>
      <c r="E106" s="23">
        <f>E55*E91</f>
        <v>528.68510476190488</v>
      </c>
      <c r="F106" s="26" t="s">
        <v>46</v>
      </c>
    </row>
    <row r="107" spans="1:6">
      <c r="A107" s="4" t="s">
        <v>175</v>
      </c>
      <c r="D107" s="5" t="s">
        <v>176</v>
      </c>
      <c r="E107" s="23">
        <f>E167</f>
        <v>-58.428571428570649</v>
      </c>
      <c r="F107" s="26" t="s">
        <v>46</v>
      </c>
    </row>
    <row r="108" spans="1:6">
      <c r="A108" s="4" t="s">
        <v>279</v>
      </c>
      <c r="D108" s="5" t="s">
        <v>280</v>
      </c>
      <c r="E108" s="23">
        <f>E168</f>
        <v>-21.154517064462198</v>
      </c>
      <c r="F108" s="26" t="s">
        <v>46</v>
      </c>
    </row>
    <row r="109" spans="1:6">
      <c r="A109" s="4" t="s">
        <v>156</v>
      </c>
      <c r="D109" s="5" t="s">
        <v>298</v>
      </c>
      <c r="E109" s="23">
        <f>E104 - E55*E74 - E77 - E79</f>
        <v>19115.099518867752</v>
      </c>
      <c r="F109" s="26" t="s">
        <v>46</v>
      </c>
    </row>
    <row r="110" spans="1:6">
      <c r="A110" s="4" t="s">
        <v>96</v>
      </c>
      <c r="D110" s="5" t="s">
        <v>297</v>
      </c>
      <c r="E110" s="23">
        <f>E109</f>
        <v>19115.099518867752</v>
      </c>
      <c r="F110" s="26" t="s">
        <v>46</v>
      </c>
    </row>
    <row r="111" spans="1:6">
      <c r="A111" s="4" t="s">
        <v>97</v>
      </c>
      <c r="D111" s="5" t="s">
        <v>78</v>
      </c>
      <c r="E111" s="23">
        <f>E109*(1/(1+E34*(((((1-E34)/(E34))*(H146*D147/D153))^(1-E40))-1)))^(1/E41)</f>
        <v>19039.921203594273</v>
      </c>
      <c r="F111" s="26" t="s">
        <v>46</v>
      </c>
    </row>
    <row r="112" spans="1:6">
      <c r="A112" s="4" t="s">
        <v>122</v>
      </c>
      <c r="D112" s="5" t="s">
        <v>79</v>
      </c>
      <c r="E112" s="23">
        <f>E116 - E55*G165 + E111</f>
        <v>19639.48145037108</v>
      </c>
      <c r="F112" s="26" t="s">
        <v>46</v>
      </c>
    </row>
    <row r="113" spans="1:6">
      <c r="A113" s="4" t="s">
        <v>155</v>
      </c>
      <c r="D113" s="5" t="s">
        <v>321</v>
      </c>
      <c r="E113" s="23">
        <f>E112</f>
        <v>19639.48145037108</v>
      </c>
      <c r="F113" s="26" t="s">
        <v>46</v>
      </c>
    </row>
    <row r="114" spans="1:6">
      <c r="A114" s="4" t="s">
        <v>157</v>
      </c>
      <c r="C114" s="5"/>
      <c r="D114" s="13" t="s">
        <v>158</v>
      </c>
      <c r="E114" s="23">
        <v>0</v>
      </c>
      <c r="F114" s="26" t="s">
        <v>46</v>
      </c>
    </row>
    <row r="115" spans="1:6">
      <c r="A115" s="4" t="s">
        <v>152</v>
      </c>
      <c r="D115" s="13" t="s">
        <v>159</v>
      </c>
      <c r="E115" s="23">
        <f>E106-E107-E108</f>
        <v>608.26819325493773</v>
      </c>
      <c r="F115" s="26" t="s">
        <v>46</v>
      </c>
    </row>
    <row r="116" spans="1:6">
      <c r="A116" s="4" t="s">
        <v>153</v>
      </c>
      <c r="D116" s="13" t="s">
        <v>74</v>
      </c>
      <c r="E116" s="23">
        <f>E106-E107-E108-E55*F165 - F170</f>
        <v>625.85624790833151</v>
      </c>
      <c r="F116" s="26" t="s">
        <v>46</v>
      </c>
    </row>
    <row r="117" spans="1:6">
      <c r="A117" s="4" t="s">
        <v>154</v>
      </c>
      <c r="D117" s="13" t="s">
        <v>160</v>
      </c>
      <c r="E117" s="23">
        <v>0</v>
      </c>
      <c r="F117" s="26" t="s">
        <v>46</v>
      </c>
    </row>
    <row r="118" spans="1:6">
      <c r="A118" s="4" t="s">
        <v>161</v>
      </c>
      <c r="D118" s="13" t="s">
        <v>187</v>
      </c>
      <c r="E118" s="23">
        <v>0</v>
      </c>
      <c r="F118" s="26" t="s">
        <v>46</v>
      </c>
    </row>
    <row r="119" spans="1:6">
      <c r="D119" s="13"/>
      <c r="E119" s="23"/>
      <c r="F119" s="26"/>
    </row>
    <row r="140" spans="1:11">
      <c r="K140" s="27"/>
    </row>
    <row r="141" spans="1:11" ht="16.5" thickBot="1"/>
    <row r="142" spans="1:11" ht="17.25">
      <c r="A142" s="28"/>
      <c r="B142" s="29" t="s">
        <v>89</v>
      </c>
      <c r="C142" s="29" t="s">
        <v>90</v>
      </c>
      <c r="D142" s="29" t="s">
        <v>372</v>
      </c>
      <c r="E142" s="29" t="s">
        <v>99</v>
      </c>
      <c r="F142" s="29" t="s">
        <v>100</v>
      </c>
      <c r="G142" s="29" t="s">
        <v>102</v>
      </c>
      <c r="H142" s="29" t="s">
        <v>101</v>
      </c>
    </row>
    <row r="143" spans="1:11">
      <c r="A143" s="94" t="s">
        <v>81</v>
      </c>
      <c r="B143" s="5" t="s">
        <v>5</v>
      </c>
      <c r="C143" s="5"/>
      <c r="D143" s="31">
        <f>$E55</f>
        <v>2.0770542915929922E-2</v>
      </c>
      <c r="E143" s="31">
        <f>$E55</f>
        <v>2.0770542915929922E-2</v>
      </c>
      <c r="F143" s="31">
        <f>$E55</f>
        <v>2.0770542915929922E-2</v>
      </c>
      <c r="G143" s="31">
        <f>$E55</f>
        <v>2.0770542915929922E-2</v>
      </c>
      <c r="H143" s="31">
        <f>$E55</f>
        <v>2.0770542915929922E-2</v>
      </c>
    </row>
    <row r="144" spans="1:11">
      <c r="A144" s="94" t="s">
        <v>9</v>
      </c>
      <c r="B144" s="5" t="s">
        <v>10</v>
      </c>
      <c r="C144" s="5"/>
      <c r="D144" s="31">
        <f>$E66</f>
        <v>3.2380660967337476</v>
      </c>
      <c r="E144" s="31">
        <f>$E66</f>
        <v>3.2380660967337476</v>
      </c>
      <c r="F144" s="31">
        <f>$E66</f>
        <v>3.2380660967337476</v>
      </c>
      <c r="G144" s="31">
        <f>$E66</f>
        <v>3.2380660967337476</v>
      </c>
      <c r="H144" s="31">
        <f>$E66</f>
        <v>3.2380660967337476</v>
      </c>
    </row>
    <row r="145" spans="1:13">
      <c r="A145" s="94" t="s">
        <v>82</v>
      </c>
      <c r="B145" s="5" t="s">
        <v>22</v>
      </c>
      <c r="C145" s="5"/>
      <c r="D145" s="32">
        <f>E71</f>
        <v>25</v>
      </c>
      <c r="E145" s="32">
        <f t="shared" ref="E145:H146" si="1">$E83</f>
        <v>42</v>
      </c>
      <c r="F145" s="32">
        <f t="shared" si="1"/>
        <v>42</v>
      </c>
      <c r="G145" s="32">
        <f t="shared" si="1"/>
        <v>42</v>
      </c>
      <c r="H145" s="32">
        <f t="shared" si="1"/>
        <v>42</v>
      </c>
    </row>
    <row r="146" spans="1:13">
      <c r="A146" s="94" t="s">
        <v>83</v>
      </c>
      <c r="B146" s="5" t="s">
        <v>124</v>
      </c>
      <c r="C146" s="5"/>
      <c r="D146" s="31">
        <f>E72</f>
        <v>0.1052</v>
      </c>
      <c r="E146" s="31">
        <f t="shared" si="1"/>
        <v>6.2619047619047616E-2</v>
      </c>
      <c r="F146" s="31">
        <f t="shared" si="1"/>
        <v>6.2619047619047616E-2</v>
      </c>
      <c r="G146" s="31">
        <f t="shared" si="1"/>
        <v>6.2619047619047616E-2</v>
      </c>
      <c r="H146" s="31">
        <f t="shared" si="1"/>
        <v>6.2619047619047616E-2</v>
      </c>
    </row>
    <row r="147" spans="1:13">
      <c r="A147" s="94" t="s">
        <v>84</v>
      </c>
      <c r="B147" s="5" t="s">
        <v>41</v>
      </c>
      <c r="C147" s="5"/>
      <c r="D147" s="33">
        <f>$E73</f>
        <v>12416</v>
      </c>
      <c r="E147" s="33">
        <f>E85</f>
        <v>12416</v>
      </c>
      <c r="F147" s="34">
        <f>E86</f>
        <v>13335.692374921506</v>
      </c>
      <c r="G147" s="33">
        <f>E87</f>
        <v>13755.628514664464</v>
      </c>
      <c r="H147" s="33">
        <f>E87</f>
        <v>13755.628514664464</v>
      </c>
    </row>
    <row r="148" spans="1:13">
      <c r="A148" s="30" t="s">
        <v>40</v>
      </c>
      <c r="B148" s="5" t="s">
        <v>11</v>
      </c>
      <c r="C148" s="5"/>
      <c r="D148" s="33">
        <f>E74</f>
        <v>62885.366323200004</v>
      </c>
      <c r="E148" s="33">
        <f>E88</f>
        <v>37431.765668571425</v>
      </c>
      <c r="F148" s="33">
        <f>E89</f>
        <v>40204.454897407915</v>
      </c>
      <c r="G148" s="33">
        <f>E90</f>
        <v>41470.478671459372</v>
      </c>
      <c r="H148" s="33">
        <f>G148</f>
        <v>41470.478671459372</v>
      </c>
      <c r="I148" s="4" t="s">
        <v>460</v>
      </c>
    </row>
    <row r="149" spans="1:13">
      <c r="A149" s="30" t="s">
        <v>43</v>
      </c>
      <c r="B149" s="5" t="s">
        <v>11</v>
      </c>
      <c r="C149" s="5"/>
      <c r="D149" s="33">
        <f>E75/E76</f>
        <v>2428.5714285714284</v>
      </c>
      <c r="E149" s="33">
        <f>$E92/$E93</f>
        <v>2857.1428571428573</v>
      </c>
      <c r="F149" s="33">
        <f>$E92/$E93</f>
        <v>2857.1428571428573</v>
      </c>
      <c r="G149" s="33">
        <f>$E92/$E93</f>
        <v>2857.1428571428573</v>
      </c>
      <c r="H149" s="33">
        <f>$E92/$E93</f>
        <v>2857.1428571428573</v>
      </c>
    </row>
    <row r="150" spans="1:13">
      <c r="A150" s="30" t="s">
        <v>85</v>
      </c>
      <c r="B150" s="5" t="s">
        <v>46</v>
      </c>
      <c r="C150" s="5"/>
      <c r="D150" s="34">
        <f>E77</f>
        <v>4777.7142857142853</v>
      </c>
      <c r="E150" s="34">
        <f>E94</f>
        <v>4719.2857142857147</v>
      </c>
      <c r="F150" s="34">
        <f>E150</f>
        <v>4719.2857142857147</v>
      </c>
      <c r="G150" s="34">
        <f>F150</f>
        <v>4719.2857142857147</v>
      </c>
      <c r="H150" s="34">
        <f>G150</f>
        <v>4719.2857142857147</v>
      </c>
    </row>
    <row r="151" spans="1:13">
      <c r="A151" s="30" t="s">
        <v>351</v>
      </c>
      <c r="B151" s="5" t="s">
        <v>46</v>
      </c>
      <c r="C151" s="24"/>
      <c r="D151" s="33">
        <f>E79</f>
        <v>2730.8485424875657</v>
      </c>
      <c r="E151" s="33">
        <f>$E96</f>
        <v>2709.6940254231035</v>
      </c>
      <c r="F151" s="33">
        <f>$E96</f>
        <v>2709.6940254231035</v>
      </c>
      <c r="G151" s="33">
        <f>$E96</f>
        <v>2709.6940254231035</v>
      </c>
      <c r="H151" s="33">
        <f>$E96</f>
        <v>2709.6940254231035</v>
      </c>
    </row>
    <row r="152" spans="1:13">
      <c r="A152" s="30" t="s">
        <v>299</v>
      </c>
      <c r="B152" s="5" t="s">
        <v>46</v>
      </c>
      <c r="C152" s="5"/>
      <c r="D152" s="33">
        <f>D146*D147</f>
        <v>1306.1632</v>
      </c>
      <c r="E152" s="33">
        <f>E146*E147</f>
        <v>777.47809523809519</v>
      </c>
      <c r="F152" s="33">
        <f>F146*F147</f>
        <v>835.06835585817998</v>
      </c>
      <c r="G152" s="33">
        <f>G146*G147</f>
        <v>861.36435698970331</v>
      </c>
      <c r="H152" s="33">
        <f>H146*H147</f>
        <v>861.36435698970331</v>
      </c>
    </row>
    <row r="153" spans="1:13">
      <c r="A153" s="30" t="s">
        <v>87</v>
      </c>
      <c r="B153" s="5" t="s">
        <v>46</v>
      </c>
      <c r="C153" s="24"/>
      <c r="D153" s="34">
        <f>E109</f>
        <v>19115.099518867752</v>
      </c>
      <c r="E153" s="34">
        <f>E110</f>
        <v>19115.099518867752</v>
      </c>
      <c r="F153" s="34">
        <f>E111</f>
        <v>19039.921203594273</v>
      </c>
      <c r="G153" s="34">
        <f>E112</f>
        <v>19639.48145037108</v>
      </c>
      <c r="H153" s="34">
        <f>E113</f>
        <v>19639.48145037108</v>
      </c>
      <c r="I153" s="4" t="s">
        <v>322</v>
      </c>
      <c r="J153" s="73">
        <f>F155</f>
        <v>625.85624790833151</v>
      </c>
      <c r="K153" s="4" t="s">
        <v>323</v>
      </c>
    </row>
    <row r="154" spans="1:13">
      <c r="A154" s="30" t="s">
        <v>352</v>
      </c>
      <c r="B154" s="5" t="s">
        <v>46</v>
      </c>
      <c r="C154" s="5"/>
      <c r="D154" s="33">
        <f>E104</f>
        <v>27929.825547069602</v>
      </c>
      <c r="E154" s="33">
        <f>E104</f>
        <v>27929.825547069602</v>
      </c>
      <c r="F154" s="33">
        <f>E104</f>
        <v>27929.825547069602</v>
      </c>
      <c r="G154" s="33">
        <f>E104</f>
        <v>27929.825547069602</v>
      </c>
      <c r="H154" s="33">
        <f>E104</f>
        <v>27929.825547069602</v>
      </c>
      <c r="J154" s="114">
        <f>D143*G165 + G170</f>
        <v>625.85624790833094</v>
      </c>
      <c r="K154" s="114" t="s">
        <v>324</v>
      </c>
      <c r="L154" s="114"/>
      <c r="M154" s="114"/>
    </row>
    <row r="155" spans="1:13">
      <c r="A155" s="30" t="s">
        <v>353</v>
      </c>
      <c r="B155" s="5" t="s">
        <v>46</v>
      </c>
      <c r="C155" s="5"/>
      <c r="D155" s="34">
        <f>E114</f>
        <v>0</v>
      </c>
      <c r="E155" s="34">
        <f>E115</f>
        <v>608.26819325493773</v>
      </c>
      <c r="F155" s="34">
        <f>E116</f>
        <v>625.85624790833151</v>
      </c>
      <c r="G155" s="34">
        <f>E117</f>
        <v>0</v>
      </c>
      <c r="H155" s="34">
        <f>E118</f>
        <v>0</v>
      </c>
      <c r="J155" s="22">
        <f>J153-J154</f>
        <v>0</v>
      </c>
      <c r="K155" s="4" t="s">
        <v>325</v>
      </c>
    </row>
    <row r="156" spans="1:13" ht="16.5" thickBot="1">
      <c r="A156" s="35" t="s">
        <v>103</v>
      </c>
      <c r="B156" s="36" t="s">
        <v>46</v>
      </c>
      <c r="C156" s="36"/>
      <c r="D156" s="36">
        <v>0</v>
      </c>
      <c r="E156" s="37">
        <f>$E106</f>
        <v>528.68510476190488</v>
      </c>
      <c r="F156" s="37">
        <f>$E106</f>
        <v>528.68510476190488</v>
      </c>
      <c r="G156" s="37">
        <f>$E106</f>
        <v>528.68510476190488</v>
      </c>
      <c r="H156" s="37">
        <f>$E106</f>
        <v>528.68510476190488</v>
      </c>
    </row>
    <row r="157" spans="1:13">
      <c r="D157" s="5"/>
      <c r="E157" s="34"/>
      <c r="F157" s="34"/>
      <c r="G157" s="34"/>
      <c r="H157" s="33"/>
    </row>
    <row r="158" spans="1:13" ht="16.5" thickBot="1">
      <c r="C158" s="30" t="s">
        <v>108</v>
      </c>
      <c r="D158" s="5"/>
      <c r="E158" s="34"/>
      <c r="F158" s="34"/>
      <c r="G158" s="34"/>
      <c r="H158" s="33"/>
    </row>
    <row r="159" spans="1:13">
      <c r="A159" s="28"/>
      <c r="B159" s="29" t="s">
        <v>89</v>
      </c>
      <c r="C159" s="29" t="s">
        <v>90</v>
      </c>
      <c r="D159" s="29"/>
      <c r="E159" s="29" t="s">
        <v>104</v>
      </c>
      <c r="F159" s="29" t="s">
        <v>105</v>
      </c>
      <c r="G159" s="29" t="s">
        <v>106</v>
      </c>
      <c r="H159" s="29" t="s">
        <v>107</v>
      </c>
    </row>
    <row r="160" spans="1:13">
      <c r="A160" s="30" t="s">
        <v>81</v>
      </c>
      <c r="B160" s="5" t="s">
        <v>5</v>
      </c>
      <c r="C160" s="5"/>
      <c r="D160" s="38"/>
      <c r="E160" s="34">
        <f t="shared" ref="E160:H173" si="2">E143-D143</f>
        <v>0</v>
      </c>
      <c r="F160" s="34">
        <f t="shared" si="2"/>
        <v>0</v>
      </c>
      <c r="G160" s="34">
        <f t="shared" si="2"/>
        <v>0</v>
      </c>
      <c r="H160" s="34">
        <f t="shared" si="2"/>
        <v>0</v>
      </c>
    </row>
    <row r="161" spans="1:8">
      <c r="A161" s="30" t="s">
        <v>9</v>
      </c>
      <c r="B161" s="5" t="s">
        <v>10</v>
      </c>
      <c r="C161" s="5"/>
      <c r="D161" s="31"/>
      <c r="E161" s="34">
        <f t="shared" si="2"/>
        <v>0</v>
      </c>
      <c r="F161" s="34">
        <f t="shared" si="2"/>
        <v>0</v>
      </c>
      <c r="G161" s="34">
        <f t="shared" si="2"/>
        <v>0</v>
      </c>
      <c r="H161" s="34">
        <f t="shared" si="2"/>
        <v>0</v>
      </c>
    </row>
    <row r="162" spans="1:8">
      <c r="A162" s="30" t="s">
        <v>82</v>
      </c>
      <c r="B162" s="5" t="s">
        <v>22</v>
      </c>
      <c r="C162" s="5"/>
      <c r="D162" s="39"/>
      <c r="E162" s="34">
        <f t="shared" si="2"/>
        <v>17</v>
      </c>
      <c r="F162" s="34">
        <f t="shared" si="2"/>
        <v>0</v>
      </c>
      <c r="G162" s="34">
        <f t="shared" si="2"/>
        <v>0</v>
      </c>
      <c r="H162" s="34">
        <f t="shared" si="2"/>
        <v>0</v>
      </c>
    </row>
    <row r="163" spans="1:8">
      <c r="A163" s="30" t="s">
        <v>83</v>
      </c>
      <c r="B163" s="5" t="s">
        <v>124</v>
      </c>
      <c r="C163" s="5"/>
      <c r="D163" s="38"/>
      <c r="E163" s="118">
        <f t="shared" si="2"/>
        <v>-4.2580952380952386E-2</v>
      </c>
      <c r="F163" s="118">
        <f t="shared" si="2"/>
        <v>0</v>
      </c>
      <c r="G163" s="118">
        <f t="shared" si="2"/>
        <v>0</v>
      </c>
      <c r="H163" s="118">
        <f t="shared" si="2"/>
        <v>0</v>
      </c>
    </row>
    <row r="164" spans="1:8">
      <c r="A164" s="30" t="s">
        <v>84</v>
      </c>
      <c r="B164" s="5" t="s">
        <v>41</v>
      </c>
      <c r="C164" s="5"/>
      <c r="D164" s="34"/>
      <c r="E164" s="34">
        <f t="shared" si="2"/>
        <v>0</v>
      </c>
      <c r="F164" s="34">
        <f t="shared" si="2"/>
        <v>919.69237492150569</v>
      </c>
      <c r="G164" s="34">
        <f t="shared" si="2"/>
        <v>419.9361397429584</v>
      </c>
      <c r="H164" s="34">
        <f t="shared" si="2"/>
        <v>0</v>
      </c>
    </row>
    <row r="165" spans="1:8">
      <c r="A165" s="30" t="s">
        <v>40</v>
      </c>
      <c r="B165" s="5" t="s">
        <v>11</v>
      </c>
      <c r="C165" s="5"/>
      <c r="D165" s="34"/>
      <c r="E165" s="34">
        <f t="shared" si="2"/>
        <v>-25453.600654628579</v>
      </c>
      <c r="F165" s="34">
        <f t="shared" si="2"/>
        <v>2772.6892288364907</v>
      </c>
      <c r="G165" s="34">
        <f t="shared" si="2"/>
        <v>1266.0237740514567</v>
      </c>
      <c r="H165" s="34">
        <f t="shared" si="2"/>
        <v>0</v>
      </c>
    </row>
    <row r="166" spans="1:8">
      <c r="A166" s="30" t="s">
        <v>43</v>
      </c>
      <c r="B166" s="5" t="s">
        <v>11</v>
      </c>
      <c r="C166" s="5"/>
      <c r="D166" s="34"/>
      <c r="E166" s="34">
        <f t="shared" si="2"/>
        <v>428.5714285714289</v>
      </c>
      <c r="F166" s="34">
        <f t="shared" si="2"/>
        <v>0</v>
      </c>
      <c r="G166" s="34">
        <f t="shared" si="2"/>
        <v>0</v>
      </c>
      <c r="H166" s="34">
        <f t="shared" si="2"/>
        <v>0</v>
      </c>
    </row>
    <row r="167" spans="1:8">
      <c r="A167" s="30" t="s">
        <v>85</v>
      </c>
      <c r="B167" s="5" t="s">
        <v>46</v>
      </c>
      <c r="C167" s="5"/>
      <c r="D167" s="34"/>
      <c r="E167" s="34">
        <f t="shared" si="2"/>
        <v>-58.428571428570649</v>
      </c>
      <c r="F167" s="34">
        <f t="shared" si="2"/>
        <v>0</v>
      </c>
      <c r="G167" s="34">
        <f t="shared" si="2"/>
        <v>0</v>
      </c>
      <c r="H167" s="34">
        <f t="shared" si="2"/>
        <v>0</v>
      </c>
    </row>
    <row r="168" spans="1:8">
      <c r="A168" s="30" t="s">
        <v>86</v>
      </c>
      <c r="B168" s="5" t="s">
        <v>46</v>
      </c>
      <c r="C168" s="24"/>
      <c r="D168" s="34"/>
      <c r="E168" s="34">
        <f t="shared" si="2"/>
        <v>-21.154517064462198</v>
      </c>
      <c r="F168" s="34">
        <f t="shared" si="2"/>
        <v>0</v>
      </c>
      <c r="G168" s="34">
        <f t="shared" si="2"/>
        <v>0</v>
      </c>
      <c r="H168" s="34">
        <f t="shared" si="2"/>
        <v>0</v>
      </c>
    </row>
    <row r="169" spans="1:8">
      <c r="A169" s="30" t="s">
        <v>299</v>
      </c>
      <c r="B169" s="5" t="s">
        <v>46</v>
      </c>
      <c r="C169" s="5"/>
      <c r="D169" s="33"/>
      <c r="E169" s="33">
        <f t="shared" si="2"/>
        <v>-528.68510476190477</v>
      </c>
      <c r="F169" s="33">
        <f t="shared" si="2"/>
        <v>57.590260620084791</v>
      </c>
      <c r="G169" s="33">
        <f t="shared" si="2"/>
        <v>26.296001131523326</v>
      </c>
      <c r="H169" s="33">
        <f t="shared" si="2"/>
        <v>0</v>
      </c>
    </row>
    <row r="170" spans="1:8">
      <c r="A170" s="30" t="s">
        <v>87</v>
      </c>
      <c r="B170" s="5" t="s">
        <v>46</v>
      </c>
      <c r="C170" s="24"/>
      <c r="D170" s="34"/>
      <c r="E170" s="34">
        <f t="shared" si="2"/>
        <v>0</v>
      </c>
      <c r="F170" s="34">
        <f t="shared" si="2"/>
        <v>-75.178315273478802</v>
      </c>
      <c r="G170" s="34">
        <f t="shared" si="2"/>
        <v>599.56024677680762</v>
      </c>
      <c r="H170" s="34">
        <f t="shared" si="2"/>
        <v>0</v>
      </c>
    </row>
    <row r="171" spans="1:8">
      <c r="A171" s="30" t="s">
        <v>352</v>
      </c>
      <c r="B171" s="5" t="s">
        <v>46</v>
      </c>
      <c r="C171" s="5"/>
      <c r="D171" s="34"/>
      <c r="E171" s="34">
        <f t="shared" si="2"/>
        <v>0</v>
      </c>
      <c r="F171" s="34">
        <f t="shared" si="2"/>
        <v>0</v>
      </c>
      <c r="G171" s="34">
        <f t="shared" si="2"/>
        <v>0</v>
      </c>
      <c r="H171" s="34">
        <f t="shared" si="2"/>
        <v>0</v>
      </c>
    </row>
    <row r="172" spans="1:8">
      <c r="A172" s="30" t="s">
        <v>353</v>
      </c>
      <c r="B172" s="5" t="s">
        <v>46</v>
      </c>
      <c r="C172" s="5"/>
      <c r="D172" s="34"/>
      <c r="E172" s="34">
        <f t="shared" si="2"/>
        <v>608.26819325493773</v>
      </c>
      <c r="F172" s="34">
        <f t="shared" si="2"/>
        <v>17.588054653393783</v>
      </c>
      <c r="G172" s="34">
        <f t="shared" si="2"/>
        <v>-625.85624790833151</v>
      </c>
      <c r="H172" s="34">
        <f t="shared" si="2"/>
        <v>0</v>
      </c>
    </row>
    <row r="173" spans="1:8" ht="16.5" thickBot="1">
      <c r="A173" s="35" t="s">
        <v>103</v>
      </c>
      <c r="B173" s="36" t="s">
        <v>46</v>
      </c>
      <c r="C173" s="36"/>
      <c r="D173" s="40"/>
      <c r="E173" s="37">
        <f t="shared" si="2"/>
        <v>528.68510476190488</v>
      </c>
      <c r="F173" s="37">
        <f t="shared" si="2"/>
        <v>0</v>
      </c>
      <c r="G173" s="37">
        <f t="shared" si="2"/>
        <v>0</v>
      </c>
      <c r="H173" s="37">
        <f t="shared" si="2"/>
        <v>0</v>
      </c>
    </row>
    <row r="176" spans="1:8">
      <c r="D176" s="41" t="s">
        <v>65</v>
      </c>
      <c r="E176" s="42">
        <v>0</v>
      </c>
    </row>
    <row r="179" spans="4:7">
      <c r="D179" s="9" t="s">
        <v>50</v>
      </c>
      <c r="E179" s="43" t="s">
        <v>98</v>
      </c>
      <c r="F179" s="44" t="s">
        <v>13</v>
      </c>
    </row>
    <row r="180" spans="4:7" ht="17.25">
      <c r="D180" s="4" t="s">
        <v>371</v>
      </c>
      <c r="E180" s="23">
        <f>D149</f>
        <v>2428.5714285714284</v>
      </c>
      <c r="F180" s="5" t="s">
        <v>11</v>
      </c>
    </row>
    <row r="181" spans="4:7">
      <c r="D181" s="4" t="s">
        <v>73</v>
      </c>
      <c r="E181" s="23">
        <f>E149</f>
        <v>2857.1428571428573</v>
      </c>
      <c r="F181" s="5" t="s">
        <v>11</v>
      </c>
    </row>
    <row r="182" spans="4:7">
      <c r="D182" s="4" t="s">
        <v>52</v>
      </c>
      <c r="E182" s="22">
        <f>E$91</f>
        <v>25453.600654628579</v>
      </c>
      <c r="F182" s="5" t="s">
        <v>11</v>
      </c>
      <c r="G182" s="22"/>
    </row>
    <row r="183" spans="4:7">
      <c r="D183" s="41" t="s">
        <v>53</v>
      </c>
      <c r="E183" s="42">
        <f>((E181/E180)-1)*E180/E182</f>
        <v>1.6837359648505981E-2</v>
      </c>
    </row>
    <row r="185" spans="4:7">
      <c r="D185" s="10"/>
      <c r="E185" s="10"/>
    </row>
    <row r="186" spans="4:7">
      <c r="D186" s="10"/>
      <c r="E186" s="10"/>
    </row>
    <row r="187" spans="4:7">
      <c r="D187" s="9" t="s">
        <v>50</v>
      </c>
      <c r="E187" s="43" t="s">
        <v>98</v>
      </c>
      <c r="F187" s="44" t="s">
        <v>13</v>
      </c>
    </row>
    <row r="188" spans="4:7" ht="17.25">
      <c r="D188" s="4" t="s">
        <v>373</v>
      </c>
      <c r="E188" s="22">
        <f>D151</f>
        <v>2730.8485424875657</v>
      </c>
      <c r="F188" s="5" t="s">
        <v>46</v>
      </c>
    </row>
    <row r="189" spans="4:7">
      <c r="D189" s="4" t="s">
        <v>284</v>
      </c>
      <c r="E189" s="22">
        <f>E151</f>
        <v>2709.6940254231035</v>
      </c>
      <c r="F189" s="5" t="s">
        <v>46</v>
      </c>
    </row>
    <row r="190" spans="4:7">
      <c r="D190" s="4" t="s">
        <v>54</v>
      </c>
      <c r="E190" s="19">
        <f>D$144</f>
        <v>3.2380660967337476</v>
      </c>
      <c r="F190" s="5" t="s">
        <v>10</v>
      </c>
    </row>
    <row r="191" spans="4:7">
      <c r="D191" s="4" t="s">
        <v>52</v>
      </c>
      <c r="E191" s="22">
        <f>E$91</f>
        <v>25453.600654628579</v>
      </c>
      <c r="F191" s="5" t="s">
        <v>11</v>
      </c>
    </row>
    <row r="192" spans="4:7">
      <c r="D192" s="41" t="s">
        <v>285</v>
      </c>
      <c r="E192" s="42">
        <f>((E189/E188)-1)*E188*E190/E191</f>
        <v>-2.6911604935058431E-3</v>
      </c>
    </row>
    <row r="193" spans="4:6">
      <c r="D193" s="10"/>
      <c r="E193" s="45"/>
    </row>
    <row r="194" spans="4:6">
      <c r="D194" s="9" t="s">
        <v>50</v>
      </c>
      <c r="E194" s="43" t="s">
        <v>98</v>
      </c>
      <c r="F194" s="44" t="s">
        <v>13</v>
      </c>
    </row>
    <row r="195" spans="4:6">
      <c r="D195" s="4" t="s">
        <v>109</v>
      </c>
      <c r="E195" s="11">
        <f>H145</f>
        <v>42</v>
      </c>
      <c r="F195" s="5" t="s">
        <v>22</v>
      </c>
    </row>
    <row r="196" spans="4:6" ht="17.25">
      <c r="D196" s="4" t="s">
        <v>374</v>
      </c>
      <c r="E196" s="11">
        <f>D145</f>
        <v>25</v>
      </c>
      <c r="F196" s="5" t="s">
        <v>22</v>
      </c>
    </row>
    <row r="197" spans="4:6" ht="17.25">
      <c r="D197" s="4" t="s">
        <v>378</v>
      </c>
      <c r="E197" s="23">
        <f>D147</f>
        <v>12416</v>
      </c>
      <c r="F197" s="5" t="s">
        <v>41</v>
      </c>
    </row>
    <row r="198" spans="4:6">
      <c r="D198" s="4" t="s">
        <v>379</v>
      </c>
      <c r="E198" s="23">
        <f>F147</f>
        <v>13335.692374921506</v>
      </c>
      <c r="F198" s="5" t="s">
        <v>41</v>
      </c>
    </row>
    <row r="199" spans="4:6">
      <c r="D199" s="41" t="s">
        <v>56</v>
      </c>
      <c r="E199" s="42">
        <f>((E198/E197)-1) / ((E195/E196)-1)</f>
        <v>0.10893112005873651</v>
      </c>
    </row>
    <row r="202" spans="4:6">
      <c r="D202" s="9" t="s">
        <v>50</v>
      </c>
      <c r="E202" s="43" t="s">
        <v>98</v>
      </c>
      <c r="F202" s="44" t="s">
        <v>13</v>
      </c>
    </row>
    <row r="203" spans="4:6">
      <c r="D203" s="4" t="s">
        <v>109</v>
      </c>
      <c r="E203" s="11">
        <f>H145</f>
        <v>42</v>
      </c>
      <c r="F203" s="5" t="s">
        <v>22</v>
      </c>
    </row>
    <row r="204" spans="4:6" ht="17.25">
      <c r="D204" s="4" t="s">
        <v>374</v>
      </c>
      <c r="E204" s="11">
        <f>D145</f>
        <v>25</v>
      </c>
      <c r="F204" s="5" t="s">
        <v>22</v>
      </c>
    </row>
    <row r="205" spans="4:6" ht="17.25">
      <c r="D205" s="4" t="s">
        <v>375</v>
      </c>
      <c r="E205" s="22">
        <f>D153</f>
        <v>19115.099518867752</v>
      </c>
      <c r="F205" s="5" t="s">
        <v>46</v>
      </c>
    </row>
    <row r="206" spans="4:6" ht="17.25">
      <c r="D206" s="4" t="s">
        <v>377</v>
      </c>
      <c r="E206" s="22">
        <f>F153</f>
        <v>19039.921203594273</v>
      </c>
      <c r="F206" s="5" t="s">
        <v>46</v>
      </c>
    </row>
    <row r="207" spans="4:6">
      <c r="D207" s="4" t="s">
        <v>54</v>
      </c>
      <c r="E207" s="19">
        <f>D$144</f>
        <v>3.2380660967337476</v>
      </c>
      <c r="F207" s="5" t="s">
        <v>10</v>
      </c>
    </row>
    <row r="208" spans="4:6" ht="17.25">
      <c r="D208" s="4" t="s">
        <v>376</v>
      </c>
      <c r="E208" s="22">
        <f>D148</f>
        <v>62885.366323200004</v>
      </c>
      <c r="F208" s="5" t="s">
        <v>11</v>
      </c>
    </row>
    <row r="209" spans="4:6">
      <c r="D209" s="41" t="s">
        <v>57</v>
      </c>
      <c r="E209" s="42">
        <f>(((E206/E205)-1)/((E203/E204)-1))*(E203/E204)*(E205*E207/E208)</f>
        <v>-9.5637688828257642E-3</v>
      </c>
    </row>
    <row r="213" spans="4:6">
      <c r="D213" s="9" t="s">
        <v>50</v>
      </c>
      <c r="E213" s="43" t="s">
        <v>98</v>
      </c>
      <c r="F213" s="44" t="s">
        <v>13</v>
      </c>
    </row>
    <row r="214" spans="4:6">
      <c r="D214" s="4" t="s">
        <v>74</v>
      </c>
      <c r="E214" s="23">
        <f>F155</f>
        <v>625.85624790833151</v>
      </c>
      <c r="F214" s="5" t="s">
        <v>46</v>
      </c>
    </row>
    <row r="215" spans="4:6">
      <c r="D215" s="71" t="s">
        <v>355</v>
      </c>
      <c r="E215" s="23">
        <f>E105</f>
        <v>19874.98955945245</v>
      </c>
      <c r="F215" s="13" t="s">
        <v>46</v>
      </c>
    </row>
    <row r="216" spans="4:6">
      <c r="D216" s="4" t="str">
        <f>D38</f>
        <v>epsilon_{q_s,M}</v>
      </c>
      <c r="E216" s="10">
        <f>E38</f>
        <v>1</v>
      </c>
      <c r="F216" s="71"/>
    </row>
    <row r="217" spans="4:6" ht="17.25">
      <c r="D217" s="4" t="s">
        <v>378</v>
      </c>
      <c r="E217" s="23">
        <f>D147</f>
        <v>12416</v>
      </c>
      <c r="F217" s="5" t="s">
        <v>41</v>
      </c>
    </row>
    <row r="218" spans="4:6">
      <c r="D218" s="4" t="s">
        <v>379</v>
      </c>
      <c r="E218" s="23">
        <f>F147</f>
        <v>13335.692374921506</v>
      </c>
      <c r="F218" s="5" t="s">
        <v>41</v>
      </c>
    </row>
    <row r="219" spans="4:6">
      <c r="D219" s="4" t="s">
        <v>109</v>
      </c>
      <c r="E219" s="11">
        <f>H145</f>
        <v>42</v>
      </c>
      <c r="F219" s="5" t="s">
        <v>22</v>
      </c>
    </row>
    <row r="220" spans="4:6" ht="17.25">
      <c r="D220" s="4" t="s">
        <v>374</v>
      </c>
      <c r="E220" s="11">
        <f>D145</f>
        <v>25</v>
      </c>
      <c r="F220" s="5" t="s">
        <v>22</v>
      </c>
    </row>
    <row r="221" spans="4:6">
      <c r="D221" s="41" t="s">
        <v>59</v>
      </c>
      <c r="E221" s="42">
        <f>(((1+E214/E215)^E216)-1)*(E218/E217)/(E219/E220-1)</f>
        <v>4.973849441694804E-2</v>
      </c>
    </row>
    <row r="226" spans="4:6">
      <c r="D226" s="9" t="s">
        <v>50</v>
      </c>
      <c r="E226" s="43" t="s">
        <v>98</v>
      </c>
      <c r="F226" s="44" t="s">
        <v>13</v>
      </c>
    </row>
    <row r="227" spans="4:6">
      <c r="D227" s="4" t="s">
        <v>80</v>
      </c>
      <c r="E227" s="22">
        <f>G170</f>
        <v>599.56024677680762</v>
      </c>
      <c r="F227" s="5" t="s">
        <v>60</v>
      </c>
    </row>
    <row r="228" spans="4:6">
      <c r="D228" s="4" t="s">
        <v>54</v>
      </c>
      <c r="E228" s="19">
        <f>D$144</f>
        <v>3.2380660967337476</v>
      </c>
      <c r="F228" s="5" t="s">
        <v>10</v>
      </c>
    </row>
    <row r="229" spans="4:6">
      <c r="D229" s="4" t="s">
        <v>52</v>
      </c>
      <c r="E229" s="22">
        <f>E$91</f>
        <v>25453.600654628579</v>
      </c>
      <c r="F229" s="33" t="str">
        <f>F191</f>
        <v>MJ/yr</v>
      </c>
    </row>
    <row r="230" spans="4:6">
      <c r="D230" s="41" t="s">
        <v>61</v>
      </c>
      <c r="E230" s="134">
        <f>E227*E228/E229</f>
        <v>7.6272733841460091E-2</v>
      </c>
    </row>
    <row r="232" spans="4:6">
      <c r="D232" s="9" t="s">
        <v>50</v>
      </c>
      <c r="E232" s="43" t="s">
        <v>98</v>
      </c>
      <c r="F232" s="44" t="s">
        <v>13</v>
      </c>
    </row>
    <row r="233" spans="4:6">
      <c r="D233" s="4" t="str">
        <f>D214</f>
        <v>Ndot_hat</v>
      </c>
      <c r="E233" s="23">
        <f>E214</f>
        <v>625.85624790833151</v>
      </c>
      <c r="F233" s="5" t="s">
        <v>46</v>
      </c>
    </row>
    <row r="234" spans="4:6">
      <c r="D234" s="4" t="str">
        <f>D215</f>
        <v>Mdot_prime_hat</v>
      </c>
      <c r="E234" s="23">
        <f>E215</f>
        <v>19874.98955945245</v>
      </c>
      <c r="F234" s="13" t="s">
        <v>46</v>
      </c>
    </row>
    <row r="235" spans="4:6">
      <c r="D235" s="4" t="s">
        <v>296</v>
      </c>
      <c r="E235" s="23">
        <f>E39</f>
        <v>1</v>
      </c>
      <c r="F235" s="71"/>
    </row>
    <row r="236" spans="4:6">
      <c r="D236" s="4" t="str">
        <f>D219</f>
        <v>eta_tilde</v>
      </c>
      <c r="E236" s="23">
        <f>E219</f>
        <v>42</v>
      </c>
      <c r="F236" s="5" t="s">
        <v>22</v>
      </c>
    </row>
    <row r="237" spans="4:6" ht="17.25">
      <c r="D237" s="4" t="s">
        <v>374</v>
      </c>
      <c r="E237" s="23">
        <f>E220</f>
        <v>25</v>
      </c>
      <c r="F237" s="5" t="s">
        <v>22</v>
      </c>
    </row>
    <row r="238" spans="4:6">
      <c r="D238" s="4" t="s">
        <v>300</v>
      </c>
      <c r="E238" s="23">
        <f>E109</f>
        <v>19115.099518867752</v>
      </c>
      <c r="F238" s="5" t="s">
        <v>60</v>
      </c>
    </row>
    <row r="239" spans="4:6">
      <c r="D239" s="4" t="s">
        <v>384</v>
      </c>
      <c r="E239" s="23">
        <f>F153</f>
        <v>19039.921203594273</v>
      </c>
      <c r="F239" s="5" t="s">
        <v>60</v>
      </c>
    </row>
    <row r="240" spans="4:6">
      <c r="D240" s="4" t="str">
        <f>D228</f>
        <v>I_E</v>
      </c>
      <c r="E240" s="72">
        <f>E228</f>
        <v>3.2380660967337476</v>
      </c>
      <c r="F240" s="5" t="s">
        <v>10</v>
      </c>
    </row>
    <row r="241" spans="4:8">
      <c r="D241" s="4" t="s">
        <v>356</v>
      </c>
      <c r="E241" s="23">
        <f>D148</f>
        <v>62885.366323200004</v>
      </c>
      <c r="F241" s="33" t="s">
        <v>11</v>
      </c>
    </row>
    <row r="242" spans="4:8">
      <c r="D242" s="41" t="s">
        <v>61</v>
      </c>
      <c r="E242" s="134">
        <f>((1 + E233/E234)^E235 - 1) / (E236/E237 - 1) * E236/E237 * E239 * E240 / E241</f>
        <v>7.6272733841460341E-2</v>
      </c>
    </row>
    <row r="245" spans="4:8">
      <c r="D245" s="9" t="s">
        <v>50</v>
      </c>
      <c r="E245" s="43" t="s">
        <v>98</v>
      </c>
      <c r="F245" s="44" t="s">
        <v>13</v>
      </c>
    </row>
    <row r="246" spans="4:8">
      <c r="D246" s="4" t="s">
        <v>112</v>
      </c>
      <c r="E246" s="22">
        <f>E167</f>
        <v>-58.428571428570649</v>
      </c>
      <c r="F246" s="5" t="s">
        <v>46</v>
      </c>
    </row>
    <row r="247" spans="4:8">
      <c r="D247" s="4" t="s">
        <v>54</v>
      </c>
      <c r="E247" s="19">
        <f>D$144</f>
        <v>3.2380660967337476</v>
      </c>
      <c r="F247" s="5" t="str">
        <f>F228</f>
        <v>MJ/$</v>
      </c>
    </row>
    <row r="248" spans="4:8">
      <c r="D248" s="4" t="s">
        <v>52</v>
      </c>
      <c r="E248" s="22">
        <f>E$91</f>
        <v>25453.600654628579</v>
      </c>
      <c r="F248" s="33" t="str">
        <f>F229</f>
        <v>MJ/yr</v>
      </c>
    </row>
    <row r="249" spans="4:8">
      <c r="D249" s="41" t="s">
        <v>64</v>
      </c>
      <c r="E249" s="42">
        <f>E246*E247/E248</f>
        <v>-7.4329592418209281E-3</v>
      </c>
      <c r="F249" s="46"/>
    </row>
    <row r="250" spans="4:8">
      <c r="F250" s="46"/>
    </row>
    <row r="251" spans="4:8">
      <c r="F251" s="46"/>
    </row>
    <row r="252" spans="4:8">
      <c r="D252" s="9" t="s">
        <v>50</v>
      </c>
      <c r="E252" s="43" t="s">
        <v>98</v>
      </c>
      <c r="F252" s="44" t="s">
        <v>13</v>
      </c>
    </row>
    <row r="253" spans="4:8">
      <c r="D253" s="4" t="s">
        <v>62</v>
      </c>
      <c r="E253" s="52">
        <f>B3</f>
        <v>1</v>
      </c>
      <c r="G253" s="7" t="s">
        <v>184</v>
      </c>
    </row>
    <row r="254" spans="4:8">
      <c r="D254" s="4" t="s">
        <v>159</v>
      </c>
      <c r="E254" s="23">
        <f>E155</f>
        <v>608.26819325493773</v>
      </c>
      <c r="F254" s="5" t="s">
        <v>60</v>
      </c>
      <c r="G254" s="10" t="s">
        <v>179</v>
      </c>
      <c r="H254" s="62">
        <f>E253*E67</f>
        <v>6.7256390826825996E-2</v>
      </c>
    </row>
    <row r="255" spans="4:8">
      <c r="D255" s="4" t="s">
        <v>54</v>
      </c>
      <c r="E255" s="19">
        <f>D$144</f>
        <v>3.2380660967337476</v>
      </c>
      <c r="F255" s="61" t="str">
        <f>F228</f>
        <v>MJ/$</v>
      </c>
      <c r="G255" s="10" t="s">
        <v>180</v>
      </c>
      <c r="H255" s="62">
        <f>-E253*E249</f>
        <v>7.4329592418209281E-3</v>
      </c>
    </row>
    <row r="256" spans="4:8">
      <c r="D256" s="4" t="s">
        <v>52</v>
      </c>
      <c r="E256" s="22">
        <f>E$91</f>
        <v>25453.600654628579</v>
      </c>
      <c r="F256" s="61" t="str">
        <f>F229</f>
        <v>MJ/yr</v>
      </c>
      <c r="G256" s="10" t="s">
        <v>286</v>
      </c>
      <c r="H256" s="62">
        <f>-E253*E192</f>
        <v>2.6911604935058431E-3</v>
      </c>
    </row>
    <row r="257" spans="1:8">
      <c r="D257" s="41" t="s">
        <v>437</v>
      </c>
      <c r="E257" s="42">
        <f>E253*E254*E255/E256</f>
        <v>7.7380510562152754E-2</v>
      </c>
      <c r="G257" s="41" t="s">
        <v>437</v>
      </c>
      <c r="H257" s="42">
        <f>SUM(H254:H256)</f>
        <v>7.7380510562152768E-2</v>
      </c>
    </row>
    <row r="259" spans="1:8">
      <c r="F259" s="46"/>
    </row>
    <row r="260" spans="1:8">
      <c r="A260" s="9" t="s">
        <v>185</v>
      </c>
      <c r="D260" s="9" t="s">
        <v>50</v>
      </c>
      <c r="E260" s="43" t="s">
        <v>98</v>
      </c>
    </row>
    <row r="261" spans="1:8">
      <c r="A261" s="214" t="s">
        <v>438</v>
      </c>
      <c r="B261" s="214"/>
      <c r="C261" s="214"/>
      <c r="D261" s="4" t="s">
        <v>53</v>
      </c>
      <c r="E261" s="45">
        <f>E$183</f>
        <v>1.6837359648505981E-2</v>
      </c>
    </row>
    <row r="262" spans="1:8">
      <c r="D262" s="4" t="s">
        <v>285</v>
      </c>
      <c r="E262" s="45">
        <f>E$192</f>
        <v>-2.6911604935058431E-3</v>
      </c>
    </row>
    <row r="263" spans="1:8">
      <c r="D263" s="4" t="s">
        <v>56</v>
      </c>
      <c r="E263" s="45">
        <f>E$199</f>
        <v>0.10893112005873651</v>
      </c>
    </row>
    <row r="264" spans="1:8">
      <c r="D264" s="4" t="s">
        <v>57</v>
      </c>
      <c r="E264" s="45">
        <f>E$209</f>
        <v>-9.5637688828257642E-3</v>
      </c>
    </row>
    <row r="265" spans="1:8">
      <c r="D265" s="4" t="s">
        <v>59</v>
      </c>
      <c r="E265" s="45">
        <f>E$221</f>
        <v>4.973849441694804E-2</v>
      </c>
    </row>
    <row r="266" spans="1:8">
      <c r="D266" s="4" t="s">
        <v>61</v>
      </c>
      <c r="E266" s="45">
        <f>E230</f>
        <v>7.6272733841460091E-2</v>
      </c>
    </row>
    <row r="267" spans="1:8">
      <c r="D267" s="4" t="s">
        <v>437</v>
      </c>
      <c r="E267" s="45">
        <f>E257</f>
        <v>7.7380510562152754E-2</v>
      </c>
    </row>
    <row r="268" spans="1:8">
      <c r="D268" s="41" t="s">
        <v>171</v>
      </c>
      <c r="E268" s="42">
        <f>SUM(E261:E267)</f>
        <v>0.31690528915147176</v>
      </c>
      <c r="F268" s="26"/>
    </row>
    <row r="269" spans="1:8">
      <c r="B269" s="9"/>
    </row>
    <row r="270" spans="1:8">
      <c r="A270" s="9" t="s">
        <v>186</v>
      </c>
      <c r="D270" s="9" t="s">
        <v>50</v>
      </c>
      <c r="E270" s="43" t="s">
        <v>98</v>
      </c>
      <c r="F270" s="44"/>
    </row>
    <row r="271" spans="1:8">
      <c r="D271" s="4" t="s">
        <v>62</v>
      </c>
      <c r="E271" s="19">
        <f>B3</f>
        <v>1</v>
      </c>
    </row>
    <row r="272" spans="1:8">
      <c r="D272" s="4" t="s">
        <v>53</v>
      </c>
      <c r="E272" s="49">
        <f>E183</f>
        <v>1.6837359648505981E-2</v>
      </c>
    </row>
    <row r="273" spans="1:8">
      <c r="D273" s="4" t="s">
        <v>443</v>
      </c>
      <c r="E273" s="50">
        <f>E271*E67</f>
        <v>6.7256390826825996E-2</v>
      </c>
    </row>
    <row r="274" spans="1:8">
      <c r="D274" s="4" t="s">
        <v>440</v>
      </c>
      <c r="E274" s="50">
        <f>-E271*E249</f>
        <v>7.4329592418209281E-3</v>
      </c>
    </row>
    <row r="275" spans="1:8">
      <c r="D275" s="4" t="s">
        <v>439</v>
      </c>
      <c r="E275" s="50">
        <f>(1-E271)*E192</f>
        <v>0</v>
      </c>
    </row>
    <row r="276" spans="1:8">
      <c r="D276" s="4" t="s">
        <v>503</v>
      </c>
      <c r="E276" s="50">
        <f>E199</f>
        <v>0.10893112005873651</v>
      </c>
    </row>
    <row r="277" spans="1:8">
      <c r="D277" s="4" t="s">
        <v>504</v>
      </c>
      <c r="E277" s="50">
        <f>E209</f>
        <v>-9.5637688828257642E-3</v>
      </c>
    </row>
    <row r="278" spans="1:8">
      <c r="D278" s="4" t="s">
        <v>441</v>
      </c>
      <c r="E278" s="49">
        <f>E221</f>
        <v>4.973849441694804E-2</v>
      </c>
    </row>
    <row r="279" spans="1:8">
      <c r="C279" s="49"/>
      <c r="D279" s="4" t="s">
        <v>442</v>
      </c>
      <c r="E279" s="49">
        <f>E242</f>
        <v>7.6272733841460341E-2</v>
      </c>
    </row>
    <row r="280" spans="1:8">
      <c r="C280" s="49"/>
      <c r="D280" s="41" t="s">
        <v>172</v>
      </c>
      <c r="E280" s="42">
        <f>SUM(E272:E279)</f>
        <v>0.31690528915147204</v>
      </c>
    </row>
    <row r="281" spans="1:8">
      <c r="A281" s="9" t="s">
        <v>444</v>
      </c>
    </row>
    <row r="282" spans="1:8">
      <c r="D282" s="9" t="s">
        <v>50</v>
      </c>
      <c r="E282" s="43" t="s">
        <v>98</v>
      </c>
    </row>
    <row r="283" spans="1:8">
      <c r="D283" s="4" t="s">
        <v>62</v>
      </c>
      <c r="E283" s="19">
        <f>E271</f>
        <v>1</v>
      </c>
    </row>
    <row r="284" spans="1:8">
      <c r="D284" s="4" t="s">
        <v>53</v>
      </c>
      <c r="E284" s="60">
        <f>E$183</f>
        <v>1.6837359648505981E-2</v>
      </c>
    </row>
    <row r="285" spans="1:8">
      <c r="D285" s="4" t="s">
        <v>180</v>
      </c>
      <c r="E285" s="60">
        <f>-E283*E249</f>
        <v>7.4329592418209281E-3</v>
      </c>
    </row>
    <row r="286" spans="1:8">
      <c r="D286" s="4" t="s">
        <v>357</v>
      </c>
      <c r="E286" s="60">
        <f>(1-E283)*E$192</f>
        <v>0</v>
      </c>
      <c r="H286" s="26"/>
    </row>
    <row r="287" spans="1:8">
      <c r="D287" s="4" t="s">
        <v>56</v>
      </c>
      <c r="E287" s="60">
        <f>E199</f>
        <v>0.10893112005873651</v>
      </c>
    </row>
    <row r="288" spans="1:8">
      <c r="D288" s="4" t="s">
        <v>57</v>
      </c>
      <c r="E288" s="45">
        <f>E$209</f>
        <v>-9.5637688828257642E-3</v>
      </c>
    </row>
    <row r="289" spans="1:16">
      <c r="D289" s="4" t="s">
        <v>359</v>
      </c>
      <c r="E289" s="60">
        <f>E221+E242</f>
        <v>0.12601122825840838</v>
      </c>
    </row>
    <row r="290" spans="1:16">
      <c r="D290" s="4" t="s">
        <v>358</v>
      </c>
      <c r="E290" s="49">
        <f>E283*E66*E55</f>
        <v>6.7256390826825996E-2</v>
      </c>
    </row>
    <row r="291" spans="1:16">
      <c r="D291" s="41" t="s">
        <v>360</v>
      </c>
      <c r="E291" s="42">
        <f>SUM(E284:E290)</f>
        <v>0.31690528915147204</v>
      </c>
    </row>
    <row r="292" spans="1:16" ht="16.5" thickBot="1"/>
    <row r="293" spans="1:16" ht="18.75">
      <c r="A293" s="47"/>
      <c r="B293" s="47"/>
      <c r="C293" s="47"/>
      <c r="D293" s="47"/>
      <c r="E293" s="47"/>
      <c r="F293" s="47"/>
      <c r="G293" s="47"/>
      <c r="H293" s="47"/>
      <c r="I293" s="47"/>
      <c r="J293" s="30" t="s">
        <v>136</v>
      </c>
    </row>
    <row r="294" spans="1:16" ht="18.75">
      <c r="A294" s="30" t="s">
        <v>110</v>
      </c>
      <c r="B294" s="30" t="s">
        <v>137</v>
      </c>
      <c r="C294" s="48">
        <f>E176</f>
        <v>0</v>
      </c>
      <c r="D294" s="30" t="s">
        <v>138</v>
      </c>
      <c r="E294" s="48">
        <f>E199</f>
        <v>0.10893112005873651</v>
      </c>
      <c r="F294" s="30" t="s">
        <v>139</v>
      </c>
      <c r="G294" s="48">
        <f>E221</f>
        <v>4.973849441694804E-2</v>
      </c>
      <c r="I294" s="49"/>
      <c r="J294" s="49">
        <f>SUM(C294:I294)</f>
        <v>0.15866961447568456</v>
      </c>
    </row>
    <row r="295" spans="1:16">
      <c r="A295" s="30"/>
      <c r="B295" s="30"/>
      <c r="C295" s="48"/>
      <c r="D295" s="30"/>
      <c r="E295" s="48"/>
      <c r="F295" s="4"/>
      <c r="G295" s="48"/>
      <c r="I295" s="49"/>
      <c r="J295" s="49"/>
    </row>
    <row r="296" spans="1:16" ht="18.75">
      <c r="A296" s="30" t="s">
        <v>111</v>
      </c>
      <c r="B296" s="30" t="s">
        <v>140</v>
      </c>
      <c r="C296" s="48">
        <f>E183</f>
        <v>1.6837359648505981E-2</v>
      </c>
      <c r="D296" s="30" t="s">
        <v>141</v>
      </c>
      <c r="E296" s="48">
        <f>E209</f>
        <v>-9.5637688828257642E-3</v>
      </c>
      <c r="F296" s="30" t="s">
        <v>142</v>
      </c>
      <c r="G296" s="48">
        <f>E230</f>
        <v>7.6272733841460091E-2</v>
      </c>
      <c r="H296" s="30" t="s">
        <v>505</v>
      </c>
      <c r="I296" s="48">
        <f>E257</f>
        <v>7.7380510562152754E-2</v>
      </c>
      <c r="J296" s="65">
        <f>SUM(C296:I297)</f>
        <v>0.15823567467578722</v>
      </c>
    </row>
    <row r="297" spans="1:16" ht="19.5" thickBot="1">
      <c r="A297" s="35"/>
      <c r="B297" s="35" t="s">
        <v>287</v>
      </c>
      <c r="C297" s="56">
        <f>E192</f>
        <v>-2.6911604935058431E-3</v>
      </c>
      <c r="D297" s="35"/>
      <c r="E297" s="56"/>
      <c r="F297" s="35"/>
      <c r="G297" s="56"/>
      <c r="H297" s="35"/>
      <c r="I297" s="56"/>
      <c r="K297" s="49">
        <f>SUM(J294:J297)</f>
        <v>0.31690528915147176</v>
      </c>
    </row>
    <row r="298" spans="1:16">
      <c r="A298" s="30" t="s">
        <v>117</v>
      </c>
      <c r="C298" s="48">
        <f>SUM(C294:C297)</f>
        <v>1.4146199155000138E-2</v>
      </c>
      <c r="D298" s="5"/>
      <c r="E298" s="48">
        <f>SUM(E294:E297)</f>
        <v>9.9367351175910751E-2</v>
      </c>
      <c r="G298" s="48">
        <f>SUM(G294:G297)</f>
        <v>0.12601122825840813</v>
      </c>
      <c r="H298" s="5"/>
      <c r="I298" s="48">
        <f>SUM(I296:I297)</f>
        <v>7.7380510562152754E-2</v>
      </c>
      <c r="J298" s="50">
        <f>SUM(C298:I298)</f>
        <v>0.31690528915147176</v>
      </c>
    </row>
    <row r="301" spans="1:16" s="2" customFormat="1">
      <c r="A301" s="9" t="s">
        <v>231</v>
      </c>
      <c r="B301" s="9"/>
      <c r="C301" s="9"/>
      <c r="D301" s="9"/>
      <c r="E301" s="9"/>
      <c r="F301" s="44"/>
      <c r="G301" s="9"/>
      <c r="H301" s="9"/>
      <c r="I301" s="9"/>
      <c r="J301" s="9"/>
      <c r="K301" s="9"/>
      <c r="L301" s="9"/>
      <c r="M301" s="9"/>
      <c r="N301" s="9"/>
      <c r="O301" s="9"/>
      <c r="P301" s="9"/>
    </row>
    <row r="302" spans="1:16">
      <c r="A302" s="4" t="s">
        <v>392</v>
      </c>
      <c r="B302" s="82">
        <f>B383</f>
        <v>35460</v>
      </c>
      <c r="C302" s="4" t="s">
        <v>164</v>
      </c>
      <c r="G302" s="5"/>
    </row>
    <row r="303" spans="1:16">
      <c r="A303" s="4" t="s">
        <v>393</v>
      </c>
      <c r="B303" s="83">
        <v>14</v>
      </c>
      <c r="C303" s="4" t="s">
        <v>69</v>
      </c>
      <c r="G303" s="5"/>
    </row>
    <row r="304" spans="1:16">
      <c r="A304" s="4" t="s">
        <v>394</v>
      </c>
      <c r="B304" s="83">
        <f>A333</f>
        <v>25</v>
      </c>
      <c r="C304" s="4" t="s">
        <v>22</v>
      </c>
      <c r="G304" s="5" t="s">
        <v>403</v>
      </c>
    </row>
    <row r="305" spans="1:10">
      <c r="A305" s="4" t="s">
        <v>395</v>
      </c>
      <c r="B305" s="82">
        <v>34000</v>
      </c>
      <c r="C305" s="4" t="s">
        <v>66</v>
      </c>
      <c r="G305" s="5"/>
    </row>
    <row r="306" spans="1:10">
      <c r="A306" s="4" t="s">
        <v>396</v>
      </c>
      <c r="B306" s="82">
        <f>C383</f>
        <v>35255</v>
      </c>
      <c r="C306" s="4" t="s">
        <v>164</v>
      </c>
      <c r="G306" s="5"/>
    </row>
    <row r="307" spans="1:10">
      <c r="A307" s="26" t="s">
        <v>397</v>
      </c>
      <c r="B307" s="83">
        <v>14</v>
      </c>
      <c r="C307" s="4" t="s">
        <v>69</v>
      </c>
      <c r="E307" s="26"/>
      <c r="G307" s="5"/>
    </row>
    <row r="308" spans="1:10">
      <c r="A308" s="26" t="s">
        <v>398</v>
      </c>
      <c r="B308" s="83">
        <f>E333</f>
        <v>42</v>
      </c>
      <c r="C308" s="4" t="s">
        <v>22</v>
      </c>
      <c r="E308" s="26"/>
      <c r="G308" s="5"/>
    </row>
    <row r="309" spans="1:10">
      <c r="A309" s="4" t="s">
        <v>399</v>
      </c>
      <c r="B309" s="82">
        <v>40000</v>
      </c>
      <c r="C309" s="4" t="s">
        <v>66</v>
      </c>
      <c r="D309" s="4" t="s">
        <v>326</v>
      </c>
      <c r="G309" s="5"/>
    </row>
    <row r="310" spans="1:10">
      <c r="A310" s="4" t="s">
        <v>166</v>
      </c>
      <c r="B310" s="82">
        <f>B323</f>
        <v>12416</v>
      </c>
      <c r="C310" s="4" t="s">
        <v>167</v>
      </c>
      <c r="G310" s="5"/>
    </row>
    <row r="311" spans="1:10">
      <c r="B311" s="22"/>
      <c r="D311" s="84"/>
    </row>
    <row r="314" spans="1:10">
      <c r="A314" s="9" t="s">
        <v>229</v>
      </c>
    </row>
    <row r="315" spans="1:10">
      <c r="A315" s="4" t="s">
        <v>224</v>
      </c>
      <c r="B315" s="4" t="s">
        <v>225</v>
      </c>
    </row>
    <row r="316" spans="1:10">
      <c r="B316" s="4" t="s">
        <v>230</v>
      </c>
    </row>
    <row r="318" spans="1:10">
      <c r="A318" s="9" t="s">
        <v>226</v>
      </c>
    </row>
    <row r="319" spans="1:10">
      <c r="B319" s="4" t="s">
        <v>216</v>
      </c>
      <c r="C319" s="4" t="s">
        <v>217</v>
      </c>
      <c r="D319" s="84" t="s">
        <v>215</v>
      </c>
    </row>
    <row r="320" spans="1:10">
      <c r="J320" s="84"/>
    </row>
    <row r="321" spans="1:10">
      <c r="A321" s="9" t="s">
        <v>227</v>
      </c>
      <c r="H321" s="4" t="s">
        <v>422</v>
      </c>
      <c r="I321" s="22">
        <v>190625023</v>
      </c>
      <c r="J321" s="4">
        <f>I321/I322</f>
        <v>0.86070605755887586</v>
      </c>
    </row>
    <row r="322" spans="1:10">
      <c r="B322" s="22">
        <v>13476</v>
      </c>
      <c r="C322" s="4" t="s">
        <v>219</v>
      </c>
      <c r="D322" s="84" t="s">
        <v>218</v>
      </c>
      <c r="H322" s="4" t="s">
        <v>423</v>
      </c>
      <c r="I322" s="22">
        <v>221475173</v>
      </c>
    </row>
    <row r="323" spans="1:10">
      <c r="B323" s="22">
        <v>12416</v>
      </c>
      <c r="C323" s="4" t="s">
        <v>331</v>
      </c>
      <c r="D323" s="84"/>
      <c r="H323" s="4" t="s">
        <v>424</v>
      </c>
      <c r="I323" s="22">
        <v>14425</v>
      </c>
    </row>
    <row r="324" spans="1:10">
      <c r="H324" s="4" t="s">
        <v>425</v>
      </c>
      <c r="I324" s="150">
        <f>I323*I321/I322</f>
        <v>12415.684880286784</v>
      </c>
    </row>
    <row r="325" spans="1:10">
      <c r="A325" s="9" t="s">
        <v>228</v>
      </c>
    </row>
    <row r="327" spans="1:10">
      <c r="A327" s="84"/>
      <c r="D327" s="84"/>
    </row>
    <row r="329" spans="1:10">
      <c r="A329" s="9" t="s">
        <v>388</v>
      </c>
      <c r="D329" s="9" t="s">
        <v>389</v>
      </c>
    </row>
    <row r="330" spans="1:10">
      <c r="A330" s="4" t="s">
        <v>327</v>
      </c>
      <c r="E330" s="4" t="s">
        <v>327</v>
      </c>
      <c r="F330" s="4"/>
    </row>
    <row r="331" spans="1:10">
      <c r="A331" s="116"/>
      <c r="B331" s="10"/>
      <c r="C331" s="10"/>
      <c r="D331" s="10"/>
      <c r="E331" s="116"/>
      <c r="F331" s="4"/>
    </row>
    <row r="332" spans="1:10">
      <c r="A332" s="4" t="s">
        <v>328</v>
      </c>
      <c r="B332" s="4" t="s">
        <v>220</v>
      </c>
      <c r="E332" s="4" t="s">
        <v>222</v>
      </c>
      <c r="F332" s="4" t="s">
        <v>220</v>
      </c>
    </row>
    <row r="333" spans="1:10">
      <c r="A333" s="4">
        <v>25</v>
      </c>
      <c r="B333" s="4" t="s">
        <v>477</v>
      </c>
      <c r="E333" s="4">
        <v>42</v>
      </c>
      <c r="F333" s="4" t="s">
        <v>477</v>
      </c>
    </row>
    <row r="334" spans="1:10">
      <c r="A334" s="4" t="s">
        <v>329</v>
      </c>
      <c r="B334" s="4" t="s">
        <v>221</v>
      </c>
      <c r="E334" s="4" t="s">
        <v>223</v>
      </c>
      <c r="F334" s="4" t="s">
        <v>221</v>
      </c>
    </row>
    <row r="378" spans="1:21">
      <c r="A378" s="4" t="s">
        <v>494</v>
      </c>
      <c r="E378" s="4" t="s">
        <v>494</v>
      </c>
      <c r="Q378" s="4"/>
      <c r="R378" s="4"/>
      <c r="S378" s="4"/>
      <c r="T378" s="4"/>
      <c r="U378" s="4"/>
    </row>
    <row r="379" spans="1:21">
      <c r="A379" s="84" t="s">
        <v>495</v>
      </c>
      <c r="E379" s="84" t="s">
        <v>496</v>
      </c>
      <c r="Q379" s="4"/>
      <c r="R379" s="4"/>
      <c r="S379" s="4"/>
      <c r="T379" s="4"/>
      <c r="U379" s="4"/>
    </row>
    <row r="380" spans="1:21">
      <c r="A380" s="84"/>
      <c r="B380" s="4">
        <v>2020</v>
      </c>
      <c r="C380" s="4">
        <v>2020</v>
      </c>
      <c r="E380" s="142"/>
      <c r="F380" s="142"/>
    </row>
    <row r="381" spans="1:21" ht="30">
      <c r="A381" s="9" t="s">
        <v>310</v>
      </c>
      <c r="B381" s="189" t="s">
        <v>330</v>
      </c>
      <c r="C381" s="189" t="s">
        <v>387</v>
      </c>
      <c r="E381" s="142"/>
      <c r="F381" s="142"/>
    </row>
    <row r="382" spans="1:21">
      <c r="A382" s="4" t="s">
        <v>307</v>
      </c>
      <c r="B382" s="115">
        <v>35460</v>
      </c>
      <c r="C382" s="115">
        <v>35255</v>
      </c>
      <c r="D382" s="98"/>
      <c r="E382" s="143"/>
      <c r="F382" s="143"/>
    </row>
    <row r="383" spans="1:21">
      <c r="A383" s="9" t="s">
        <v>309</v>
      </c>
      <c r="B383" s="98">
        <f>B382</f>
        <v>35460</v>
      </c>
      <c r="C383" s="98">
        <f>C382</f>
        <v>35255</v>
      </c>
      <c r="D383" s="98"/>
      <c r="E383" s="143"/>
      <c r="F383" s="143"/>
    </row>
    <row r="384" spans="1:21">
      <c r="B384" s="97"/>
      <c r="C384" s="97"/>
      <c r="D384" s="97"/>
      <c r="E384" s="144"/>
      <c r="F384" s="144"/>
    </row>
    <row r="385" spans="1:6">
      <c r="A385" s="9" t="s">
        <v>311</v>
      </c>
      <c r="B385" s="97"/>
      <c r="C385" s="97"/>
      <c r="D385" s="97"/>
      <c r="E385" s="144"/>
      <c r="F385" s="144"/>
    </row>
    <row r="386" spans="1:6">
      <c r="A386" s="4" t="s">
        <v>302</v>
      </c>
      <c r="B386" s="97"/>
      <c r="C386" s="97"/>
      <c r="D386" s="97"/>
      <c r="E386" s="144"/>
      <c r="F386" s="144"/>
    </row>
    <row r="387" spans="1:6">
      <c r="A387" s="4" t="s">
        <v>303</v>
      </c>
      <c r="B387" s="97"/>
      <c r="C387" s="97"/>
      <c r="D387" s="97"/>
      <c r="E387" s="144"/>
      <c r="F387" s="144"/>
    </row>
    <row r="388" spans="1:6">
      <c r="A388" s="4" t="s">
        <v>304</v>
      </c>
      <c r="B388" s="97"/>
      <c r="C388" s="97"/>
      <c r="D388" s="97"/>
      <c r="E388" s="144"/>
      <c r="F388" s="144"/>
    </row>
    <row r="389" spans="1:6">
      <c r="A389" s="4" t="s">
        <v>305</v>
      </c>
      <c r="B389" s="97"/>
      <c r="C389" s="97"/>
      <c r="D389" s="97"/>
      <c r="E389" s="144"/>
      <c r="F389" s="144"/>
    </row>
    <row r="390" spans="1:6">
      <c r="A390" s="4" t="s">
        <v>308</v>
      </c>
      <c r="B390" s="97"/>
      <c r="C390" s="97"/>
      <c r="D390" s="97"/>
      <c r="E390" s="144"/>
      <c r="F390" s="144"/>
    </row>
    <row r="391" spans="1:6">
      <c r="A391" s="4" t="s">
        <v>306</v>
      </c>
      <c r="B391" s="97"/>
      <c r="C391" s="97"/>
      <c r="D391" s="97"/>
      <c r="E391" s="144"/>
      <c r="F391" s="144"/>
    </row>
    <row r="392" spans="1:6">
      <c r="A392" s="4" t="s">
        <v>301</v>
      </c>
      <c r="B392" s="97"/>
      <c r="C392" s="97"/>
      <c r="D392" s="98"/>
      <c r="E392" s="143"/>
      <c r="F392" s="143"/>
    </row>
    <row r="436" spans="1:9">
      <c r="C436" s="4">
        <f>31381+5705-(31381-18973)</f>
        <v>24678</v>
      </c>
    </row>
    <row r="438" spans="1:9">
      <c r="C438" s="4">
        <f>5705/31381</f>
        <v>0.18179790318982825</v>
      </c>
    </row>
    <row r="439" spans="1:9">
      <c r="C439" s="50"/>
      <c r="G439" s="4">
        <f>34444+6262-(34444-21573)</f>
        <v>27835</v>
      </c>
    </row>
    <row r="440" spans="1:9">
      <c r="C440" s="50"/>
      <c r="G440" s="4">
        <f>6262/34444</f>
        <v>0.18180234583672047</v>
      </c>
    </row>
    <row r="441" spans="1:9">
      <c r="C441" s="50"/>
    </row>
    <row r="442" spans="1:9">
      <c r="C442" s="50"/>
    </row>
    <row r="446" spans="1:9">
      <c r="A446" s="4" t="s">
        <v>363</v>
      </c>
    </row>
    <row r="447" spans="1:9">
      <c r="A447" s="43" t="s">
        <v>342</v>
      </c>
      <c r="B447" s="43" t="s">
        <v>369</v>
      </c>
      <c r="C447" s="43" t="s">
        <v>333</v>
      </c>
      <c r="D447" s="43" t="s">
        <v>334</v>
      </c>
      <c r="E447" s="43" t="s">
        <v>335</v>
      </c>
      <c r="F447" s="43" t="s">
        <v>336</v>
      </c>
      <c r="G447" s="43" t="s">
        <v>337</v>
      </c>
      <c r="H447" s="43" t="s">
        <v>361</v>
      </c>
      <c r="I447" s="43" t="s">
        <v>362</v>
      </c>
    </row>
    <row r="448" spans="1:9">
      <c r="A448" s="4" t="s">
        <v>367</v>
      </c>
      <c r="B448" s="137">
        <v>35460</v>
      </c>
      <c r="C448" s="137">
        <f>B383</f>
        <v>35460</v>
      </c>
    </row>
    <row r="449" spans="1:16">
      <c r="A449" s="4" t="s">
        <v>364</v>
      </c>
      <c r="B449" s="137">
        <v>6445</v>
      </c>
      <c r="C449" s="137">
        <v>2205</v>
      </c>
      <c r="D449" s="137">
        <v>1782</v>
      </c>
      <c r="E449" s="137">
        <v>1324</v>
      </c>
      <c r="F449" s="138">
        <v>833</v>
      </c>
      <c r="G449" s="137">
        <v>302</v>
      </c>
      <c r="H449" s="137">
        <v>0</v>
      </c>
      <c r="I449" s="137">
        <v>0</v>
      </c>
    </row>
    <row r="450" spans="1:16">
      <c r="A450" s="4" t="s">
        <v>365</v>
      </c>
      <c r="B450" s="137">
        <v>26999</v>
      </c>
      <c r="C450" s="137">
        <v>15494</v>
      </c>
      <c r="D450" s="137">
        <v>1902</v>
      </c>
      <c r="E450" s="137">
        <v>1801</v>
      </c>
      <c r="F450" s="138">
        <v>2113</v>
      </c>
      <c r="G450" s="137">
        <v>2001</v>
      </c>
      <c r="H450" s="137">
        <f>G450*G451</f>
        <v>1894.9365830572647</v>
      </c>
      <c r="I450" s="137">
        <f>H450*H451</f>
        <v>1794.4950793646885</v>
      </c>
    </row>
    <row r="451" spans="1:16">
      <c r="A451" s="4" t="s">
        <v>366</v>
      </c>
      <c r="B451" s="139">
        <f>B450 + B449</f>
        <v>33444</v>
      </c>
      <c r="C451" s="139">
        <f>B451/7</f>
        <v>4777.7142857142853</v>
      </c>
      <c r="D451" s="139"/>
      <c r="E451" s="140">
        <f>E450/D450</f>
        <v>0.94689800210304942</v>
      </c>
      <c r="F451" s="139"/>
      <c r="G451" s="140">
        <f>G450/F450</f>
        <v>0.94699479413156651</v>
      </c>
      <c r="H451" s="140">
        <f>H450/G450</f>
        <v>0.94699479413156651</v>
      </c>
    </row>
    <row r="453" spans="1:16">
      <c r="A453" s="43" t="s">
        <v>390</v>
      </c>
      <c r="B453" s="43" t="s">
        <v>369</v>
      </c>
      <c r="C453" s="43" t="s">
        <v>333</v>
      </c>
      <c r="D453" s="43" t="s">
        <v>334</v>
      </c>
      <c r="E453" s="43" t="s">
        <v>335</v>
      </c>
      <c r="F453" s="43" t="s">
        <v>336</v>
      </c>
      <c r="G453" s="43" t="s">
        <v>337</v>
      </c>
      <c r="H453" s="43" t="s">
        <v>361</v>
      </c>
      <c r="I453" s="43" t="s">
        <v>362</v>
      </c>
    </row>
    <row r="454" spans="1:16">
      <c r="A454" s="4" t="s">
        <v>367</v>
      </c>
      <c r="B454" s="137">
        <v>35255</v>
      </c>
      <c r="C454" s="137">
        <f>B454</f>
        <v>35255</v>
      </c>
    </row>
    <row r="455" spans="1:16">
      <c r="A455" s="4" t="s">
        <v>368</v>
      </c>
      <c r="B455" s="137"/>
      <c r="C455" s="137"/>
    </row>
    <row r="456" spans="1:16">
      <c r="A456" s="4" t="s">
        <v>364</v>
      </c>
      <c r="B456" s="137">
        <v>6410</v>
      </c>
      <c r="C456" s="137">
        <v>2192</v>
      </c>
      <c r="D456" s="137">
        <v>1772</v>
      </c>
      <c r="E456" s="137">
        <v>1317</v>
      </c>
      <c r="F456" s="138">
        <v>827</v>
      </c>
      <c r="G456" s="137">
        <v>301</v>
      </c>
      <c r="H456" s="137">
        <v>0</v>
      </c>
      <c r="I456" s="137">
        <v>0</v>
      </c>
    </row>
    <row r="457" spans="1:16">
      <c r="A457" s="4" t="s">
        <v>365</v>
      </c>
      <c r="B457" s="137">
        <v>26625</v>
      </c>
      <c r="C457" s="137">
        <v>14741</v>
      </c>
      <c r="D457" s="137">
        <v>1966</v>
      </c>
      <c r="E457" s="137">
        <v>1860</v>
      </c>
      <c r="F457" s="138">
        <v>2182</v>
      </c>
      <c r="G457" s="137">
        <v>2067</v>
      </c>
      <c r="H457" s="137">
        <f>G457*G458</f>
        <v>1958.0609532538956</v>
      </c>
      <c r="I457" s="137">
        <f>H457*H458</f>
        <v>1854.8634236369396</v>
      </c>
    </row>
    <row r="458" spans="1:16">
      <c r="A458" s="4" t="s">
        <v>366</v>
      </c>
      <c r="B458" s="139">
        <f>-B455+B457 + B456</f>
        <v>33035</v>
      </c>
      <c r="C458" s="139">
        <f>B458/7</f>
        <v>4719.2857142857147</v>
      </c>
      <c r="D458" s="139"/>
      <c r="E458" s="140">
        <f>E457/D457</f>
        <v>0.94608341810783314</v>
      </c>
      <c r="F458" s="139"/>
      <c r="G458" s="140">
        <f>G457/F457</f>
        <v>0.94729605866177824</v>
      </c>
      <c r="H458" s="140">
        <f>H457/G457</f>
        <v>0.94729605866177824</v>
      </c>
    </row>
    <row r="460" spans="1:16" s="2" customFormat="1">
      <c r="A460" s="43" t="s">
        <v>342</v>
      </c>
      <c r="B460" s="43" t="s">
        <v>370</v>
      </c>
      <c r="C460" s="43" t="s">
        <v>333</v>
      </c>
      <c r="D460" s="43" t="s">
        <v>334</v>
      </c>
      <c r="E460" s="43" t="s">
        <v>335</v>
      </c>
      <c r="F460" s="43" t="s">
        <v>336</v>
      </c>
      <c r="G460" s="43" t="s">
        <v>337</v>
      </c>
      <c r="H460" s="43" t="s">
        <v>361</v>
      </c>
      <c r="I460" s="43" t="s">
        <v>362</v>
      </c>
      <c r="J460" s="9"/>
      <c r="K460" s="9"/>
      <c r="L460" s="9"/>
      <c r="M460" s="9"/>
      <c r="N460" s="9"/>
      <c r="O460" s="9"/>
      <c r="P460" s="9"/>
    </row>
    <row r="461" spans="1:16">
      <c r="A461" s="30" t="s">
        <v>338</v>
      </c>
      <c r="B461" s="122"/>
      <c r="C461" s="122">
        <v>893</v>
      </c>
      <c r="D461" s="122">
        <v>924</v>
      </c>
      <c r="E461" s="122">
        <v>957</v>
      </c>
      <c r="F461" s="122">
        <v>990</v>
      </c>
      <c r="G461" s="122">
        <v>1025</v>
      </c>
      <c r="H461" s="119">
        <f>G461/F461*G461</f>
        <v>1061.2373737373737</v>
      </c>
      <c r="I461" s="119">
        <f>H461/G461*H461</f>
        <v>1098.7558667482908</v>
      </c>
    </row>
    <row r="462" spans="1:16">
      <c r="A462" s="30" t="s">
        <v>339</v>
      </c>
      <c r="B462" s="122"/>
      <c r="C462" s="122">
        <v>202</v>
      </c>
      <c r="D462" s="122">
        <v>576</v>
      </c>
      <c r="E462" s="122">
        <v>352</v>
      </c>
      <c r="F462" s="122">
        <v>845</v>
      </c>
      <c r="G462" s="122">
        <v>1406</v>
      </c>
      <c r="H462" s="119">
        <f>G462+(G462-E462)/2</f>
        <v>1933</v>
      </c>
      <c r="I462" s="119">
        <f>H462+(G462-E462)/2</f>
        <v>2460</v>
      </c>
    </row>
    <row r="463" spans="1:16">
      <c r="A463" s="30" t="s">
        <v>340</v>
      </c>
      <c r="B463" s="122"/>
      <c r="C463" s="122">
        <v>0</v>
      </c>
      <c r="D463" s="122">
        <v>0</v>
      </c>
      <c r="E463" s="122">
        <v>114</v>
      </c>
      <c r="F463" s="122">
        <v>270</v>
      </c>
      <c r="G463" s="122">
        <v>394</v>
      </c>
      <c r="H463" s="119">
        <f>G463/F463*G463</f>
        <v>574.94814814814811</v>
      </c>
      <c r="I463" s="119">
        <f>H463/G463*H463</f>
        <v>838.99840877914949</v>
      </c>
    </row>
    <row r="464" spans="1:16">
      <c r="A464" s="30" t="s">
        <v>341</v>
      </c>
      <c r="B464" s="122"/>
      <c r="C464" s="122">
        <v>1763</v>
      </c>
      <c r="D464" s="122">
        <v>73</v>
      </c>
      <c r="E464" s="122">
        <v>73</v>
      </c>
      <c r="F464" s="122">
        <v>73</v>
      </c>
      <c r="G464" s="122">
        <v>73</v>
      </c>
      <c r="H464" s="119">
        <f>G464</f>
        <v>73</v>
      </c>
      <c r="I464" s="119">
        <f>H464</f>
        <v>73</v>
      </c>
    </row>
    <row r="465" spans="1:16">
      <c r="A465" s="43" t="s">
        <v>344</v>
      </c>
      <c r="B465" s="198">
        <f>AVERAGE(C465:I465)</f>
        <v>2730.8485424875657</v>
      </c>
      <c r="C465" s="123">
        <f>SUM(C461:C464)</f>
        <v>2858</v>
      </c>
      <c r="D465" s="123">
        <f t="shared" ref="D465:I465" si="3">SUM(D461:D464)</f>
        <v>1573</v>
      </c>
      <c r="E465" s="123">
        <f t="shared" si="3"/>
        <v>1496</v>
      </c>
      <c r="F465" s="123">
        <f t="shared" si="3"/>
        <v>2178</v>
      </c>
      <c r="G465" s="123">
        <f t="shared" si="3"/>
        <v>2898</v>
      </c>
      <c r="H465" s="123">
        <f t="shared" si="3"/>
        <v>3642.1855218855217</v>
      </c>
      <c r="I465" s="123">
        <f t="shared" si="3"/>
        <v>4470.7542755274408</v>
      </c>
    </row>
    <row r="466" spans="1:16">
      <c r="A466" s="30"/>
      <c r="B466" s="122"/>
      <c r="C466" s="30"/>
      <c r="D466" s="30"/>
      <c r="E466" s="30"/>
      <c r="F466" s="30"/>
      <c r="G466" s="30"/>
    </row>
    <row r="467" spans="1:16" s="2" customFormat="1">
      <c r="A467" s="43" t="s">
        <v>343</v>
      </c>
      <c r="B467" s="43" t="s">
        <v>370</v>
      </c>
      <c r="C467" s="43" t="s">
        <v>333</v>
      </c>
      <c r="D467" s="43" t="s">
        <v>334</v>
      </c>
      <c r="E467" s="43" t="s">
        <v>335</v>
      </c>
      <c r="F467" s="43" t="s">
        <v>336</v>
      </c>
      <c r="G467" s="43" t="s">
        <v>337</v>
      </c>
      <c r="H467" s="43" t="s">
        <v>361</v>
      </c>
      <c r="I467" s="43" t="s">
        <v>362</v>
      </c>
      <c r="J467" s="9"/>
      <c r="K467" s="9"/>
      <c r="L467" s="9"/>
      <c r="M467" s="9"/>
      <c r="N467" s="9"/>
      <c r="O467" s="9"/>
      <c r="P467" s="9"/>
    </row>
    <row r="468" spans="1:16">
      <c r="A468" s="30" t="s">
        <v>338</v>
      </c>
      <c r="B468" s="122"/>
      <c r="C468" s="119">
        <v>923</v>
      </c>
      <c r="D468" s="119">
        <v>955</v>
      </c>
      <c r="E468" s="119">
        <v>989</v>
      </c>
      <c r="F468" s="119">
        <v>1023</v>
      </c>
      <c r="G468" s="120">
        <v>1059</v>
      </c>
      <c r="H468" s="119">
        <f>G468/F468*G468</f>
        <v>1096.266862170088</v>
      </c>
      <c r="I468" s="119">
        <f>H468/G468*H468</f>
        <v>1134.8451681702084</v>
      </c>
    </row>
    <row r="469" spans="1:16">
      <c r="A469" s="30" t="s">
        <v>339</v>
      </c>
      <c r="B469" s="122"/>
      <c r="C469" s="119">
        <v>222</v>
      </c>
      <c r="D469" s="119">
        <v>612</v>
      </c>
      <c r="E469" s="119">
        <v>386</v>
      </c>
      <c r="F469" s="119">
        <v>883</v>
      </c>
      <c r="G469" s="120">
        <v>1330</v>
      </c>
      <c r="H469" s="119">
        <f>G469+(G469-E469)/2</f>
        <v>1802</v>
      </c>
      <c r="I469" s="119">
        <f>H469+(G469-E469)/2</f>
        <v>2274</v>
      </c>
    </row>
    <row r="470" spans="1:16">
      <c r="A470" s="30" t="s">
        <v>340</v>
      </c>
      <c r="B470" s="122"/>
      <c r="C470" s="119">
        <v>0</v>
      </c>
      <c r="D470" s="119">
        <v>0</v>
      </c>
      <c r="E470" s="119">
        <v>101</v>
      </c>
      <c r="F470" s="119">
        <v>241</v>
      </c>
      <c r="G470" s="120">
        <v>351</v>
      </c>
      <c r="H470" s="119">
        <f>G470/F470*G470</f>
        <v>511.207468879668</v>
      </c>
      <c r="I470" s="119">
        <f>H470/G470*H470</f>
        <v>744.53867874175705</v>
      </c>
    </row>
    <row r="471" spans="1:16">
      <c r="A471" s="30" t="s">
        <v>341</v>
      </c>
      <c r="B471" s="122"/>
      <c r="C471" s="119">
        <v>1772</v>
      </c>
      <c r="D471" s="119">
        <v>93</v>
      </c>
      <c r="E471" s="119">
        <v>93</v>
      </c>
      <c r="F471" s="119">
        <v>93</v>
      </c>
      <c r="G471" s="120">
        <v>93</v>
      </c>
      <c r="H471" s="119">
        <f>G471</f>
        <v>93</v>
      </c>
      <c r="I471" s="119">
        <f>H471</f>
        <v>93</v>
      </c>
    </row>
    <row r="472" spans="1:16">
      <c r="A472" s="43" t="s">
        <v>344</v>
      </c>
      <c r="B472" s="198">
        <f>AVERAGE(C472:I472)</f>
        <v>2709.6940254231035</v>
      </c>
      <c r="C472" s="121">
        <f>SUM(C468:C471)</f>
        <v>2917</v>
      </c>
      <c r="D472" s="121">
        <f t="shared" ref="D472:I472" si="4">SUM(D468:D471)</f>
        <v>1660</v>
      </c>
      <c r="E472" s="121">
        <f t="shared" si="4"/>
        <v>1569</v>
      </c>
      <c r="F472" s="121">
        <f t="shared" si="4"/>
        <v>2240</v>
      </c>
      <c r="G472" s="121">
        <f t="shared" si="4"/>
        <v>2833</v>
      </c>
      <c r="H472" s="121">
        <f t="shared" si="4"/>
        <v>3502.4743310497556</v>
      </c>
      <c r="I472" s="121">
        <f t="shared" si="4"/>
        <v>4246.3838469119655</v>
      </c>
    </row>
    <row r="475" spans="1:16" ht="16.5" thickBot="1"/>
    <row r="476" spans="1:16" ht="16.5" thickBot="1">
      <c r="A476" s="124"/>
    </row>
    <row r="477" spans="1:16" ht="16.5" thickBot="1">
      <c r="A477" s="125" t="s">
        <v>50</v>
      </c>
      <c r="B477" s="126" t="s">
        <v>345</v>
      </c>
      <c r="C477" s="127" t="s">
        <v>346</v>
      </c>
      <c r="D477" s="127" t="s">
        <v>347</v>
      </c>
      <c r="E477" s="127" t="s">
        <v>348</v>
      </c>
      <c r="F477" s="127" t="s">
        <v>349</v>
      </c>
      <c r="G477" s="127" t="s">
        <v>350</v>
      </c>
    </row>
    <row r="478" spans="1:16" ht="16.5" thickBot="1">
      <c r="A478" s="128" t="s">
        <v>53</v>
      </c>
      <c r="B478" s="129">
        <v>1.4E-2</v>
      </c>
      <c r="C478" s="130">
        <v>1.4E-2</v>
      </c>
      <c r="D478" s="130">
        <v>1.4E-2</v>
      </c>
      <c r="E478" s="130">
        <v>1.4E-2</v>
      </c>
      <c r="F478" s="130">
        <v>1.4E-2</v>
      </c>
      <c r="G478" s="130">
        <v>1.4E-2</v>
      </c>
    </row>
    <row r="479" spans="1:16" ht="16.5" thickBot="1">
      <c r="A479" s="128" t="s">
        <v>285</v>
      </c>
      <c r="B479" s="129">
        <v>-7.0000000000000001E-3</v>
      </c>
      <c r="C479" s="130">
        <v>2.8000000000000001E-2</v>
      </c>
      <c r="D479" s="130">
        <v>1.2999999999999999E-2</v>
      </c>
      <c r="E479" s="130">
        <v>1.2E-2</v>
      </c>
      <c r="F479" s="130">
        <v>-8.4000000000000005E-2</v>
      </c>
      <c r="G479" s="130">
        <v>-4.0000000000000001E-3</v>
      </c>
    </row>
    <row r="480" spans="1:16" ht="16.5" thickBot="1">
      <c r="A480" s="128" t="s">
        <v>56</v>
      </c>
      <c r="B480" s="129">
        <v>0.06</v>
      </c>
      <c r="C480" s="130">
        <v>0.06</v>
      </c>
      <c r="D480" s="130">
        <v>0.06</v>
      </c>
      <c r="E480" s="130">
        <v>0.06</v>
      </c>
      <c r="F480" s="130">
        <v>0.06</v>
      </c>
      <c r="G480" s="130">
        <v>0.06</v>
      </c>
    </row>
    <row r="481" spans="1:7" ht="16.5" thickBot="1">
      <c r="A481" s="128" t="s">
        <v>57</v>
      </c>
      <c r="B481" s="129">
        <v>-2E-3</v>
      </c>
      <c r="C481" s="130">
        <v>-2E-3</v>
      </c>
      <c r="D481" s="130">
        <v>-2E-3</v>
      </c>
      <c r="E481" s="130">
        <v>-2E-3</v>
      </c>
      <c r="F481" s="130">
        <v>-2E-3</v>
      </c>
      <c r="G481" s="130">
        <v>-2E-3</v>
      </c>
    </row>
    <row r="482" spans="1:7" ht="16.5" thickBot="1">
      <c r="A482" s="128" t="s">
        <v>59</v>
      </c>
      <c r="B482" s="129">
        <v>1.9E-2</v>
      </c>
      <c r="C482" s="130">
        <v>3.0000000000000001E-3</v>
      </c>
      <c r="D482" s="130">
        <v>0.01</v>
      </c>
      <c r="E482" s="130">
        <v>0.01</v>
      </c>
      <c r="F482" s="130">
        <v>5.7000000000000002E-2</v>
      </c>
      <c r="G482" s="130">
        <v>1.7999999999999999E-2</v>
      </c>
    </row>
    <row r="483" spans="1:7" ht="16.5" thickBot="1">
      <c r="A483" s="128" t="s">
        <v>61</v>
      </c>
      <c r="B483" s="129">
        <v>3.9E-2</v>
      </c>
      <c r="C483" s="130">
        <v>5.0000000000000001E-3</v>
      </c>
      <c r="D483" s="130">
        <v>1.9E-2</v>
      </c>
      <c r="E483" s="130">
        <v>2.1000000000000001E-2</v>
      </c>
      <c r="F483" s="130">
        <v>0.113</v>
      </c>
      <c r="G483" s="130">
        <v>3.5999999999999997E-2</v>
      </c>
    </row>
    <row r="484" spans="1:7" ht="16.5" thickBot="1">
      <c r="A484" s="128" t="s">
        <v>63</v>
      </c>
      <c r="B484" s="129">
        <v>0.04</v>
      </c>
      <c r="C484" s="130">
        <v>5.0000000000000001E-3</v>
      </c>
      <c r="D484" s="130">
        <v>0.02</v>
      </c>
      <c r="E484" s="130">
        <v>2.1000000000000001E-2</v>
      </c>
      <c r="F484" s="130">
        <v>0.11600000000000001</v>
      </c>
      <c r="G484" s="130">
        <v>3.6999999999999998E-2</v>
      </c>
    </row>
    <row r="485" spans="1:7" ht="16.5" thickBot="1">
      <c r="A485" s="131" t="s">
        <v>171</v>
      </c>
      <c r="B485" s="132">
        <v>0.16300000000000001</v>
      </c>
      <c r="C485" s="133">
        <v>0.113</v>
      </c>
      <c r="D485" s="133">
        <v>0.13400000000000001</v>
      </c>
      <c r="E485" s="133">
        <v>0.13600000000000001</v>
      </c>
      <c r="F485" s="133">
        <v>0.27500000000000002</v>
      </c>
      <c r="G485" s="133">
        <v>0.159</v>
      </c>
    </row>
  </sheetData>
  <mergeCells count="1">
    <mergeCell ref="A261:C261"/>
  </mergeCells>
  <hyperlinks>
    <hyperlink ref="D322" r:id="rId1"/>
    <hyperlink ref="D319" r:id="rId2"/>
    <hyperlink ref="D16" r:id="rId3"/>
    <hyperlink ref="A379" r:id="rId4" location="style=401757616"/>
    <hyperlink ref="E379" r:id="rId5"/>
  </hyperlinks>
  <pageMargins left="0.7" right="0.7" top="0.75" bottom="0.75" header="0.3" footer="0.3"/>
  <pageSetup paperSize="9" orientation="portrait" r:id="rId6"/>
  <drawing r:id="rId7"/>
  <legacy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18"/>
  <sheetViews>
    <sheetView topLeftCell="A296" zoomScale="90" zoomScaleNormal="90" workbookViewId="0">
      <selection activeCell="A311" sqref="A311"/>
    </sheetView>
  </sheetViews>
  <sheetFormatPr defaultColWidth="11" defaultRowHeight="15.75"/>
  <cols>
    <col min="1" max="1" width="42.75" style="4" customWidth="1"/>
    <col min="2" max="2" width="13.875" style="4" customWidth="1"/>
    <col min="3" max="3" width="16.625" style="4" customWidth="1"/>
    <col min="4" max="4" width="17" style="4" customWidth="1"/>
    <col min="5" max="5" width="19" style="4" customWidth="1"/>
    <col min="6" max="6" width="17.125" style="5" customWidth="1"/>
    <col min="7" max="7" width="20.375" style="4" customWidth="1"/>
    <col min="8" max="8" width="18.75" style="4" customWidth="1"/>
    <col min="9" max="10" width="11" style="4"/>
    <col min="11" max="11" width="7.875" style="4" customWidth="1"/>
    <col min="12" max="12" width="11" style="4"/>
    <col min="13" max="13" width="7.875" style="4" customWidth="1"/>
    <col min="14" max="14" width="11" style="4"/>
    <col min="15" max="15" width="7.875" style="4" customWidth="1"/>
    <col min="16" max="16" width="11" style="4"/>
  </cols>
  <sheetData>
    <row r="1" spans="1:16">
      <c r="A1" s="9" t="s">
        <v>436</v>
      </c>
      <c r="D1" s="4" t="s">
        <v>126</v>
      </c>
      <c r="F1" s="4"/>
    </row>
    <row r="2" spans="1:16">
      <c r="D2" s="6"/>
      <c r="E2" s="4" t="s">
        <v>127</v>
      </c>
    </row>
    <row r="3" spans="1:16">
      <c r="D3" s="41"/>
      <c r="E3" s="26" t="s">
        <v>463</v>
      </c>
    </row>
    <row r="4" spans="1:16">
      <c r="A4" s="26" t="s">
        <v>457</v>
      </c>
      <c r="B4" s="53">
        <v>1</v>
      </c>
      <c r="F4" s="4"/>
    </row>
    <row r="5" spans="1:16">
      <c r="A5" s="4" t="s">
        <v>196</v>
      </c>
      <c r="B5" s="63">
        <f>E48</f>
        <v>0.12870000000000001</v>
      </c>
      <c r="C5" s="4" t="s">
        <v>319</v>
      </c>
      <c r="F5" s="4"/>
    </row>
    <row r="6" spans="1:16">
      <c r="A6" s="4" t="s">
        <v>196</v>
      </c>
      <c r="B6" s="63">
        <f>B5/3.6</f>
        <v>3.5750000000000004E-2</v>
      </c>
      <c r="C6" s="4" t="s">
        <v>5</v>
      </c>
    </row>
    <row r="7" spans="1:16">
      <c r="A7" s="4" t="str">
        <f>A304</f>
        <v>incandescent bulb - capital expenditure</v>
      </c>
      <c r="B7" s="72">
        <f>B304</f>
        <v>1.875</v>
      </c>
      <c r="C7" s="4" t="s">
        <v>164</v>
      </c>
      <c r="F7" s="26"/>
      <c r="P7" s="67"/>
    </row>
    <row r="8" spans="1:16">
      <c r="A8" s="4" t="str">
        <f>A305</f>
        <v>incandescent bulb - lifetime</v>
      </c>
      <c r="B8" s="72">
        <f>B305</f>
        <v>1.8</v>
      </c>
      <c r="C8" s="4" t="s">
        <v>69</v>
      </c>
    </row>
    <row r="9" spans="1:16">
      <c r="A9" s="4" t="str">
        <f>A308</f>
        <v>incandescent bulb - efficacy</v>
      </c>
      <c r="B9" s="72">
        <f>B308</f>
        <v>8.8333333333333339</v>
      </c>
      <c r="C9" s="4" t="s">
        <v>195</v>
      </c>
    </row>
    <row r="10" spans="1:16">
      <c r="A10" s="4" t="str">
        <f t="shared" ref="A10:B12" si="0">A313</f>
        <v>incandescent bulb - embodied energy</v>
      </c>
      <c r="B10" s="72">
        <f t="shared" si="0"/>
        <v>2.2146156000000001</v>
      </c>
      <c r="C10" s="4" t="s">
        <v>66</v>
      </c>
    </row>
    <row r="11" spans="1:16">
      <c r="A11" s="4" t="str">
        <f t="shared" si="0"/>
        <v>LED bulb - capital expenditure</v>
      </c>
      <c r="B11" s="72">
        <f t="shared" si="0"/>
        <v>1.21</v>
      </c>
      <c r="C11" s="4" t="s">
        <v>164</v>
      </c>
    </row>
    <row r="12" spans="1:16">
      <c r="A12" s="26" t="str">
        <f t="shared" si="0"/>
        <v>LED bulb - lifetime</v>
      </c>
      <c r="B12" s="23">
        <f t="shared" si="0"/>
        <v>10</v>
      </c>
      <c r="C12" s="4" t="s">
        <v>69</v>
      </c>
    </row>
    <row r="13" spans="1:16">
      <c r="A13" s="26" t="str">
        <f>A318</f>
        <v>LED bulb - efficacy</v>
      </c>
      <c r="B13" s="77">
        <v>81.8</v>
      </c>
      <c r="C13" s="4" t="s">
        <v>195</v>
      </c>
    </row>
    <row r="14" spans="1:16">
      <c r="A14" s="4" t="str">
        <f>A323</f>
        <v>LED bulb - embodied energy</v>
      </c>
      <c r="B14" s="72">
        <f>B323</f>
        <v>6.5028546</v>
      </c>
      <c r="C14" s="4" t="s">
        <v>66</v>
      </c>
    </row>
    <row r="15" spans="1:16">
      <c r="A15" s="4" t="s">
        <v>204</v>
      </c>
      <c r="B15" s="18">
        <f>B306*B310</f>
        <v>580350</v>
      </c>
      <c r="C15" s="4" t="s">
        <v>203</v>
      </c>
    </row>
    <row r="16" spans="1:16">
      <c r="A16" s="4" t="s">
        <v>133</v>
      </c>
      <c r="B16" s="18">
        <f>'1_Case study 1 - Car'!B16</f>
        <v>34317</v>
      </c>
      <c r="C16" s="4" t="s">
        <v>60</v>
      </c>
      <c r="D16" s="154" t="s">
        <v>47</v>
      </c>
    </row>
    <row r="17" spans="1:9">
      <c r="A17" s="4" t="s">
        <v>134</v>
      </c>
      <c r="B17" s="147">
        <v>0.88319000000000003</v>
      </c>
      <c r="C17" s="20" t="s">
        <v>18</v>
      </c>
      <c r="D17" s="4" t="s">
        <v>49</v>
      </c>
      <c r="E17" s="4" t="s">
        <v>419</v>
      </c>
    </row>
    <row r="18" spans="1:9" ht="16.5" thickBot="1">
      <c r="A18" s="4" t="s">
        <v>135</v>
      </c>
      <c r="B18" s="6">
        <v>7.8479999999999994E-2</v>
      </c>
      <c r="C18" s="20" t="s">
        <v>18</v>
      </c>
      <c r="D18" s="4" t="s">
        <v>49</v>
      </c>
      <c r="E18" s="4" t="s">
        <v>419</v>
      </c>
    </row>
    <row r="19" spans="1:9">
      <c r="A19" s="4" t="s">
        <v>428</v>
      </c>
      <c r="B19" s="92">
        <f>D152/(D152+D153)</f>
        <v>3.0275539515823386E-4</v>
      </c>
      <c r="C19" s="20"/>
      <c r="D19" s="155" t="s">
        <v>409</v>
      </c>
      <c r="E19" s="156"/>
      <c r="F19" s="169"/>
      <c r="G19" s="156"/>
      <c r="H19" s="156"/>
      <c r="I19" s="157"/>
    </row>
    <row r="20" spans="1:9">
      <c r="A20" s="25" t="s">
        <v>163</v>
      </c>
      <c r="D20" s="158" t="s">
        <v>410</v>
      </c>
      <c r="E20" s="159" t="s">
        <v>411</v>
      </c>
      <c r="F20" s="170"/>
      <c r="G20" s="159"/>
      <c r="H20" s="159"/>
      <c r="I20" s="160">
        <v>2018</v>
      </c>
    </row>
    <row r="21" spans="1:9">
      <c r="A21" s="43" t="s">
        <v>171</v>
      </c>
      <c r="B21" s="135">
        <f>E268</f>
        <v>0.41069514027003751</v>
      </c>
      <c r="D21" s="158">
        <v>1</v>
      </c>
      <c r="E21" s="159" t="s">
        <v>412</v>
      </c>
      <c r="F21" s="170"/>
      <c r="G21" s="159"/>
      <c r="H21" s="159"/>
      <c r="I21" s="148">
        <v>17851.8</v>
      </c>
    </row>
    <row r="22" spans="1:9">
      <c r="A22" s="43" t="s">
        <v>172</v>
      </c>
      <c r="B22" s="135">
        <f>E279</f>
        <v>0.41069514027003751</v>
      </c>
      <c r="D22" s="158">
        <v>27</v>
      </c>
      <c r="E22" s="159" t="s">
        <v>413</v>
      </c>
      <c r="F22" s="170"/>
      <c r="G22" s="159"/>
      <c r="H22" s="159"/>
      <c r="I22" s="148">
        <v>15766.5</v>
      </c>
    </row>
    <row r="23" spans="1:9">
      <c r="A23" s="43" t="s">
        <v>178</v>
      </c>
      <c r="B23" s="145">
        <f>B21-B22</f>
        <v>0</v>
      </c>
      <c r="D23" s="158">
        <v>34</v>
      </c>
      <c r="E23" s="159" t="s">
        <v>414</v>
      </c>
      <c r="F23" s="170"/>
      <c r="G23" s="159"/>
      <c r="H23" s="159"/>
      <c r="I23" s="148">
        <v>1237.3</v>
      </c>
    </row>
    <row r="24" spans="1:9">
      <c r="A24" s="43" t="s">
        <v>192</v>
      </c>
      <c r="B24" s="34">
        <f>B21*E91</f>
        <v>86.647938223432618</v>
      </c>
      <c r="C24" s="4" t="s">
        <v>11</v>
      </c>
      <c r="D24" s="161" t="s">
        <v>415</v>
      </c>
      <c r="E24" s="159" t="s">
        <v>416</v>
      </c>
      <c r="F24" s="170"/>
      <c r="G24" s="159"/>
      <c r="H24" s="159"/>
      <c r="I24" s="162">
        <f>I22/I21</f>
        <v>0.88318824992437739</v>
      </c>
    </row>
    <row r="25" spans="1:9" ht="16.5" thickBot="1">
      <c r="A25" s="43"/>
      <c r="B25" s="34"/>
      <c r="D25" s="163" t="s">
        <v>417</v>
      </c>
      <c r="E25" s="164" t="s">
        <v>418</v>
      </c>
      <c r="F25" s="36"/>
      <c r="G25" s="164"/>
      <c r="H25" s="164"/>
      <c r="I25" s="165">
        <f>I23/I22</f>
        <v>7.8476516665081028E-2</v>
      </c>
    </row>
    <row r="26" spans="1:9">
      <c r="A26" s="43"/>
      <c r="B26" s="34"/>
      <c r="E26" s="103"/>
      <c r="F26" s="13"/>
    </row>
    <row r="27" spans="1:9">
      <c r="A27" s="43"/>
      <c r="B27" s="34"/>
    </row>
    <row r="28" spans="1:9">
      <c r="A28" s="43"/>
      <c r="B28" s="34"/>
    </row>
    <row r="29" spans="1:9">
      <c r="A29" s="10"/>
      <c r="B29" s="117"/>
      <c r="C29" s="10"/>
      <c r="D29" s="10"/>
      <c r="E29" s="13"/>
      <c r="F29" s="103"/>
      <c r="H29" s="51"/>
    </row>
    <row r="30" spans="1:9">
      <c r="A30" s="10"/>
      <c r="B30" s="10"/>
      <c r="C30" s="69"/>
      <c r="D30" s="13"/>
      <c r="E30" s="13"/>
      <c r="F30" s="103"/>
    </row>
    <row r="31" spans="1:9">
      <c r="A31" s="10"/>
      <c r="B31" s="10"/>
      <c r="C31" s="10"/>
      <c r="D31" s="13"/>
      <c r="E31" s="13"/>
      <c r="F31" s="103"/>
    </row>
    <row r="32" spans="1:9">
      <c r="A32" s="10"/>
      <c r="B32" s="10"/>
      <c r="C32" s="69"/>
      <c r="D32" s="13"/>
      <c r="E32" s="13"/>
      <c r="F32" s="103"/>
    </row>
    <row r="33" spans="1:16" ht="30">
      <c r="A33" s="9" t="s">
        <v>33</v>
      </c>
      <c r="B33" s="93" t="s">
        <v>450</v>
      </c>
      <c r="C33" s="8" t="s">
        <v>14</v>
      </c>
      <c r="D33" s="8" t="s">
        <v>14</v>
      </c>
      <c r="E33" s="9" t="s">
        <v>16</v>
      </c>
      <c r="F33" s="9" t="s">
        <v>290</v>
      </c>
      <c r="G33"/>
      <c r="H33"/>
      <c r="I33"/>
      <c r="J33"/>
    </row>
    <row r="34" spans="1:16">
      <c r="A34" s="4" t="s">
        <v>291</v>
      </c>
      <c r="D34" s="4" t="s">
        <v>454</v>
      </c>
      <c r="E34" s="108">
        <f>B19</f>
        <v>3.0275539515823386E-4</v>
      </c>
      <c r="F34" s="4"/>
      <c r="G34"/>
      <c r="H34"/>
      <c r="I34"/>
      <c r="J34"/>
    </row>
    <row r="35" spans="1:16">
      <c r="A35" s="4" t="s">
        <v>292</v>
      </c>
      <c r="D35" s="4" t="s">
        <v>447</v>
      </c>
      <c r="E35" s="6">
        <v>-0.4</v>
      </c>
      <c r="F35" s="4"/>
      <c r="G35"/>
      <c r="H35"/>
      <c r="I35"/>
      <c r="J35"/>
    </row>
    <row r="36" spans="1:16">
      <c r="A36" s="4" t="s">
        <v>448</v>
      </c>
      <c r="B36" s="4" t="s">
        <v>453</v>
      </c>
      <c r="D36" s="4" t="s">
        <v>446</v>
      </c>
      <c r="E36" s="95">
        <f>E35+E34*E38</f>
        <v>-0.39969724460484179</v>
      </c>
      <c r="F36" s="4" t="s">
        <v>56</v>
      </c>
      <c r="G36"/>
      <c r="H36"/>
      <c r="I36"/>
      <c r="J36"/>
    </row>
    <row r="37" spans="1:16">
      <c r="A37" s="4" t="s">
        <v>449</v>
      </c>
      <c r="B37" s="4" t="s">
        <v>451</v>
      </c>
      <c r="D37" s="4" t="s">
        <v>445</v>
      </c>
      <c r="E37" s="95">
        <f>E34*(E34+E35)/(E34-1)</f>
        <v>1.2104714491018619E-4</v>
      </c>
      <c r="F37" s="4" t="s">
        <v>57</v>
      </c>
      <c r="G37"/>
      <c r="H37"/>
      <c r="I37"/>
      <c r="J37"/>
    </row>
    <row r="38" spans="1:16">
      <c r="A38" s="4" t="s">
        <v>293</v>
      </c>
      <c r="D38" s="4" t="s">
        <v>294</v>
      </c>
      <c r="E38" s="6">
        <v>1</v>
      </c>
      <c r="F38" s="4" t="s">
        <v>59</v>
      </c>
      <c r="G38"/>
      <c r="H38"/>
      <c r="I38"/>
      <c r="J38"/>
    </row>
    <row r="39" spans="1:16">
      <c r="A39" s="4" t="s">
        <v>295</v>
      </c>
      <c r="D39" s="4" t="s">
        <v>296</v>
      </c>
      <c r="E39" s="6">
        <v>1</v>
      </c>
      <c r="F39" s="4" t="s">
        <v>61</v>
      </c>
      <c r="G39"/>
      <c r="H39"/>
      <c r="I39"/>
      <c r="J39"/>
      <c r="P39" s="66"/>
    </row>
    <row r="40" spans="1:16" s="3" customFormat="1">
      <c r="A40" s="4" t="s">
        <v>380</v>
      </c>
      <c r="B40" s="4" t="s">
        <v>452</v>
      </c>
      <c r="C40" s="141" t="s">
        <v>382</v>
      </c>
      <c r="D40" s="4" t="s">
        <v>383</v>
      </c>
      <c r="E40" s="12">
        <f>(E34+E35)/(E34-1)</f>
        <v>0.39981829174975198</v>
      </c>
      <c r="F40"/>
      <c r="G40"/>
      <c r="H40"/>
      <c r="I40"/>
      <c r="J40"/>
      <c r="K40" s="7"/>
      <c r="L40" s="7"/>
      <c r="M40" s="7"/>
      <c r="N40" s="7"/>
      <c r="O40" s="7"/>
      <c r="P40" s="4"/>
    </row>
    <row r="41" spans="1:16">
      <c r="C41" s="141" t="s">
        <v>381</v>
      </c>
      <c r="D41" s="4" t="s">
        <v>385</v>
      </c>
      <c r="E41" s="12">
        <f>(E40-1)/E40</f>
        <v>-1.5011361927030202</v>
      </c>
      <c r="F41" s="10"/>
    </row>
    <row r="42" spans="1:16">
      <c r="A42" s="10"/>
      <c r="B42" s="10"/>
      <c r="C42" s="111"/>
      <c r="D42" s="13"/>
      <c r="E42" s="13"/>
      <c r="F42" s="64"/>
    </row>
    <row r="43" spans="1:16">
      <c r="A43" s="10"/>
      <c r="B43" s="10"/>
      <c r="C43" s="10"/>
      <c r="D43" s="13"/>
      <c r="E43" s="13"/>
      <c r="F43" s="64"/>
    </row>
    <row r="44" spans="1:16">
      <c r="A44" s="10"/>
      <c r="B44" s="10"/>
      <c r="C44" s="10"/>
      <c r="D44" s="13"/>
      <c r="E44" s="13"/>
      <c r="F44" s="64"/>
    </row>
    <row r="45" spans="1:16">
      <c r="C45" s="10"/>
      <c r="D45" s="5"/>
      <c r="E45" s="11"/>
      <c r="F45" s="4"/>
    </row>
    <row r="46" spans="1:16">
      <c r="A46" s="7" t="s">
        <v>128</v>
      </c>
      <c r="B46" s="7"/>
      <c r="C46" s="8" t="s">
        <v>14</v>
      </c>
      <c r="D46" s="8" t="s">
        <v>14</v>
      </c>
      <c r="E46" s="8" t="s">
        <v>16</v>
      </c>
      <c r="F46" s="7" t="s">
        <v>13</v>
      </c>
      <c r="G46" s="7" t="s">
        <v>150</v>
      </c>
    </row>
    <row r="47" spans="1:16">
      <c r="A47" s="10" t="s">
        <v>406</v>
      </c>
      <c r="B47" s="10"/>
      <c r="C47" s="5"/>
      <c r="D47" s="5" t="s">
        <v>15</v>
      </c>
      <c r="E47" s="74">
        <f>E48*E51</f>
        <v>3.5750028600000004E-2</v>
      </c>
      <c r="F47" s="4" t="s">
        <v>5</v>
      </c>
      <c r="G47" s="4" t="s">
        <v>421</v>
      </c>
    </row>
    <row r="48" spans="1:16">
      <c r="A48" s="70"/>
      <c r="B48" s="70"/>
      <c r="C48" s="10"/>
      <c r="D48" s="13"/>
      <c r="E48" s="79">
        <v>0.12870000000000001</v>
      </c>
      <c r="F48" s="10" t="s">
        <v>214</v>
      </c>
      <c r="G48" s="146" t="s">
        <v>405</v>
      </c>
      <c r="H48" s="10"/>
      <c r="I48" s="10"/>
      <c r="J48" s="10"/>
      <c r="K48" s="10"/>
      <c r="L48" s="10"/>
      <c r="M48" s="10"/>
      <c r="N48" s="10"/>
      <c r="O48" s="10"/>
    </row>
    <row r="49" spans="1:16">
      <c r="A49" s="10"/>
      <c r="B49" s="10"/>
      <c r="C49" s="10"/>
      <c r="D49" s="13"/>
      <c r="E49" s="94" t="s">
        <v>199</v>
      </c>
      <c r="F49" s="10"/>
      <c r="H49" s="10"/>
      <c r="I49" s="10"/>
      <c r="J49" s="10"/>
      <c r="K49" s="10"/>
      <c r="L49" s="13"/>
      <c r="M49" s="10"/>
      <c r="N49" s="10"/>
      <c r="O49" s="10"/>
    </row>
    <row r="50" spans="1:16">
      <c r="A50" s="9" t="s">
        <v>24</v>
      </c>
      <c r="B50" s="9"/>
      <c r="F50" s="4"/>
    </row>
    <row r="51" spans="1:16">
      <c r="A51" s="4" t="s">
        <v>208</v>
      </c>
      <c r="E51" s="63">
        <v>0.27777800000000002</v>
      </c>
      <c r="F51" s="4" t="s">
        <v>209</v>
      </c>
    </row>
    <row r="52" spans="1:16">
      <c r="A52" s="4" t="s">
        <v>210</v>
      </c>
      <c r="E52" s="63">
        <f>1/E51</f>
        <v>3.5999971200023038</v>
      </c>
      <c r="F52" s="4" t="s">
        <v>66</v>
      </c>
    </row>
    <row r="53" spans="1:16">
      <c r="A53" s="9"/>
      <c r="B53" s="9"/>
      <c r="F53" s="4"/>
    </row>
    <row r="54" spans="1:16" s="1" customFormat="1">
      <c r="A54" s="10"/>
      <c r="B54" s="10"/>
      <c r="C54" s="10"/>
      <c r="D54" s="13"/>
      <c r="E54" s="14"/>
      <c r="F54" s="10"/>
      <c r="G54" s="10"/>
      <c r="H54" s="10"/>
      <c r="I54" s="10"/>
      <c r="J54" s="10"/>
      <c r="K54" s="10"/>
      <c r="L54" s="13"/>
      <c r="M54" s="10"/>
      <c r="N54" s="10"/>
      <c r="O54" s="10"/>
      <c r="P54" s="10"/>
    </row>
    <row r="55" spans="1:16" s="1" customFormat="1">
      <c r="A55" s="10"/>
      <c r="B55" s="10"/>
      <c r="C55" s="10"/>
      <c r="D55" s="13"/>
      <c r="E55" s="14"/>
      <c r="F55" s="10"/>
      <c r="G55" s="10"/>
      <c r="H55" s="10"/>
      <c r="I55" s="10"/>
      <c r="J55" s="10"/>
      <c r="K55" s="10"/>
      <c r="L55" s="13"/>
      <c r="M55" s="10"/>
      <c r="N55" s="10"/>
      <c r="O55" s="10"/>
      <c r="P55" s="10"/>
    </row>
    <row r="56" spans="1:16" s="1" customFormat="1">
      <c r="A56" s="10"/>
      <c r="B56" s="10"/>
      <c r="C56" s="10"/>
      <c r="D56" s="13"/>
      <c r="E56" s="14"/>
      <c r="F56" s="10"/>
      <c r="G56" s="10"/>
      <c r="H56" s="10"/>
      <c r="I56" s="10"/>
      <c r="J56" s="10"/>
      <c r="K56" s="10"/>
      <c r="L56" s="13"/>
      <c r="M56" s="10"/>
      <c r="N56" s="10"/>
      <c r="O56" s="10"/>
      <c r="P56" s="10"/>
    </row>
    <row r="57" spans="1:16" s="1" customFormat="1">
      <c r="A57" s="10"/>
      <c r="B57" s="10"/>
      <c r="C57" s="10"/>
      <c r="D57" s="13"/>
      <c r="E57" s="14"/>
      <c r="F57" s="10"/>
      <c r="G57" s="10"/>
      <c r="H57" s="10"/>
      <c r="I57" s="10"/>
      <c r="J57" s="10"/>
      <c r="K57" s="10"/>
      <c r="L57" s="13"/>
      <c r="M57" s="10"/>
      <c r="N57" s="10"/>
      <c r="O57" s="10"/>
      <c r="P57" s="10"/>
    </row>
    <row r="58" spans="1:16" s="1" customFormat="1">
      <c r="A58" s="10"/>
      <c r="B58" s="10"/>
      <c r="C58" s="10"/>
      <c r="D58" s="13"/>
      <c r="E58" s="14"/>
      <c r="F58" s="10"/>
      <c r="G58" s="10"/>
      <c r="H58" s="10"/>
      <c r="I58" s="10"/>
      <c r="J58" s="10"/>
      <c r="K58" s="10"/>
      <c r="L58" s="13"/>
      <c r="M58" s="10"/>
      <c r="N58" s="10"/>
      <c r="O58" s="10"/>
      <c r="P58" s="10"/>
    </row>
    <row r="59" spans="1:16" s="1" customFormat="1">
      <c r="A59" s="10"/>
      <c r="B59" s="10"/>
      <c r="C59" s="10"/>
      <c r="D59" s="13"/>
      <c r="E59" s="14"/>
      <c r="F59" s="10"/>
      <c r="G59" s="10"/>
      <c r="H59" s="10"/>
      <c r="I59" s="10"/>
      <c r="J59" s="10"/>
      <c r="K59" s="10"/>
      <c r="L59" s="13"/>
      <c r="M59" s="10"/>
      <c r="N59" s="10"/>
      <c r="O59" s="10"/>
      <c r="P59" s="10"/>
    </row>
    <row r="60" spans="1:16" s="1" customFormat="1">
      <c r="A60" s="10"/>
      <c r="B60" s="10"/>
      <c r="C60" s="10"/>
      <c r="D60" s="13"/>
      <c r="E60" s="14"/>
      <c r="F60" s="10"/>
      <c r="G60" s="10"/>
      <c r="H60" s="10"/>
      <c r="I60" s="10"/>
      <c r="J60" s="10"/>
      <c r="K60" s="10"/>
      <c r="L60" s="13"/>
      <c r="M60" s="10"/>
      <c r="N60" s="10"/>
      <c r="O60" s="10"/>
      <c r="P60" s="10"/>
    </row>
    <row r="61" spans="1:16" s="1" customFormat="1">
      <c r="A61" s="10"/>
      <c r="B61" s="10"/>
      <c r="C61" s="10"/>
      <c r="D61" s="13"/>
      <c r="E61" s="14"/>
      <c r="F61" s="10"/>
      <c r="G61" s="10"/>
      <c r="H61" s="10"/>
      <c r="I61" s="10"/>
      <c r="J61" s="10"/>
      <c r="K61" s="10"/>
      <c r="L61" s="13"/>
      <c r="M61" s="10"/>
      <c r="N61" s="10"/>
      <c r="O61" s="10"/>
      <c r="P61" s="10"/>
    </row>
    <row r="62" spans="1:16" s="1" customFormat="1">
      <c r="A62" s="15" t="s">
        <v>32</v>
      </c>
      <c r="B62" s="15"/>
      <c r="C62" s="10"/>
      <c r="D62" s="13"/>
      <c r="E62" s="14"/>
      <c r="F62" s="10"/>
      <c r="G62" s="10"/>
      <c r="H62" s="10"/>
      <c r="I62" s="10"/>
      <c r="J62" s="10"/>
      <c r="K62" s="10"/>
      <c r="L62" s="13"/>
      <c r="M62" s="10"/>
      <c r="N62" s="10"/>
      <c r="O62" s="10"/>
      <c r="P62" s="10"/>
    </row>
    <row r="63" spans="1:16">
      <c r="A63" s="4" t="s">
        <v>408</v>
      </c>
      <c r="C63" s="4" t="s">
        <v>407</v>
      </c>
      <c r="D63" s="5"/>
      <c r="E63" s="16">
        <f>'1_Case study 1 - Car'!E63</f>
        <v>1594129.6070000001</v>
      </c>
      <c r="F63" s="4" t="s">
        <v>6</v>
      </c>
      <c r="H63" s="4" t="s">
        <v>420</v>
      </c>
    </row>
    <row r="64" spans="1:16">
      <c r="A64" s="4" t="s">
        <v>408</v>
      </c>
      <c r="C64" s="4" t="s">
        <v>19</v>
      </c>
      <c r="D64" s="5"/>
      <c r="E64" s="17">
        <f>E63*41.868*1000000</f>
        <v>66743018385876.008</v>
      </c>
      <c r="F64" s="4" t="s">
        <v>11</v>
      </c>
      <c r="H64" s="4" t="s">
        <v>20</v>
      </c>
    </row>
    <row r="65" spans="1:16">
      <c r="A65" s="4" t="s">
        <v>7</v>
      </c>
      <c r="C65" s="4" t="s">
        <v>427</v>
      </c>
      <c r="D65" s="5"/>
      <c r="E65" s="16">
        <f>'1_Case study 1 - Car'!E65</f>
        <v>20612</v>
      </c>
      <c r="F65" s="4" t="s">
        <v>12</v>
      </c>
      <c r="H65" s="4" t="s">
        <v>8</v>
      </c>
      <c r="I65" s="4" t="s">
        <v>419</v>
      </c>
    </row>
    <row r="66" spans="1:16">
      <c r="A66" s="10" t="s">
        <v>9</v>
      </c>
      <c r="B66" s="10"/>
      <c r="C66" s="5"/>
      <c r="D66" s="5" t="s">
        <v>54</v>
      </c>
      <c r="E66" s="19">
        <f>E64/E65/1000000000</f>
        <v>3.2380660967337476</v>
      </c>
      <c r="F66" s="4" t="s">
        <v>10</v>
      </c>
    </row>
    <row r="67" spans="1:16">
      <c r="A67" s="10" t="s">
        <v>17</v>
      </c>
      <c r="B67" s="10"/>
      <c r="C67" s="10"/>
      <c r="D67" s="13" t="s">
        <v>188</v>
      </c>
      <c r="E67" s="68">
        <f>E47*E66</f>
        <v>0.11576095556692186</v>
      </c>
      <c r="F67" s="64" t="s">
        <v>18</v>
      </c>
      <c r="H67" s="10"/>
      <c r="I67" s="10"/>
      <c r="J67" s="10"/>
      <c r="K67" s="10"/>
      <c r="L67" s="10"/>
      <c r="M67" s="10"/>
      <c r="N67" s="10"/>
      <c r="O67" s="10"/>
    </row>
    <row r="68" spans="1:16">
      <c r="D68" s="5"/>
      <c r="F68" s="20"/>
      <c r="H68" s="10"/>
      <c r="I68" s="10"/>
      <c r="J68" s="10"/>
      <c r="K68" s="10"/>
      <c r="L68" s="13"/>
      <c r="M68" s="10"/>
      <c r="N68" s="10"/>
      <c r="O68" s="10"/>
    </row>
    <row r="69" spans="1:16">
      <c r="A69" s="9" t="s">
        <v>200</v>
      </c>
      <c r="B69" s="9"/>
      <c r="D69" s="5"/>
      <c r="F69" s="4"/>
    </row>
    <row r="70" spans="1:16">
      <c r="A70" s="4" t="s">
        <v>194</v>
      </c>
      <c r="C70" s="5"/>
      <c r="D70" s="5" t="s">
        <v>42</v>
      </c>
      <c r="E70" s="72">
        <f>B7</f>
        <v>1.875</v>
      </c>
      <c r="F70" s="4" t="s">
        <v>164</v>
      </c>
    </row>
    <row r="71" spans="1:16">
      <c r="A71" s="4" t="s">
        <v>201</v>
      </c>
      <c r="C71" s="5"/>
      <c r="D71" s="5" t="s">
        <v>76</v>
      </c>
      <c r="E71" s="91">
        <f>B9</f>
        <v>8.8333333333333339</v>
      </c>
      <c r="F71" s="4" t="s">
        <v>195</v>
      </c>
    </row>
    <row r="72" spans="1:16">
      <c r="A72" s="4" t="s">
        <v>125</v>
      </c>
      <c r="C72" s="5"/>
      <c r="D72" s="5" t="s">
        <v>36</v>
      </c>
      <c r="E72" s="92">
        <f>E$48/E71/1000</f>
        <v>1.4569811320754717E-5</v>
      </c>
      <c r="F72" s="4" t="s">
        <v>213</v>
      </c>
      <c r="H72" s="10"/>
      <c r="I72" s="10"/>
      <c r="J72" s="10"/>
      <c r="K72" s="10"/>
      <c r="L72" s="13"/>
      <c r="M72" s="10"/>
      <c r="N72" s="10"/>
      <c r="O72" s="10"/>
      <c r="P72" s="10"/>
    </row>
    <row r="73" spans="1:16">
      <c r="A73" s="4" t="s">
        <v>204</v>
      </c>
      <c r="C73" s="5"/>
      <c r="D73" s="5" t="s">
        <v>144</v>
      </c>
      <c r="E73" s="23">
        <f>B15</f>
        <v>580350</v>
      </c>
      <c r="F73" s="4" t="s">
        <v>203</v>
      </c>
      <c r="H73" s="10"/>
      <c r="I73" s="10"/>
      <c r="J73" s="10"/>
      <c r="K73" s="10"/>
      <c r="L73" s="13"/>
      <c r="M73" s="10"/>
      <c r="N73" s="10"/>
      <c r="O73" s="10"/>
      <c r="P73" s="10"/>
    </row>
    <row r="74" spans="1:16">
      <c r="A74" s="4" t="s">
        <v>145</v>
      </c>
      <c r="C74" s="5"/>
      <c r="D74" s="5" t="s">
        <v>143</v>
      </c>
      <c r="E74" s="23">
        <f>B309</f>
        <v>236.51981078415136</v>
      </c>
      <c r="F74" s="4" t="s">
        <v>11</v>
      </c>
    </row>
    <row r="75" spans="1:16">
      <c r="A75" s="4" t="s">
        <v>67</v>
      </c>
      <c r="C75" s="5"/>
      <c r="D75" s="5" t="s">
        <v>44</v>
      </c>
      <c r="E75" s="75">
        <f>B10</f>
        <v>2.2146156000000001</v>
      </c>
      <c r="F75" s="4" t="s">
        <v>66</v>
      </c>
    </row>
    <row r="76" spans="1:16">
      <c r="A76" s="4" t="s">
        <v>68</v>
      </c>
      <c r="D76" s="5" t="s">
        <v>70</v>
      </c>
      <c r="E76" s="10">
        <f>B8</f>
        <v>1.8</v>
      </c>
      <c r="F76" s="4" t="s">
        <v>69</v>
      </c>
    </row>
    <row r="77" spans="1:16">
      <c r="A77" s="4" t="s">
        <v>168</v>
      </c>
      <c r="D77" s="5" t="s">
        <v>169</v>
      </c>
      <c r="E77" s="75">
        <f>E70/E76</f>
        <v>1.0416666666666667</v>
      </c>
      <c r="F77" s="4" t="s">
        <v>46</v>
      </c>
    </row>
    <row r="78" spans="1:16">
      <c r="A78" s="4" t="s">
        <v>43</v>
      </c>
      <c r="C78" s="5"/>
      <c r="D78" s="5" t="s">
        <v>71</v>
      </c>
      <c r="E78" s="80">
        <f>E75/E76</f>
        <v>1.230342</v>
      </c>
      <c r="F78" s="4" t="s">
        <v>11</v>
      </c>
    </row>
    <row r="79" spans="1:16">
      <c r="A79" s="4" t="s">
        <v>282</v>
      </c>
      <c r="D79" s="5" t="s">
        <v>283</v>
      </c>
      <c r="E79" s="149">
        <v>1.0000000000000001E-9</v>
      </c>
      <c r="F79" s="4" t="s">
        <v>46</v>
      </c>
      <c r="H79" s="10"/>
    </row>
    <row r="80" spans="1:16">
      <c r="D80" s="5"/>
      <c r="E80" s="22"/>
      <c r="F80" s="4"/>
    </row>
    <row r="81" spans="1:9">
      <c r="A81" s="9" t="s">
        <v>197</v>
      </c>
      <c r="B81" s="9"/>
      <c r="D81" s="25"/>
      <c r="F81" s="4"/>
    </row>
    <row r="82" spans="1:9">
      <c r="A82" s="4" t="s">
        <v>194</v>
      </c>
      <c r="C82" s="5"/>
      <c r="D82" s="5" t="s">
        <v>146</v>
      </c>
      <c r="E82" s="72">
        <f>B11</f>
        <v>1.21</v>
      </c>
      <c r="F82" s="4" t="s">
        <v>164</v>
      </c>
      <c r="G82" s="5"/>
    </row>
    <row r="83" spans="1:9">
      <c r="A83" s="4" t="s">
        <v>202</v>
      </c>
      <c r="C83" s="5"/>
      <c r="D83" s="5" t="s">
        <v>113</v>
      </c>
      <c r="E83" s="96">
        <f>B13</f>
        <v>81.8</v>
      </c>
      <c r="F83" s="4" t="s">
        <v>195</v>
      </c>
      <c r="G83" s="5"/>
    </row>
    <row r="84" spans="1:9">
      <c r="A84" s="4" t="s">
        <v>37</v>
      </c>
      <c r="C84" s="5"/>
      <c r="D84" s="5" t="s">
        <v>149</v>
      </c>
      <c r="E84" s="92">
        <f>E$48/E83/1000</f>
        <v>1.5733496332518339E-6</v>
      </c>
      <c r="F84" s="4" t="s">
        <v>198</v>
      </c>
      <c r="G84" s="5"/>
    </row>
    <row r="85" spans="1:9">
      <c r="A85" s="4" t="s">
        <v>205</v>
      </c>
      <c r="D85" s="5" t="s">
        <v>92</v>
      </c>
      <c r="E85" s="23">
        <f>E73</f>
        <v>580350</v>
      </c>
      <c r="F85" s="4" t="s">
        <v>203</v>
      </c>
      <c r="H85" s="5"/>
      <c r="I85" s="5"/>
    </row>
    <row r="86" spans="1:9">
      <c r="A86" s="4" t="s">
        <v>206</v>
      </c>
      <c r="D86" s="5" t="s">
        <v>77</v>
      </c>
      <c r="E86" s="23">
        <f>((E34+(1-E34)*(((1-E34)/(E34))*(E84*E85/D153))^(E41/(1-E41)))^(-1/E41))*E85</f>
        <v>1412866.9010645666</v>
      </c>
      <c r="F86" s="4" t="s">
        <v>203</v>
      </c>
      <c r="H86" s="22"/>
      <c r="I86" s="23"/>
    </row>
    <row r="87" spans="1:9">
      <c r="A87" s="4" t="s">
        <v>207</v>
      </c>
      <c r="D87" s="5" t="s">
        <v>118</v>
      </c>
      <c r="E87" s="23">
        <f>E86*((E105+F155)/E105)^E38</f>
        <v>1413438.9555402834</v>
      </c>
      <c r="F87" s="4" t="s">
        <v>203</v>
      </c>
      <c r="H87" s="22"/>
      <c r="I87" s="23"/>
    </row>
    <row r="88" spans="1:9">
      <c r="A88" s="4" t="s">
        <v>95</v>
      </c>
      <c r="D88" s="5" t="s">
        <v>114</v>
      </c>
      <c r="E88" s="23">
        <f>E85/E$83/277.7777</f>
        <v>25.541082946124256</v>
      </c>
      <c r="F88" s="4" t="s">
        <v>11</v>
      </c>
      <c r="G88" s="26"/>
    </row>
    <row r="89" spans="1:9">
      <c r="A89" s="4" t="s">
        <v>94</v>
      </c>
      <c r="D89" s="5" t="s">
        <v>115</v>
      </c>
      <c r="E89" s="23">
        <f>E86/E$83/277.7777</f>
        <v>62.179978826438578</v>
      </c>
      <c r="F89" s="4" t="s">
        <v>11</v>
      </c>
    </row>
    <row r="90" spans="1:9">
      <c r="A90" s="4" t="s">
        <v>120</v>
      </c>
      <c r="D90" s="5" t="s">
        <v>119</v>
      </c>
      <c r="E90" s="23">
        <f>E87/E$83/277.7777</f>
        <v>62.205154825084193</v>
      </c>
      <c r="F90" s="4" t="s">
        <v>11</v>
      </c>
    </row>
    <row r="91" spans="1:9">
      <c r="A91" s="4" t="s">
        <v>147</v>
      </c>
      <c r="D91" s="5" t="s">
        <v>52</v>
      </c>
      <c r="E91" s="23">
        <f>E74-E88</f>
        <v>210.97872783802711</v>
      </c>
      <c r="F91" s="4" t="s">
        <v>11</v>
      </c>
    </row>
    <row r="92" spans="1:9">
      <c r="A92" s="4" t="s">
        <v>67</v>
      </c>
      <c r="C92" s="5"/>
      <c r="D92" s="5" t="s">
        <v>51</v>
      </c>
      <c r="E92" s="75">
        <f>B14</f>
        <v>6.5028546</v>
      </c>
      <c r="F92" s="4" t="s">
        <v>66</v>
      </c>
    </row>
    <row r="93" spans="1:9">
      <c r="A93" s="4" t="s">
        <v>68</v>
      </c>
      <c r="D93" s="5" t="s">
        <v>72</v>
      </c>
      <c r="E93" s="23">
        <f>B12</f>
        <v>10</v>
      </c>
      <c r="F93" s="4" t="s">
        <v>69</v>
      </c>
    </row>
    <row r="94" spans="1:9">
      <c r="A94" s="4" t="s">
        <v>168</v>
      </c>
      <c r="C94" s="5"/>
      <c r="D94" s="5" t="s">
        <v>170</v>
      </c>
      <c r="E94" s="75">
        <f>E82/E93</f>
        <v>0.121</v>
      </c>
      <c r="F94" s="4" t="s">
        <v>46</v>
      </c>
    </row>
    <row r="95" spans="1:9">
      <c r="A95" s="4" t="s">
        <v>43</v>
      </c>
      <c r="C95" s="5"/>
      <c r="D95" s="5" t="s">
        <v>116</v>
      </c>
      <c r="E95" s="78">
        <f>E92/E93</f>
        <v>0.65028545999999998</v>
      </c>
      <c r="F95" s="4" t="s">
        <v>11</v>
      </c>
      <c r="G95" s="5"/>
    </row>
    <row r="96" spans="1:9">
      <c r="A96" s="4" t="s">
        <v>282</v>
      </c>
      <c r="C96" s="5"/>
      <c r="D96" s="5" t="s">
        <v>281</v>
      </c>
      <c r="E96" s="149">
        <v>1E-4</v>
      </c>
      <c r="F96" s="4" t="s">
        <v>46</v>
      </c>
    </row>
    <row r="97" spans="1:9">
      <c r="C97" s="5"/>
      <c r="D97" s="5"/>
      <c r="E97" s="22"/>
      <c r="F97" s="4"/>
    </row>
    <row r="98" spans="1:9">
      <c r="A98" s="4" t="s">
        <v>173</v>
      </c>
      <c r="C98" s="5"/>
      <c r="D98" s="13" t="s">
        <v>174</v>
      </c>
      <c r="E98" s="75">
        <f>E83/E71</f>
        <v>9.2603773584905653</v>
      </c>
      <c r="F98" s="58" t="s">
        <v>18</v>
      </c>
    </row>
    <row r="99" spans="1:9">
      <c r="D99" s="5"/>
      <c r="E99" s="22"/>
      <c r="F99" s="4"/>
    </row>
    <row r="100" spans="1:9">
      <c r="A100" s="9" t="s">
        <v>151</v>
      </c>
      <c r="B100" s="9"/>
      <c r="D100" s="5"/>
      <c r="F100" s="20"/>
    </row>
    <row r="101" spans="1:9">
      <c r="A101" s="4" t="s">
        <v>133</v>
      </c>
      <c r="D101" s="5"/>
      <c r="E101" s="23">
        <f>B16</f>
        <v>34317</v>
      </c>
      <c r="F101" s="58" t="s">
        <v>46</v>
      </c>
    </row>
    <row r="102" spans="1:9">
      <c r="A102" s="4" t="s">
        <v>134</v>
      </c>
      <c r="D102" s="5"/>
      <c r="E102" s="14">
        <f>B17</f>
        <v>0.88319000000000003</v>
      </c>
      <c r="F102" s="58" t="s">
        <v>18</v>
      </c>
    </row>
    <row r="103" spans="1:9">
      <c r="A103" s="4" t="s">
        <v>135</v>
      </c>
      <c r="D103" s="5"/>
      <c r="E103" s="10">
        <f>B18</f>
        <v>7.8479999999999994E-2</v>
      </c>
      <c r="F103" s="58" t="s">
        <v>18</v>
      </c>
    </row>
    <row r="104" spans="1:9">
      <c r="A104" s="4" t="s">
        <v>48</v>
      </c>
      <c r="C104" s="5"/>
      <c r="D104" s="5" t="s">
        <v>58</v>
      </c>
      <c r="E104" s="22">
        <f>E101*E102*(1-E103)</f>
        <v>27929.825547069602</v>
      </c>
      <c r="F104" s="58" t="s">
        <v>46</v>
      </c>
    </row>
    <row r="105" spans="1:9">
      <c r="D105" s="13" t="s">
        <v>355</v>
      </c>
      <c r="E105" s="22">
        <f>E104-D150-D151-E106+F143*F165+F170</f>
        <v>27918.400589643163</v>
      </c>
      <c r="F105" s="58" t="s">
        <v>46</v>
      </c>
    </row>
    <row r="106" spans="1:9">
      <c r="A106" s="26" t="s">
        <v>148</v>
      </c>
      <c r="D106" s="5" t="s">
        <v>75</v>
      </c>
      <c r="E106" s="75">
        <f>E47*E91</f>
        <v>7.5424955542010865</v>
      </c>
      <c r="F106" s="26" t="s">
        <v>46</v>
      </c>
    </row>
    <row r="107" spans="1:9">
      <c r="A107" s="4" t="s">
        <v>175</v>
      </c>
      <c r="D107" s="5" t="s">
        <v>176</v>
      </c>
      <c r="E107" s="75">
        <f>E167</f>
        <v>-0.92066666666666674</v>
      </c>
      <c r="F107" s="26" t="s">
        <v>46</v>
      </c>
    </row>
    <row r="108" spans="1:9">
      <c r="A108" s="4" t="s">
        <v>279</v>
      </c>
      <c r="D108" s="5" t="s">
        <v>280</v>
      </c>
      <c r="E108" s="75">
        <f>E168</f>
        <v>9.9999000000000003E-5</v>
      </c>
      <c r="F108" s="26" t="s">
        <v>46</v>
      </c>
    </row>
    <row r="109" spans="1:9">
      <c r="A109" s="4" t="s">
        <v>156</v>
      </c>
      <c r="D109" s="5" t="s">
        <v>298</v>
      </c>
      <c r="E109" s="23">
        <f>E104 - E47*E74 - E77 - E79</f>
        <v>27920.328290401932</v>
      </c>
      <c r="F109" s="26" t="s">
        <v>46</v>
      </c>
    </row>
    <row r="110" spans="1:9">
      <c r="A110" s="4" t="s">
        <v>96</v>
      </c>
      <c r="D110" s="5" t="s">
        <v>297</v>
      </c>
      <c r="E110" s="23">
        <f>E109</f>
        <v>27920.328290401932</v>
      </c>
      <c r="F110" s="26" t="s">
        <v>46</v>
      </c>
      <c r="H110" s="5"/>
      <c r="I110" s="5"/>
    </row>
    <row r="111" spans="1:9">
      <c r="A111" s="4" t="s">
        <v>97</v>
      </c>
      <c r="D111" s="5" t="s">
        <v>78</v>
      </c>
      <c r="E111" s="23">
        <f>E109*(1/(1+E34*(((((1-E34)/(E34))*(H146*D147/D153))^(1-E40))-1)))^(1/E41)</f>
        <v>27916.177653621769</v>
      </c>
      <c r="F111" s="26" t="s">
        <v>46</v>
      </c>
      <c r="H111" s="22"/>
      <c r="I111" s="23"/>
    </row>
    <row r="112" spans="1:9">
      <c r="A112" s="4" t="s">
        <v>122</v>
      </c>
      <c r="D112" s="5" t="s">
        <v>79</v>
      </c>
      <c r="E112" s="23">
        <f>E116 - E47*G165 + E111</f>
        <v>27927.480611005536</v>
      </c>
      <c r="F112" s="26" t="s">
        <v>46</v>
      </c>
      <c r="H112" s="22"/>
      <c r="I112" s="23"/>
    </row>
    <row r="113" spans="1:6">
      <c r="A113" s="4" t="s">
        <v>155</v>
      </c>
      <c r="D113" s="5" t="s">
        <v>321</v>
      </c>
      <c r="E113" s="23">
        <f>E112</f>
        <v>27927.480611005536</v>
      </c>
      <c r="F113" s="26" t="s">
        <v>46</v>
      </c>
    </row>
    <row r="114" spans="1:6">
      <c r="A114" s="4" t="s">
        <v>157</v>
      </c>
      <c r="C114" s="5"/>
      <c r="D114" s="13" t="s">
        <v>158</v>
      </c>
      <c r="E114" s="23">
        <v>0</v>
      </c>
      <c r="F114" s="26" t="s">
        <v>46</v>
      </c>
    </row>
    <row r="115" spans="1:6">
      <c r="A115" s="4" t="s">
        <v>152</v>
      </c>
      <c r="D115" s="13" t="s">
        <v>159</v>
      </c>
      <c r="E115" s="23">
        <f>E91*E47-E107-E108</f>
        <v>8.4630622218677534</v>
      </c>
      <c r="F115" s="26" t="s">
        <v>46</v>
      </c>
    </row>
    <row r="116" spans="1:6">
      <c r="A116" s="4" t="s">
        <v>153</v>
      </c>
      <c r="D116" s="13" t="s">
        <v>74</v>
      </c>
      <c r="E116" s="23">
        <f>E106-E107-E108-E47*F165 - F170</f>
        <v>11.303857426437133</v>
      </c>
      <c r="F116" s="26" t="s">
        <v>46</v>
      </c>
    </row>
    <row r="117" spans="1:6">
      <c r="A117" s="4" t="s">
        <v>154</v>
      </c>
      <c r="D117" s="13" t="s">
        <v>160</v>
      </c>
      <c r="E117" s="23">
        <v>0</v>
      </c>
      <c r="F117" s="26" t="s">
        <v>46</v>
      </c>
    </row>
    <row r="118" spans="1:6">
      <c r="A118" s="4" t="s">
        <v>161</v>
      </c>
      <c r="D118" s="13" t="s">
        <v>187</v>
      </c>
      <c r="E118" s="23">
        <v>0</v>
      </c>
      <c r="F118" s="26" t="s">
        <v>46</v>
      </c>
    </row>
    <row r="119" spans="1:6">
      <c r="D119" s="13"/>
      <c r="E119" s="23"/>
      <c r="F119" s="26"/>
    </row>
    <row r="120" spans="1:6">
      <c r="E120" s="22"/>
    </row>
    <row r="121" spans="1:6">
      <c r="E121" s="22"/>
    </row>
    <row r="140" spans="1:11">
      <c r="K140" s="27"/>
    </row>
    <row r="141" spans="1:11" ht="16.5" thickBot="1"/>
    <row r="142" spans="1:11">
      <c r="A142" s="28"/>
      <c r="B142" s="29" t="s">
        <v>89</v>
      </c>
      <c r="C142" s="29" t="s">
        <v>90</v>
      </c>
      <c r="D142" s="29" t="s">
        <v>91</v>
      </c>
      <c r="E142" s="29" t="s">
        <v>99</v>
      </c>
      <c r="F142" s="29" t="s">
        <v>100</v>
      </c>
      <c r="G142" s="29" t="s">
        <v>102</v>
      </c>
      <c r="H142" s="29" t="s">
        <v>101</v>
      </c>
    </row>
    <row r="143" spans="1:11">
      <c r="A143" s="30" t="s">
        <v>81</v>
      </c>
      <c r="B143" s="5" t="s">
        <v>5</v>
      </c>
      <c r="C143" s="5"/>
      <c r="D143" s="31">
        <f>$E47</f>
        <v>3.5750028600000004E-2</v>
      </c>
      <c r="E143" s="31">
        <f>$E47</f>
        <v>3.5750028600000004E-2</v>
      </c>
      <c r="F143" s="31">
        <f>$E47</f>
        <v>3.5750028600000004E-2</v>
      </c>
      <c r="G143" s="31">
        <f>$E47</f>
        <v>3.5750028600000004E-2</v>
      </c>
      <c r="H143" s="31">
        <f>$E47</f>
        <v>3.5750028600000004E-2</v>
      </c>
    </row>
    <row r="144" spans="1:11">
      <c r="A144" s="30" t="s">
        <v>9</v>
      </c>
      <c r="B144" s="5" t="s">
        <v>10</v>
      </c>
      <c r="C144" s="5"/>
      <c r="D144" s="31">
        <f>$E66</f>
        <v>3.2380660967337476</v>
      </c>
      <c r="E144" s="31">
        <f>$E66</f>
        <v>3.2380660967337476</v>
      </c>
      <c r="F144" s="31">
        <f>$E66</f>
        <v>3.2380660967337476</v>
      </c>
      <c r="G144" s="31">
        <f>$E66</f>
        <v>3.2380660967337476</v>
      </c>
      <c r="H144" s="31">
        <f>$E66</f>
        <v>3.2380660967337476</v>
      </c>
    </row>
    <row r="145" spans="1:13">
      <c r="A145" s="30" t="s">
        <v>82</v>
      </c>
      <c r="B145" s="5" t="s">
        <v>195</v>
      </c>
      <c r="C145" s="5"/>
      <c r="D145" s="106">
        <f>E71</f>
        <v>8.8333333333333339</v>
      </c>
      <c r="E145" s="106">
        <f t="shared" ref="E145:H146" si="1">$E83</f>
        <v>81.8</v>
      </c>
      <c r="F145" s="106">
        <f t="shared" si="1"/>
        <v>81.8</v>
      </c>
      <c r="G145" s="106">
        <f t="shared" si="1"/>
        <v>81.8</v>
      </c>
      <c r="H145" s="106">
        <f t="shared" si="1"/>
        <v>81.8</v>
      </c>
    </row>
    <row r="146" spans="1:13">
      <c r="A146" s="30" t="s">
        <v>83</v>
      </c>
      <c r="B146" s="5" t="s">
        <v>213</v>
      </c>
      <c r="C146" s="5"/>
      <c r="D146" s="104">
        <f>E72</f>
        <v>1.4569811320754717E-5</v>
      </c>
      <c r="E146" s="105">
        <f t="shared" si="1"/>
        <v>1.5733496332518339E-6</v>
      </c>
      <c r="F146" s="105">
        <f t="shared" si="1"/>
        <v>1.5733496332518339E-6</v>
      </c>
      <c r="G146" s="105">
        <f t="shared" si="1"/>
        <v>1.5733496332518339E-6</v>
      </c>
      <c r="H146" s="105">
        <f t="shared" si="1"/>
        <v>1.5733496332518339E-6</v>
      </c>
    </row>
    <row r="147" spans="1:13">
      <c r="A147" s="30" t="s">
        <v>84</v>
      </c>
      <c r="B147" s="5" t="s">
        <v>203</v>
      </c>
      <c r="C147" s="5"/>
      <c r="D147" s="33">
        <f>$E73</f>
        <v>580350</v>
      </c>
      <c r="E147" s="33">
        <f>E85</f>
        <v>580350</v>
      </c>
      <c r="F147" s="33">
        <f>E86</f>
        <v>1412866.9010645666</v>
      </c>
      <c r="G147" s="33">
        <f>E87</f>
        <v>1413438.9555402834</v>
      </c>
      <c r="H147" s="33">
        <f>E87</f>
        <v>1413438.9555402834</v>
      </c>
    </row>
    <row r="148" spans="1:13">
      <c r="A148" s="30" t="s">
        <v>40</v>
      </c>
      <c r="B148" s="5" t="s">
        <v>11</v>
      </c>
      <c r="C148" s="5"/>
      <c r="D148" s="33">
        <f>E74</f>
        <v>236.51981078415136</v>
      </c>
      <c r="E148" s="33">
        <f>E88</f>
        <v>25.541082946124256</v>
      </c>
      <c r="F148" s="33">
        <f>E89</f>
        <v>62.179978826438578</v>
      </c>
      <c r="G148" s="33">
        <f>E90</f>
        <v>62.205154825084193</v>
      </c>
      <c r="H148" s="33">
        <f>G148</f>
        <v>62.205154825084193</v>
      </c>
      <c r="I148" s="4" t="s">
        <v>460</v>
      </c>
    </row>
    <row r="149" spans="1:13">
      <c r="A149" s="30" t="s">
        <v>43</v>
      </c>
      <c r="B149" s="5" t="s">
        <v>11</v>
      </c>
      <c r="C149" s="5"/>
      <c r="D149" s="99">
        <f>E75/E76</f>
        <v>1.230342</v>
      </c>
      <c r="E149" s="99">
        <f>$E92/$E93</f>
        <v>0.65028545999999998</v>
      </c>
      <c r="F149" s="99">
        <f>$E92/$E93</f>
        <v>0.65028545999999998</v>
      </c>
      <c r="G149" s="99">
        <f>$E92/$E93</f>
        <v>0.65028545999999998</v>
      </c>
      <c r="H149" s="99">
        <f>$E92/$E93</f>
        <v>0.65028545999999998</v>
      </c>
    </row>
    <row r="150" spans="1:13">
      <c r="A150" s="30" t="s">
        <v>85</v>
      </c>
      <c r="B150" s="5" t="s">
        <v>46</v>
      </c>
      <c r="C150" s="5"/>
      <c r="D150" s="99">
        <f>E70/E76</f>
        <v>1.0416666666666667</v>
      </c>
      <c r="E150" s="99">
        <f>$E82/$E93</f>
        <v>0.121</v>
      </c>
      <c r="F150" s="99">
        <f>$E82/$E93</f>
        <v>0.121</v>
      </c>
      <c r="G150" s="99">
        <f>$E82/$E93</f>
        <v>0.121</v>
      </c>
      <c r="H150" s="99">
        <f>$E82/$E93</f>
        <v>0.121</v>
      </c>
    </row>
    <row r="151" spans="1:13">
      <c r="A151" s="30" t="s">
        <v>288</v>
      </c>
      <c r="B151" s="5" t="s">
        <v>46</v>
      </c>
      <c r="C151" s="24"/>
      <c r="D151" s="107">
        <f>E79</f>
        <v>1.0000000000000001E-9</v>
      </c>
      <c r="E151" s="107">
        <f>$E96</f>
        <v>1E-4</v>
      </c>
      <c r="F151" s="107">
        <f>$E96</f>
        <v>1E-4</v>
      </c>
      <c r="G151" s="107">
        <f>$E96</f>
        <v>1E-4</v>
      </c>
      <c r="H151" s="107">
        <f>$E96</f>
        <v>1E-4</v>
      </c>
    </row>
    <row r="152" spans="1:13">
      <c r="A152" s="30" t="s">
        <v>299</v>
      </c>
      <c r="B152" s="5" t="s">
        <v>46</v>
      </c>
      <c r="C152" s="5"/>
      <c r="D152" s="152">
        <f>D146*D147</f>
        <v>8.4555899999999991</v>
      </c>
      <c r="E152" s="99">
        <f>E146*E147</f>
        <v>0.91309345965770183</v>
      </c>
      <c r="F152" s="99">
        <f>F146*F147</f>
        <v>2.222933620623591</v>
      </c>
      <c r="G152" s="99">
        <f>G146*G147</f>
        <v>2.2238336623231598</v>
      </c>
      <c r="H152" s="99">
        <f>H146*H147</f>
        <v>2.2238336623231598</v>
      </c>
    </row>
    <row r="153" spans="1:13">
      <c r="A153" s="30" t="s">
        <v>87</v>
      </c>
      <c r="B153" s="5" t="s">
        <v>46</v>
      </c>
      <c r="C153" s="24"/>
      <c r="D153" s="34">
        <f>E109</f>
        <v>27920.328290401932</v>
      </c>
      <c r="E153" s="34">
        <f>E110</f>
        <v>27920.328290401932</v>
      </c>
      <c r="F153" s="34">
        <f>E111</f>
        <v>27916.177653621769</v>
      </c>
      <c r="G153" s="34">
        <f>E112</f>
        <v>27927.480611005536</v>
      </c>
      <c r="H153" s="34">
        <f>E113</f>
        <v>27927.480611005536</v>
      </c>
      <c r="I153" s="4" t="s">
        <v>322</v>
      </c>
      <c r="J153" s="73">
        <f>F155</f>
        <v>11.303857426437133</v>
      </c>
      <c r="K153" s="4" t="s">
        <v>323</v>
      </c>
    </row>
    <row r="154" spans="1:13">
      <c r="A154" s="30" t="s">
        <v>354</v>
      </c>
      <c r="B154" s="5" t="s">
        <v>46</v>
      </c>
      <c r="C154" s="5"/>
      <c r="D154" s="33">
        <f>E104</f>
        <v>27929.825547069602</v>
      </c>
      <c r="E154" s="33">
        <f>E104</f>
        <v>27929.825547069602</v>
      </c>
      <c r="F154" s="34">
        <f>E104</f>
        <v>27929.825547069602</v>
      </c>
      <c r="G154" s="33">
        <f>E104</f>
        <v>27929.825547069602</v>
      </c>
      <c r="H154" s="33">
        <f>E104</f>
        <v>27929.825547069602</v>
      </c>
      <c r="J154" s="114">
        <f>D143*G165 + G170</f>
        <v>11.303857426438238</v>
      </c>
      <c r="K154" s="114" t="s">
        <v>324</v>
      </c>
      <c r="L154" s="114"/>
      <c r="M154" s="114"/>
    </row>
    <row r="155" spans="1:13">
      <c r="A155" s="30" t="s">
        <v>88</v>
      </c>
      <c r="B155" s="5" t="s">
        <v>46</v>
      </c>
      <c r="C155" s="5"/>
      <c r="D155" s="100">
        <f>E114</f>
        <v>0</v>
      </c>
      <c r="E155" s="100">
        <f>E115</f>
        <v>8.4630622218677534</v>
      </c>
      <c r="F155" s="100">
        <f>E116</f>
        <v>11.303857426437133</v>
      </c>
      <c r="G155" s="100">
        <f>E117</f>
        <v>0</v>
      </c>
      <c r="H155" s="100">
        <f>E118</f>
        <v>0</v>
      </c>
      <c r="J155" s="22">
        <f>J153-J154</f>
        <v>-1.1048939541069558E-12</v>
      </c>
      <c r="K155" s="4" t="s">
        <v>325</v>
      </c>
    </row>
    <row r="156" spans="1:13" ht="16.5" thickBot="1">
      <c r="A156" s="35" t="s">
        <v>103</v>
      </c>
      <c r="B156" s="36" t="s">
        <v>46</v>
      </c>
      <c r="C156" s="36"/>
      <c r="D156" s="102">
        <v>0</v>
      </c>
      <c r="E156" s="101">
        <f>$E106</f>
        <v>7.5424955542010865</v>
      </c>
      <c r="F156" s="101">
        <f>$E106</f>
        <v>7.5424955542010865</v>
      </c>
      <c r="G156" s="101">
        <f>$E106</f>
        <v>7.5424955542010865</v>
      </c>
      <c r="H156" s="101">
        <f>$E106</f>
        <v>7.5424955542010865</v>
      </c>
    </row>
    <row r="157" spans="1:13">
      <c r="D157" s="5"/>
      <c r="E157" s="34"/>
      <c r="F157" s="34"/>
      <c r="G157" s="34"/>
      <c r="H157" s="33"/>
    </row>
    <row r="158" spans="1:13" ht="16.5" thickBot="1">
      <c r="C158" s="30" t="s">
        <v>108</v>
      </c>
      <c r="D158" s="5"/>
      <c r="E158" s="34"/>
      <c r="F158" s="34"/>
      <c r="G158" s="34"/>
      <c r="H158" s="33"/>
    </row>
    <row r="159" spans="1:13">
      <c r="A159" s="28"/>
      <c r="B159" s="29" t="s">
        <v>89</v>
      </c>
      <c r="C159" s="29" t="s">
        <v>90</v>
      </c>
      <c r="D159" s="29"/>
      <c r="E159" s="29" t="s">
        <v>104</v>
      </c>
      <c r="F159" s="29" t="s">
        <v>105</v>
      </c>
      <c r="G159" s="29" t="s">
        <v>106</v>
      </c>
      <c r="H159" s="29" t="s">
        <v>107</v>
      </c>
    </row>
    <row r="160" spans="1:13">
      <c r="A160" s="30" t="s">
        <v>81</v>
      </c>
      <c r="B160" s="5" t="s">
        <v>5</v>
      </c>
      <c r="C160" s="5"/>
      <c r="D160" s="38"/>
      <c r="E160" s="34">
        <f t="shared" ref="E160:H172" si="2">E143-D143</f>
        <v>0</v>
      </c>
      <c r="F160" s="34">
        <f t="shared" si="2"/>
        <v>0</v>
      </c>
      <c r="G160" s="34">
        <f t="shared" si="2"/>
        <v>0</v>
      </c>
      <c r="H160" s="34">
        <f t="shared" si="2"/>
        <v>0</v>
      </c>
    </row>
    <row r="161" spans="1:8">
      <c r="A161" s="30" t="s">
        <v>9</v>
      </c>
      <c r="B161" s="5" t="s">
        <v>10</v>
      </c>
      <c r="C161" s="5"/>
      <c r="D161" s="31"/>
      <c r="E161" s="34">
        <f t="shared" si="2"/>
        <v>0</v>
      </c>
      <c r="F161" s="34">
        <f t="shared" si="2"/>
        <v>0</v>
      </c>
      <c r="G161" s="34">
        <f t="shared" si="2"/>
        <v>0</v>
      </c>
      <c r="H161" s="34">
        <f t="shared" si="2"/>
        <v>0</v>
      </c>
    </row>
    <row r="162" spans="1:8">
      <c r="A162" s="30" t="s">
        <v>82</v>
      </c>
      <c r="B162" s="5" t="s">
        <v>195</v>
      </c>
      <c r="C162" s="5"/>
      <c r="D162" s="39"/>
      <c r="E162" s="34">
        <f t="shared" si="2"/>
        <v>72.966666666666669</v>
      </c>
      <c r="F162" s="34">
        <f t="shared" si="2"/>
        <v>0</v>
      </c>
      <c r="G162" s="34">
        <f t="shared" si="2"/>
        <v>0</v>
      </c>
      <c r="H162" s="34">
        <f t="shared" si="2"/>
        <v>0</v>
      </c>
    </row>
    <row r="163" spans="1:8">
      <c r="A163" s="30" t="s">
        <v>83</v>
      </c>
      <c r="B163" s="5" t="s">
        <v>213</v>
      </c>
      <c r="C163" s="5"/>
      <c r="D163" s="38"/>
      <c r="E163" s="81">
        <f t="shared" si="2"/>
        <v>-1.2996461687502882E-5</v>
      </c>
      <c r="F163" s="81">
        <f t="shared" si="2"/>
        <v>0</v>
      </c>
      <c r="G163" s="81">
        <f t="shared" si="2"/>
        <v>0</v>
      </c>
      <c r="H163" s="81">
        <f t="shared" si="2"/>
        <v>0</v>
      </c>
    </row>
    <row r="164" spans="1:8">
      <c r="A164" s="30" t="s">
        <v>84</v>
      </c>
      <c r="B164" s="5" t="s">
        <v>203</v>
      </c>
      <c r="C164" s="5"/>
      <c r="D164" s="34"/>
      <c r="E164" s="34">
        <f t="shared" si="2"/>
        <v>0</v>
      </c>
      <c r="F164" s="34">
        <f t="shared" si="2"/>
        <v>832516.90106456657</v>
      </c>
      <c r="G164" s="34">
        <f t="shared" si="2"/>
        <v>572.05447571678087</v>
      </c>
      <c r="H164" s="34">
        <f t="shared" si="2"/>
        <v>0</v>
      </c>
    </row>
    <row r="165" spans="1:8">
      <c r="A165" s="30" t="s">
        <v>40</v>
      </c>
      <c r="B165" s="5" t="s">
        <v>11</v>
      </c>
      <c r="C165" s="5"/>
      <c r="D165" s="34"/>
      <c r="E165" s="34">
        <f t="shared" si="2"/>
        <v>-210.97872783802711</v>
      </c>
      <c r="F165" s="34">
        <f t="shared" si="2"/>
        <v>36.638895880314323</v>
      </c>
      <c r="G165" s="34">
        <f t="shared" si="2"/>
        <v>2.5175998645615039E-2</v>
      </c>
      <c r="H165" s="34">
        <f t="shared" si="2"/>
        <v>0</v>
      </c>
    </row>
    <row r="166" spans="1:8">
      <c r="A166" s="30" t="s">
        <v>43</v>
      </c>
      <c r="B166" s="5" t="s">
        <v>11</v>
      </c>
      <c r="C166" s="5"/>
      <c r="D166" s="34"/>
      <c r="E166" s="100">
        <f t="shared" si="2"/>
        <v>-0.58005654000000006</v>
      </c>
      <c r="F166" s="100">
        <f t="shared" si="2"/>
        <v>0</v>
      </c>
      <c r="G166" s="100">
        <f t="shared" si="2"/>
        <v>0</v>
      </c>
      <c r="H166" s="100">
        <f t="shared" si="2"/>
        <v>0</v>
      </c>
    </row>
    <row r="167" spans="1:8">
      <c r="A167" s="30" t="s">
        <v>85</v>
      </c>
      <c r="B167" s="5" t="s">
        <v>46</v>
      </c>
      <c r="C167" s="5"/>
      <c r="D167" s="34"/>
      <c r="E167" s="100">
        <f t="shared" si="2"/>
        <v>-0.92066666666666674</v>
      </c>
      <c r="F167" s="100">
        <f t="shared" si="2"/>
        <v>0</v>
      </c>
      <c r="G167" s="100">
        <f t="shared" si="2"/>
        <v>0</v>
      </c>
      <c r="H167" s="100">
        <f t="shared" si="2"/>
        <v>0</v>
      </c>
    </row>
    <row r="168" spans="1:8">
      <c r="A168" s="30" t="s">
        <v>288</v>
      </c>
      <c r="B168" s="5" t="s">
        <v>46</v>
      </c>
      <c r="C168" s="24"/>
      <c r="D168" s="34"/>
      <c r="E168" s="100">
        <f t="shared" si="2"/>
        <v>9.9999000000000003E-5</v>
      </c>
      <c r="F168" s="100">
        <f t="shared" si="2"/>
        <v>0</v>
      </c>
      <c r="G168" s="100">
        <f t="shared" si="2"/>
        <v>0</v>
      </c>
      <c r="H168" s="100">
        <f t="shared" si="2"/>
        <v>0</v>
      </c>
    </row>
    <row r="169" spans="1:8">
      <c r="A169" s="30" t="s">
        <v>299</v>
      </c>
      <c r="B169" s="5" t="s">
        <v>46</v>
      </c>
      <c r="C169" s="5"/>
      <c r="D169" s="33"/>
      <c r="E169" s="99">
        <f t="shared" si="2"/>
        <v>-7.542496540342297</v>
      </c>
      <c r="F169" s="99">
        <f t="shared" si="2"/>
        <v>1.3098401609658892</v>
      </c>
      <c r="G169" s="99">
        <f t="shared" si="2"/>
        <v>9.0004169956880986E-4</v>
      </c>
      <c r="H169" s="99">
        <f t="shared" si="2"/>
        <v>0</v>
      </c>
    </row>
    <row r="170" spans="1:8">
      <c r="A170" s="30" t="s">
        <v>87</v>
      </c>
      <c r="B170" s="5" t="s">
        <v>46</v>
      </c>
      <c r="C170" s="24"/>
      <c r="D170" s="34"/>
      <c r="E170" s="100">
        <f t="shared" si="2"/>
        <v>0</v>
      </c>
      <c r="F170" s="100">
        <f>F153-E153</f>
        <v>-4.1506367801630404</v>
      </c>
      <c r="G170" s="100">
        <f t="shared" si="2"/>
        <v>11.302957383766625</v>
      </c>
      <c r="H170" s="100">
        <f t="shared" si="2"/>
        <v>0</v>
      </c>
    </row>
    <row r="171" spans="1:8">
      <c r="A171" s="30" t="s">
        <v>354</v>
      </c>
      <c r="B171" s="5" t="s">
        <v>46</v>
      </c>
      <c r="C171" s="5"/>
      <c r="D171" s="33"/>
      <c r="E171" s="34">
        <f t="shared" si="2"/>
        <v>0</v>
      </c>
      <c r="F171" s="34">
        <f t="shared" si="2"/>
        <v>0</v>
      </c>
      <c r="G171" s="34">
        <f t="shared" si="2"/>
        <v>0</v>
      </c>
      <c r="H171" s="34">
        <f t="shared" si="2"/>
        <v>0</v>
      </c>
    </row>
    <row r="172" spans="1:8">
      <c r="A172" s="30" t="s">
        <v>88</v>
      </c>
      <c r="B172" s="5" t="s">
        <v>46</v>
      </c>
      <c r="C172" s="5"/>
      <c r="D172" s="34"/>
      <c r="E172" s="100">
        <f t="shared" si="2"/>
        <v>8.4630622218677534</v>
      </c>
      <c r="F172" s="100">
        <f t="shared" si="2"/>
        <v>2.8407952045693801</v>
      </c>
      <c r="G172" s="100">
        <f t="shared" si="2"/>
        <v>-11.303857426437133</v>
      </c>
      <c r="H172" s="100">
        <f t="shared" si="2"/>
        <v>0</v>
      </c>
    </row>
    <row r="173" spans="1:8" ht="16.5" thickBot="1">
      <c r="A173" s="35" t="s">
        <v>103</v>
      </c>
      <c r="B173" s="36" t="s">
        <v>46</v>
      </c>
      <c r="C173" s="36"/>
      <c r="D173" s="40"/>
      <c r="E173" s="101">
        <f>E156-D156</f>
        <v>7.5424955542010865</v>
      </c>
      <c r="F173" s="101">
        <f>F156-E156</f>
        <v>0</v>
      </c>
      <c r="G173" s="101">
        <f>G156-F156</f>
        <v>0</v>
      </c>
      <c r="H173" s="101">
        <f>H156-G156</f>
        <v>0</v>
      </c>
    </row>
    <row r="176" spans="1:8">
      <c r="D176" s="41" t="s">
        <v>65</v>
      </c>
      <c r="E176" s="42">
        <v>0</v>
      </c>
    </row>
    <row r="179" spans="4:7">
      <c r="D179" s="9" t="s">
        <v>50</v>
      </c>
      <c r="E179" s="43" t="s">
        <v>98</v>
      </c>
      <c r="F179" s="44" t="s">
        <v>13</v>
      </c>
    </row>
    <row r="180" spans="4:7" ht="17.25">
      <c r="D180" s="4" t="s">
        <v>371</v>
      </c>
      <c r="E180" s="23">
        <f>D149</f>
        <v>1.230342</v>
      </c>
      <c r="F180" s="5" t="s">
        <v>11</v>
      </c>
    </row>
    <row r="181" spans="4:7">
      <c r="D181" s="4" t="s">
        <v>73</v>
      </c>
      <c r="E181" s="23">
        <f>E149</f>
        <v>0.65028545999999998</v>
      </c>
      <c r="F181" s="5" t="s">
        <v>11</v>
      </c>
    </row>
    <row r="182" spans="4:7">
      <c r="D182" s="4" t="s">
        <v>52</v>
      </c>
      <c r="E182" s="22">
        <f>E$91</f>
        <v>210.97872783802711</v>
      </c>
      <c r="F182" s="5" t="s">
        <v>11</v>
      </c>
      <c r="G182" s="22"/>
    </row>
    <row r="183" spans="4:7">
      <c r="D183" s="41" t="s">
        <v>53</v>
      </c>
      <c r="E183" s="42">
        <f>((E181/E180)-1)*E180/E182</f>
        <v>-2.7493603072880498E-3</v>
      </c>
    </row>
    <row r="185" spans="4:7">
      <c r="D185" s="10"/>
      <c r="E185" s="10"/>
    </row>
    <row r="186" spans="4:7">
      <c r="D186" s="10"/>
      <c r="E186" s="10"/>
    </row>
    <row r="187" spans="4:7">
      <c r="D187" s="9" t="s">
        <v>50</v>
      </c>
      <c r="E187" s="43" t="s">
        <v>98</v>
      </c>
      <c r="F187" s="44" t="s">
        <v>13</v>
      </c>
    </row>
    <row r="188" spans="4:7" ht="17.25">
      <c r="D188" s="4" t="s">
        <v>373</v>
      </c>
      <c r="E188" s="22">
        <f>D151</f>
        <v>1.0000000000000001E-9</v>
      </c>
      <c r="F188" s="5" t="s">
        <v>46</v>
      </c>
    </row>
    <row r="189" spans="4:7">
      <c r="D189" s="4" t="s">
        <v>284</v>
      </c>
      <c r="E189" s="22">
        <f>E151</f>
        <v>1E-4</v>
      </c>
      <c r="F189" s="5" t="s">
        <v>46</v>
      </c>
    </row>
    <row r="190" spans="4:7">
      <c r="D190" s="4" t="s">
        <v>54</v>
      </c>
      <c r="E190" s="19">
        <f>D$144</f>
        <v>3.2380660967337476</v>
      </c>
      <c r="F190" s="5" t="s">
        <v>10</v>
      </c>
    </row>
    <row r="191" spans="4:7">
      <c r="D191" s="4" t="s">
        <v>52</v>
      </c>
      <c r="E191" s="22">
        <f>E$91</f>
        <v>210.97872783802711</v>
      </c>
      <c r="F191" s="5" t="s">
        <v>11</v>
      </c>
    </row>
    <row r="192" spans="4:7">
      <c r="D192" s="41" t="s">
        <v>285</v>
      </c>
      <c r="E192" s="42">
        <f>((E189/E188)-1)*E188*E190/E191</f>
        <v>1.5347678646345276E-6</v>
      </c>
    </row>
    <row r="193" spans="4:6">
      <c r="D193" s="10"/>
      <c r="E193" s="45"/>
    </row>
    <row r="194" spans="4:6">
      <c r="D194" s="9" t="s">
        <v>50</v>
      </c>
      <c r="E194" s="43" t="s">
        <v>98</v>
      </c>
      <c r="F194" s="44" t="s">
        <v>13</v>
      </c>
    </row>
    <row r="195" spans="4:6">
      <c r="D195" s="4" t="s">
        <v>109</v>
      </c>
      <c r="E195" s="11">
        <f>H145</f>
        <v>81.8</v>
      </c>
      <c r="F195" s="5" t="s">
        <v>195</v>
      </c>
    </row>
    <row r="196" spans="4:6">
      <c r="D196" s="4" t="s">
        <v>55</v>
      </c>
      <c r="E196" s="11">
        <f>D145</f>
        <v>8.8333333333333339</v>
      </c>
      <c r="F196" s="5" t="s">
        <v>195</v>
      </c>
    </row>
    <row r="197" spans="4:6" ht="17.25">
      <c r="D197" s="4" t="s">
        <v>378</v>
      </c>
      <c r="E197" s="23">
        <f>D147</f>
        <v>580350</v>
      </c>
      <c r="F197" s="13" t="s">
        <v>386</v>
      </c>
    </row>
    <row r="198" spans="4:6">
      <c r="D198" s="4" t="s">
        <v>379</v>
      </c>
      <c r="E198" s="23">
        <f>F147</f>
        <v>1412866.9010645666</v>
      </c>
      <c r="F198" s="13" t="s">
        <v>386</v>
      </c>
    </row>
    <row r="199" spans="4:6">
      <c r="D199" s="41" t="s">
        <v>56</v>
      </c>
      <c r="E199" s="42">
        <f>((E198/E197)-1) / ((E195/E196)-1)</f>
        <v>0.17366135389787599</v>
      </c>
    </row>
    <row r="202" spans="4:6">
      <c r="D202" s="9" t="s">
        <v>50</v>
      </c>
      <c r="E202" s="43" t="s">
        <v>98</v>
      </c>
      <c r="F202" s="44" t="s">
        <v>13</v>
      </c>
    </row>
    <row r="203" spans="4:6">
      <c r="D203" s="4" t="s">
        <v>109</v>
      </c>
      <c r="E203" s="11">
        <f>H145</f>
        <v>81.8</v>
      </c>
      <c r="F203" s="5" t="s">
        <v>195</v>
      </c>
    </row>
    <row r="204" spans="4:6" ht="17.25">
      <c r="D204" s="4" t="s">
        <v>374</v>
      </c>
      <c r="E204" s="11">
        <f>D145</f>
        <v>8.8333333333333339</v>
      </c>
      <c r="F204" s="5" t="s">
        <v>195</v>
      </c>
    </row>
    <row r="205" spans="4:6" ht="17.25">
      <c r="D205" s="4" t="s">
        <v>375</v>
      </c>
      <c r="E205" s="22">
        <f>D153</f>
        <v>27920.328290401932</v>
      </c>
      <c r="F205" s="5" t="s">
        <v>46</v>
      </c>
    </row>
    <row r="206" spans="4:6" ht="17.25">
      <c r="D206" s="4" t="s">
        <v>377</v>
      </c>
      <c r="E206" s="22">
        <f>F153</f>
        <v>27916.177653621769</v>
      </c>
      <c r="F206" s="5" t="s">
        <v>46</v>
      </c>
    </row>
    <row r="207" spans="4:6">
      <c r="D207" s="4" t="s">
        <v>54</v>
      </c>
      <c r="E207" s="19">
        <f>D$144</f>
        <v>3.2380660967337476</v>
      </c>
      <c r="F207" s="5" t="s">
        <v>10</v>
      </c>
    </row>
    <row r="208" spans="4:6">
      <c r="D208" s="4" t="s">
        <v>162</v>
      </c>
      <c r="E208" s="22">
        <f>D148</f>
        <v>236.51981078415136</v>
      </c>
      <c r="F208" s="5" t="s">
        <v>11</v>
      </c>
    </row>
    <row r="209" spans="4:6">
      <c r="D209" s="41" t="s">
        <v>57</v>
      </c>
      <c r="E209" s="42">
        <f>(((E206/E205)-1)/((E203/E204)-1))*(E203/E204)*(E205*E207/E208)</f>
        <v>-6.3703268183528297E-2</v>
      </c>
    </row>
    <row r="213" spans="4:6">
      <c r="D213" s="9" t="s">
        <v>50</v>
      </c>
      <c r="E213" s="43" t="s">
        <v>98</v>
      </c>
      <c r="F213" s="44" t="s">
        <v>13</v>
      </c>
    </row>
    <row r="214" spans="4:6">
      <c r="D214" s="4" t="s">
        <v>74</v>
      </c>
      <c r="E214" s="23">
        <f>F155</f>
        <v>11.303857426437133</v>
      </c>
      <c r="F214" s="5" t="s">
        <v>46</v>
      </c>
    </row>
    <row r="215" spans="4:6">
      <c r="D215" s="71" t="s">
        <v>355</v>
      </c>
      <c r="E215" s="23">
        <f>E105</f>
        <v>27918.400589643163</v>
      </c>
      <c r="F215" s="13" t="s">
        <v>46</v>
      </c>
    </row>
    <row r="216" spans="4:6">
      <c r="D216" s="4" t="str">
        <f>D38</f>
        <v>epsilon_{q_s,M}</v>
      </c>
      <c r="E216" s="10">
        <f>E38</f>
        <v>1</v>
      </c>
      <c r="F216" s="71"/>
    </row>
    <row r="217" spans="4:6" ht="17.25">
      <c r="D217" s="4" t="s">
        <v>378</v>
      </c>
      <c r="E217" s="23">
        <f>D147</f>
        <v>580350</v>
      </c>
      <c r="F217" s="13" t="s">
        <v>386</v>
      </c>
    </row>
    <row r="218" spans="4:6">
      <c r="D218" s="4" t="s">
        <v>379</v>
      </c>
      <c r="E218" s="23">
        <f>F147</f>
        <v>1412866.9010645666</v>
      </c>
      <c r="F218" s="13" t="s">
        <v>386</v>
      </c>
    </row>
    <row r="219" spans="4:6">
      <c r="D219" s="4" t="s">
        <v>109</v>
      </c>
      <c r="E219" s="11">
        <f>H145</f>
        <v>81.8</v>
      </c>
      <c r="F219" s="5" t="s">
        <v>195</v>
      </c>
    </row>
    <row r="220" spans="4:6" ht="17.25">
      <c r="D220" s="4" t="s">
        <v>374</v>
      </c>
      <c r="E220" s="11">
        <f>D145</f>
        <v>8.8333333333333339</v>
      </c>
      <c r="F220" s="5" t="s">
        <v>195</v>
      </c>
    </row>
    <row r="221" spans="4:6">
      <c r="D221" s="41" t="s">
        <v>59</v>
      </c>
      <c r="E221" s="42">
        <f>(((1+E214/E215)^E216)-1)*(E218/E217)/(E219/E220-1)</f>
        <v>1.1932941496964893E-4</v>
      </c>
    </row>
    <row r="222" spans="4:6">
      <c r="D222" s="5"/>
      <c r="E222" s="5"/>
    </row>
    <row r="226" spans="4:6">
      <c r="D226" s="9" t="s">
        <v>50</v>
      </c>
      <c r="E226" s="43" t="s">
        <v>98</v>
      </c>
      <c r="F226" s="44" t="s">
        <v>13</v>
      </c>
    </row>
    <row r="227" spans="4:6">
      <c r="D227" s="4" t="s">
        <v>80</v>
      </c>
      <c r="E227" s="22">
        <f>G170</f>
        <v>11.302957383766625</v>
      </c>
      <c r="F227" s="5" t="s">
        <v>60</v>
      </c>
    </row>
    <row r="228" spans="4:6">
      <c r="D228" s="4" t="s">
        <v>54</v>
      </c>
      <c r="E228" s="19">
        <f>D$144</f>
        <v>3.2380660967337476</v>
      </c>
      <c r="F228" s="5" t="s">
        <v>10</v>
      </c>
    </row>
    <row r="229" spans="4:6">
      <c r="D229" s="4" t="s">
        <v>52</v>
      </c>
      <c r="E229" s="22">
        <f>E$91</f>
        <v>210.97872783802711</v>
      </c>
      <c r="F229" s="33" t="str">
        <f>F191</f>
        <v>MJ/yr</v>
      </c>
    </row>
    <row r="230" spans="4:6">
      <c r="D230" s="41" t="s">
        <v>61</v>
      </c>
      <c r="E230" s="136">
        <f>E227*E228/E229</f>
        <v>0.17347589243831008</v>
      </c>
    </row>
    <row r="232" spans="4:6">
      <c r="D232" s="9" t="s">
        <v>50</v>
      </c>
      <c r="E232" s="43" t="s">
        <v>98</v>
      </c>
      <c r="F232" s="44" t="s">
        <v>13</v>
      </c>
    </row>
    <row r="233" spans="4:6">
      <c r="D233" s="4" t="str">
        <f>D214</f>
        <v>Ndot_hat</v>
      </c>
      <c r="E233" s="23">
        <f>E214</f>
        <v>11.303857426437133</v>
      </c>
      <c r="F233" s="5" t="s">
        <v>46</v>
      </c>
    </row>
    <row r="234" spans="4:6">
      <c r="D234" s="4" t="str">
        <f>D215</f>
        <v>Mdot_prime_hat</v>
      </c>
      <c r="E234" s="23">
        <f>E215</f>
        <v>27918.400589643163</v>
      </c>
      <c r="F234" s="13" t="s">
        <v>46</v>
      </c>
    </row>
    <row r="235" spans="4:6">
      <c r="D235" s="4" t="s">
        <v>296</v>
      </c>
      <c r="E235" s="23">
        <f>E39</f>
        <v>1</v>
      </c>
      <c r="F235" s="71"/>
    </row>
    <row r="236" spans="4:6">
      <c r="D236" s="4" t="str">
        <f t="shared" ref="D236:F237" si="3">D219</f>
        <v>eta_tilde</v>
      </c>
      <c r="E236" s="23">
        <f t="shared" si="3"/>
        <v>81.8</v>
      </c>
      <c r="F236" s="5" t="str">
        <f t="shared" si="3"/>
        <v>Lm/W</v>
      </c>
    </row>
    <row r="237" spans="4:6">
      <c r="D237" s="4" t="str">
        <f t="shared" si="3"/>
        <v>etao</v>
      </c>
      <c r="E237" s="23">
        <f t="shared" si="3"/>
        <v>8.8333333333333339</v>
      </c>
      <c r="F237" s="5" t="str">
        <f t="shared" si="3"/>
        <v>Lm/W</v>
      </c>
    </row>
    <row r="238" spans="4:6">
      <c r="D238" s="4" t="s">
        <v>300</v>
      </c>
      <c r="E238" s="23">
        <f>E109</f>
        <v>27920.328290401932</v>
      </c>
      <c r="F238" s="5" t="s">
        <v>60</v>
      </c>
    </row>
    <row r="239" spans="4:6">
      <c r="D239" s="4" t="s">
        <v>384</v>
      </c>
      <c r="E239" s="23">
        <f>F153</f>
        <v>27916.177653621769</v>
      </c>
      <c r="F239" s="5" t="s">
        <v>60</v>
      </c>
    </row>
    <row r="240" spans="4:6">
      <c r="D240" s="4" t="str">
        <f>D228</f>
        <v>I_E</v>
      </c>
      <c r="E240" s="72">
        <f>E228</f>
        <v>3.2380660967337476</v>
      </c>
      <c r="F240" s="5" t="s">
        <v>10</v>
      </c>
    </row>
    <row r="241" spans="4:8">
      <c r="D241" s="4" t="s">
        <v>356</v>
      </c>
      <c r="E241" s="23">
        <f>D148</f>
        <v>236.51981078415136</v>
      </c>
      <c r="F241" s="33" t="s">
        <v>11</v>
      </c>
    </row>
    <row r="242" spans="4:8">
      <c r="D242" s="41" t="s">
        <v>61</v>
      </c>
      <c r="E242" s="136">
        <f>((1 + E233/E234)^E235 - 1) / (E236/E237 - 1) * E236/E237 * E239 * E240 / E241</f>
        <v>0.17347586975728582</v>
      </c>
    </row>
    <row r="244" spans="4:8">
      <c r="D244" s="9"/>
      <c r="E244" s="43"/>
      <c r="F244" s="44"/>
    </row>
    <row r="245" spans="4:8">
      <c r="D245" s="9" t="s">
        <v>50</v>
      </c>
      <c r="E245" s="43" t="s">
        <v>98</v>
      </c>
      <c r="F245" s="44" t="s">
        <v>13</v>
      </c>
    </row>
    <row r="246" spans="4:8">
      <c r="D246" s="4" t="s">
        <v>112</v>
      </c>
      <c r="E246" s="22">
        <f>E167</f>
        <v>-0.92066666666666674</v>
      </c>
      <c r="F246" s="5" t="s">
        <v>46</v>
      </c>
    </row>
    <row r="247" spans="4:8">
      <c r="D247" s="4" t="s">
        <v>54</v>
      </c>
      <c r="E247" s="19">
        <f>D$144</f>
        <v>3.2380660967337476</v>
      </c>
      <c r="F247" s="5" t="str">
        <f>F228</f>
        <v>MJ/$</v>
      </c>
    </row>
    <row r="248" spans="4:8">
      <c r="D248" s="4" t="s">
        <v>52</v>
      </c>
      <c r="E248" s="22">
        <f>E$91</f>
        <v>210.97872783802711</v>
      </c>
      <c r="F248" s="33" t="str">
        <f>F229</f>
        <v>MJ/yr</v>
      </c>
    </row>
    <row r="249" spans="4:8">
      <c r="D249" s="41" t="s">
        <v>64</v>
      </c>
      <c r="E249" s="42">
        <f>E246*E247/E248</f>
        <v>-1.4130237442776312E-2</v>
      </c>
      <c r="F249" s="46"/>
    </row>
    <row r="250" spans="4:8">
      <c r="F250" s="46"/>
    </row>
    <row r="251" spans="4:8">
      <c r="F251" s="46"/>
    </row>
    <row r="252" spans="4:8">
      <c r="D252" s="9" t="s">
        <v>50</v>
      </c>
      <c r="E252" s="43" t="s">
        <v>98</v>
      </c>
      <c r="F252" s="44" t="s">
        <v>13</v>
      </c>
    </row>
    <row r="253" spans="4:8">
      <c r="D253" s="4" t="s">
        <v>62</v>
      </c>
      <c r="E253" s="52">
        <f>B4</f>
        <v>1</v>
      </c>
      <c r="G253" s="7" t="s">
        <v>184</v>
      </c>
    </row>
    <row r="254" spans="4:8">
      <c r="D254" s="4" t="s">
        <v>159</v>
      </c>
      <c r="E254" s="23">
        <f>E155</f>
        <v>8.4630622218677534</v>
      </c>
      <c r="F254" s="5" t="s">
        <v>60</v>
      </c>
      <c r="G254" s="10" t="s">
        <v>179</v>
      </c>
      <c r="H254" s="62">
        <f>E253*E67</f>
        <v>0.11576095556692186</v>
      </c>
    </row>
    <row r="255" spans="4:8">
      <c r="D255" s="4" t="s">
        <v>54</v>
      </c>
      <c r="E255" s="19">
        <f>D$144</f>
        <v>3.2380660967337476</v>
      </c>
      <c r="F255" s="61" t="str">
        <f>F228</f>
        <v>MJ/$</v>
      </c>
      <c r="G255" s="10" t="s">
        <v>180</v>
      </c>
      <c r="H255" s="62">
        <f>-E253*E249</f>
        <v>1.4130237442776312E-2</v>
      </c>
    </row>
    <row r="256" spans="4:8">
      <c r="D256" s="4" t="s">
        <v>52</v>
      </c>
      <c r="E256" s="22">
        <f>E$91</f>
        <v>210.97872783802711</v>
      </c>
      <c r="F256" s="61" t="str">
        <f>F229</f>
        <v>MJ/yr</v>
      </c>
      <c r="G256" s="10" t="s">
        <v>181</v>
      </c>
      <c r="H256" s="62">
        <f>-E253*E192</f>
        <v>-1.5347678646345276E-6</v>
      </c>
    </row>
    <row r="257" spans="1:8">
      <c r="D257" s="41" t="s">
        <v>437</v>
      </c>
      <c r="E257" s="42">
        <f>E253*E254*E255/E256</f>
        <v>0.12988965824183354</v>
      </c>
      <c r="G257" s="41" t="s">
        <v>437</v>
      </c>
      <c r="H257" s="42">
        <f>SUM(H254:H256)</f>
        <v>0.12988965824183354</v>
      </c>
    </row>
    <row r="259" spans="1:8">
      <c r="F259" s="46"/>
    </row>
    <row r="260" spans="1:8">
      <c r="A260" s="9" t="s">
        <v>185</v>
      </c>
      <c r="D260" s="9" t="s">
        <v>50</v>
      </c>
      <c r="E260" s="43" t="s">
        <v>98</v>
      </c>
    </row>
    <row r="261" spans="1:8">
      <c r="A261" s="214" t="s">
        <v>289</v>
      </c>
      <c r="B261" s="214"/>
      <c r="C261" s="214"/>
      <c r="D261" s="4" t="s">
        <v>53</v>
      </c>
      <c r="E261" s="45">
        <f>E$183</f>
        <v>-2.7493603072880498E-3</v>
      </c>
    </row>
    <row r="262" spans="1:8">
      <c r="D262" s="4" t="s">
        <v>285</v>
      </c>
      <c r="E262" s="45">
        <f>E$192</f>
        <v>1.5347678646345276E-6</v>
      </c>
    </row>
    <row r="263" spans="1:8">
      <c r="D263" s="4" t="s">
        <v>56</v>
      </c>
      <c r="E263" s="45">
        <f>E$199</f>
        <v>0.17366135389787599</v>
      </c>
    </row>
    <row r="264" spans="1:8">
      <c r="D264" s="4" t="s">
        <v>57</v>
      </c>
      <c r="E264" s="45">
        <f>E$209</f>
        <v>-6.3703268183528297E-2</v>
      </c>
    </row>
    <row r="265" spans="1:8">
      <c r="D265" s="4" t="s">
        <v>59</v>
      </c>
      <c r="E265" s="45">
        <f>E$221</f>
        <v>1.1932941496964893E-4</v>
      </c>
    </row>
    <row r="266" spans="1:8">
      <c r="D266" s="4" t="s">
        <v>61</v>
      </c>
      <c r="E266" s="45">
        <f>E230</f>
        <v>0.17347589243831008</v>
      </c>
    </row>
    <row r="267" spans="1:8">
      <c r="D267" s="4" t="s">
        <v>437</v>
      </c>
      <c r="E267" s="45">
        <f>E257</f>
        <v>0.12988965824183354</v>
      </c>
    </row>
    <row r="268" spans="1:8">
      <c r="D268" s="41" t="s">
        <v>171</v>
      </c>
      <c r="E268" s="42">
        <f>SUM(E261:E267)</f>
        <v>0.41069514027003751</v>
      </c>
      <c r="F268" s="26"/>
    </row>
    <row r="269" spans="1:8">
      <c r="B269" s="9"/>
    </row>
    <row r="270" spans="1:8">
      <c r="A270" s="9" t="s">
        <v>186</v>
      </c>
      <c r="D270" s="9" t="s">
        <v>50</v>
      </c>
      <c r="E270" s="43" t="s">
        <v>98</v>
      </c>
      <c r="F270" s="44"/>
    </row>
    <row r="271" spans="1:8">
      <c r="D271" s="4" t="s">
        <v>62</v>
      </c>
      <c r="E271" s="19">
        <f>B4</f>
        <v>1</v>
      </c>
    </row>
    <row r="272" spans="1:8">
      <c r="D272" s="4" t="s">
        <v>53</v>
      </c>
      <c r="E272" s="60">
        <f>E261</f>
        <v>-2.7493603072880498E-3</v>
      </c>
    </row>
    <row r="273" spans="1:5">
      <c r="D273" s="4" t="s">
        <v>180</v>
      </c>
      <c r="E273" s="60">
        <f>-E271*E249</f>
        <v>1.4130237442776312E-2</v>
      </c>
    </row>
    <row r="274" spans="1:5">
      <c r="D274" s="4" t="s">
        <v>357</v>
      </c>
      <c r="E274" s="60">
        <f>(1-E271)*E192</f>
        <v>0</v>
      </c>
    </row>
    <row r="275" spans="1:5">
      <c r="D275" s="4" t="s">
        <v>56</v>
      </c>
      <c r="E275" s="60">
        <f>E199</f>
        <v>0.17366135389787599</v>
      </c>
    </row>
    <row r="276" spans="1:5">
      <c r="D276" s="4" t="s">
        <v>57</v>
      </c>
      <c r="E276" s="45">
        <f>E209</f>
        <v>-6.3703268183528297E-2</v>
      </c>
    </row>
    <row r="277" spans="1:5">
      <c r="D277" s="4" t="s">
        <v>359</v>
      </c>
      <c r="E277" s="60">
        <f>E221+E230</f>
        <v>0.17359522185327972</v>
      </c>
    </row>
    <row r="278" spans="1:5">
      <c r="D278" s="4" t="s">
        <v>358</v>
      </c>
      <c r="E278" s="49">
        <f>E271*E67</f>
        <v>0.11576095556692186</v>
      </c>
    </row>
    <row r="279" spans="1:5">
      <c r="D279" s="41" t="s">
        <v>172</v>
      </c>
      <c r="E279" s="42">
        <f>SUM(E272:E278)</f>
        <v>0.41069514027003751</v>
      </c>
    </row>
    <row r="281" spans="1:5">
      <c r="D281" s="9" t="s">
        <v>50</v>
      </c>
      <c r="E281" s="43" t="s">
        <v>98</v>
      </c>
    </row>
    <row r="282" spans="1:5">
      <c r="A282" s="9" t="s">
        <v>444</v>
      </c>
      <c r="D282" s="4" t="s">
        <v>62</v>
      </c>
      <c r="E282" s="19">
        <f>E271</f>
        <v>1</v>
      </c>
    </row>
    <row r="283" spans="1:5">
      <c r="D283" s="4" t="s">
        <v>53</v>
      </c>
      <c r="E283" s="60">
        <f>E183</f>
        <v>-2.7493603072880498E-3</v>
      </c>
    </row>
    <row r="284" spans="1:5">
      <c r="D284" s="4" t="s">
        <v>180</v>
      </c>
      <c r="E284" s="60">
        <f>-E282*E249</f>
        <v>1.4130237442776312E-2</v>
      </c>
    </row>
    <row r="285" spans="1:5">
      <c r="D285" s="4" t="s">
        <v>357</v>
      </c>
      <c r="E285" s="60">
        <f>(1-E282)*E$192</f>
        <v>0</v>
      </c>
    </row>
    <row r="286" spans="1:5">
      <c r="D286" s="4" t="s">
        <v>56</v>
      </c>
      <c r="E286" s="60">
        <f>E199</f>
        <v>0.17366135389787599</v>
      </c>
    </row>
    <row r="287" spans="1:5">
      <c r="D287" s="4" t="s">
        <v>57</v>
      </c>
      <c r="E287" s="45">
        <f>E209</f>
        <v>-6.3703268183528297E-2</v>
      </c>
    </row>
    <row r="288" spans="1:5">
      <c r="D288" s="4" t="s">
        <v>359</v>
      </c>
      <c r="E288" s="60">
        <f>E221+E242</f>
        <v>0.17359519917225547</v>
      </c>
    </row>
    <row r="289" spans="1:16">
      <c r="D289" s="4" t="s">
        <v>358</v>
      </c>
      <c r="E289" s="49">
        <f>E282*E66*E47</f>
        <v>0.11576095556692186</v>
      </c>
    </row>
    <row r="290" spans="1:16">
      <c r="D290" s="41" t="s">
        <v>360</v>
      </c>
      <c r="E290" s="42">
        <f>SUM(E283:E289)</f>
        <v>0.41069511758901328</v>
      </c>
    </row>
    <row r="294" spans="1:16" ht="16.5" thickBot="1"/>
    <row r="295" spans="1:16" ht="18.75">
      <c r="A295" s="47"/>
      <c r="B295" s="47"/>
      <c r="C295" s="47"/>
      <c r="D295" s="47"/>
      <c r="E295" s="47"/>
      <c r="F295" s="47"/>
      <c r="G295" s="47"/>
      <c r="H295" s="47"/>
      <c r="I295" s="47"/>
      <c r="J295" s="30" t="s">
        <v>136</v>
      </c>
    </row>
    <row r="296" spans="1:16" ht="18.75">
      <c r="A296" s="30" t="s">
        <v>110</v>
      </c>
      <c r="B296" s="30" t="s">
        <v>137</v>
      </c>
      <c r="C296" s="48">
        <f>E176</f>
        <v>0</v>
      </c>
      <c r="D296" s="30" t="s">
        <v>138</v>
      </c>
      <c r="E296" s="48">
        <f>E199</f>
        <v>0.17366135389787599</v>
      </c>
      <c r="F296" s="30" t="s">
        <v>139</v>
      </c>
      <c r="G296" s="48">
        <f>E221</f>
        <v>1.1932941496964893E-4</v>
      </c>
      <c r="I296" s="49"/>
      <c r="J296" s="49">
        <f>SUM(C296:I296)</f>
        <v>0.17378068331284563</v>
      </c>
    </row>
    <row r="297" spans="1:16">
      <c r="A297" s="30"/>
      <c r="B297" s="30"/>
      <c r="C297" s="48"/>
      <c r="D297" s="30"/>
      <c r="E297" s="48"/>
      <c r="F297" s="4"/>
      <c r="G297" s="48"/>
      <c r="I297" s="49"/>
      <c r="J297" s="49"/>
    </row>
    <row r="298" spans="1:16" ht="18.75">
      <c r="A298" s="30" t="s">
        <v>111</v>
      </c>
      <c r="B298" s="30" t="s">
        <v>140</v>
      </c>
      <c r="C298" s="48">
        <f>E183</f>
        <v>-2.7493603072880498E-3</v>
      </c>
      <c r="D298" s="30" t="s">
        <v>141</v>
      </c>
      <c r="E298" s="48">
        <f>E209</f>
        <v>-6.3703268183528297E-2</v>
      </c>
      <c r="F298" s="30" t="s">
        <v>142</v>
      </c>
      <c r="G298" s="48">
        <f>E230</f>
        <v>0.17347589243831008</v>
      </c>
      <c r="H298" s="30" t="s">
        <v>505</v>
      </c>
      <c r="I298" s="48">
        <f>E257</f>
        <v>0.12988965824183354</v>
      </c>
      <c r="J298" s="65">
        <f>SUM(C298:I299)</f>
        <v>0.2369144569571919</v>
      </c>
    </row>
    <row r="299" spans="1:16" ht="19.5" thickBot="1">
      <c r="A299" s="35"/>
      <c r="B299" s="35" t="s">
        <v>287</v>
      </c>
      <c r="C299" s="56">
        <f>E192</f>
        <v>1.5347678646345276E-6</v>
      </c>
      <c r="D299" s="35"/>
      <c r="E299" s="56"/>
      <c r="F299" s="35"/>
      <c r="G299" s="56"/>
      <c r="H299" s="35"/>
      <c r="I299" s="56"/>
      <c r="K299" s="49">
        <f>SUM(J296:J299)</f>
        <v>0.41069514027003751</v>
      </c>
    </row>
    <row r="300" spans="1:16">
      <c r="A300" s="30" t="s">
        <v>117</v>
      </c>
      <c r="C300" s="48">
        <f>SUM(C296:C299)</f>
        <v>-2.7478255394234154E-3</v>
      </c>
      <c r="D300" s="5"/>
      <c r="E300" s="48">
        <f>SUM(E296:E299)</f>
        <v>0.10995808571434769</v>
      </c>
      <c r="G300" s="48">
        <f>SUM(G296:G299)</f>
        <v>0.17359522185327972</v>
      </c>
      <c r="H300" s="5"/>
      <c r="I300" s="48">
        <f>SUM(I298:I299)</f>
        <v>0.12988965824183354</v>
      </c>
      <c r="J300" s="50">
        <f>SUM(C300:I300)</f>
        <v>0.41069514027003751</v>
      </c>
    </row>
    <row r="303" spans="1:16" s="2" customFormat="1">
      <c r="A303" s="9" t="s">
        <v>232</v>
      </c>
      <c r="B303" s="9"/>
      <c r="C303" s="9"/>
      <c r="D303" s="9"/>
      <c r="E303" s="9"/>
      <c r="F303" s="44"/>
      <c r="G303" s="9"/>
      <c r="H303" s="9"/>
      <c r="I303" s="9"/>
      <c r="J303" s="9"/>
      <c r="K303" s="9"/>
      <c r="L303" s="9"/>
      <c r="M303" s="9"/>
      <c r="N303" s="9"/>
      <c r="O303" s="9"/>
      <c r="P303" s="9"/>
    </row>
    <row r="304" spans="1:16">
      <c r="A304" s="4" t="s">
        <v>233</v>
      </c>
      <c r="B304" s="77">
        <f>3.75/2</f>
        <v>1.875</v>
      </c>
      <c r="C304" s="4" t="s">
        <v>164</v>
      </c>
      <c r="G304" s="5"/>
    </row>
    <row r="305" spans="1:7">
      <c r="A305" s="4" t="s">
        <v>234</v>
      </c>
      <c r="B305" s="55">
        <v>1.8</v>
      </c>
      <c r="C305" s="4" t="s">
        <v>69</v>
      </c>
      <c r="G305" s="5"/>
    </row>
    <row r="306" spans="1:7">
      <c r="A306" s="4" t="s">
        <v>235</v>
      </c>
      <c r="B306" s="54">
        <v>530</v>
      </c>
      <c r="C306" s="4" t="s">
        <v>211</v>
      </c>
      <c r="G306" s="5"/>
    </row>
    <row r="307" spans="1:7">
      <c r="A307" s="4" t="s">
        <v>236</v>
      </c>
      <c r="B307" s="54">
        <v>60</v>
      </c>
      <c r="C307" s="4" t="s">
        <v>212</v>
      </c>
      <c r="G307" s="5"/>
    </row>
    <row r="308" spans="1:7">
      <c r="A308" s="4" t="s">
        <v>237</v>
      </c>
      <c r="B308" s="76">
        <f>B306/B307</f>
        <v>8.8333333333333339</v>
      </c>
      <c r="C308" s="4" t="s">
        <v>195</v>
      </c>
      <c r="G308" s="5"/>
    </row>
    <row r="309" spans="1:7">
      <c r="A309" s="4" t="s">
        <v>238</v>
      </c>
      <c r="B309" s="23">
        <f>(B307/1000)*B310*E$52</f>
        <v>236.51981078415136</v>
      </c>
      <c r="C309" s="4" t="s">
        <v>66</v>
      </c>
      <c r="G309" s="5"/>
    </row>
    <row r="310" spans="1:7">
      <c r="A310" s="4" t="s">
        <v>240</v>
      </c>
      <c r="B310" s="23">
        <f>3*365</f>
        <v>1095</v>
      </c>
      <c r="C310" s="4" t="s">
        <v>320</v>
      </c>
      <c r="G310" s="5"/>
    </row>
    <row r="311" spans="1:7">
      <c r="A311" s="4" t="s">
        <v>312</v>
      </c>
      <c r="B311" s="23">
        <f>B306*B310*B305</f>
        <v>1044630</v>
      </c>
      <c r="C311" s="4" t="s">
        <v>317</v>
      </c>
      <c r="G311" s="5"/>
    </row>
    <row r="312" spans="1:7">
      <c r="A312" s="4" t="s">
        <v>315</v>
      </c>
      <c r="B312" s="18">
        <v>42.4</v>
      </c>
      <c r="C312" s="4" t="s">
        <v>316</v>
      </c>
      <c r="G312" s="5"/>
    </row>
    <row r="313" spans="1:7">
      <c r="A313" s="4" t="s">
        <v>239</v>
      </c>
      <c r="B313" s="75">
        <f>B312*B311/20000000</f>
        <v>2.2146156000000001</v>
      </c>
      <c r="C313" s="4" t="s">
        <v>66</v>
      </c>
      <c r="G313" s="5"/>
    </row>
    <row r="314" spans="1:7">
      <c r="A314" s="4" t="s">
        <v>241</v>
      </c>
      <c r="B314" s="77">
        <v>1.21</v>
      </c>
      <c r="C314" s="4" t="s">
        <v>164</v>
      </c>
      <c r="D314" s="52"/>
      <c r="G314" s="5"/>
    </row>
    <row r="315" spans="1:7">
      <c r="A315" s="26" t="s">
        <v>242</v>
      </c>
      <c r="B315" s="6">
        <v>10</v>
      </c>
      <c r="C315" s="4" t="s">
        <v>69</v>
      </c>
      <c r="E315" s="26"/>
      <c r="G315" s="5"/>
    </row>
    <row r="316" spans="1:7">
      <c r="A316" s="4" t="s">
        <v>243</v>
      </c>
      <c r="B316" s="96">
        <f>B317*B318</f>
        <v>449.9</v>
      </c>
      <c r="C316" s="4" t="s">
        <v>211</v>
      </c>
      <c r="G316" s="5"/>
    </row>
    <row r="317" spans="1:7">
      <c r="A317" s="4" t="s">
        <v>244</v>
      </c>
      <c r="B317" s="76">
        <v>5.5</v>
      </c>
      <c r="C317" s="4" t="s">
        <v>212</v>
      </c>
      <c r="G317" s="5"/>
    </row>
    <row r="318" spans="1:7">
      <c r="A318" s="4" t="s">
        <v>245</v>
      </c>
      <c r="B318" s="91">
        <f>B13</f>
        <v>81.8</v>
      </c>
      <c r="C318" s="4" t="s">
        <v>195</v>
      </c>
      <c r="D318" s="52"/>
      <c r="G318" s="5"/>
    </row>
    <row r="319" spans="1:7">
      <c r="A319" s="4" t="s">
        <v>246</v>
      </c>
      <c r="B319" s="23">
        <f>(B317/1000)*B310*E$52</f>
        <v>21.680982655213874</v>
      </c>
      <c r="C319" s="4" t="s">
        <v>11</v>
      </c>
      <c r="G319" s="5"/>
    </row>
    <row r="320" spans="1:7">
      <c r="A320" s="4" t="s">
        <v>314</v>
      </c>
      <c r="B320" s="18">
        <f>3*365</f>
        <v>1095</v>
      </c>
      <c r="C320" s="4" t="s">
        <v>320</v>
      </c>
      <c r="G320" s="5"/>
    </row>
    <row r="321" spans="1:17">
      <c r="A321" s="4" t="s">
        <v>313</v>
      </c>
      <c r="B321" s="23">
        <f>B316*B320*B315</f>
        <v>4926405</v>
      </c>
      <c r="C321" s="4" t="s">
        <v>317</v>
      </c>
      <c r="G321" s="5"/>
    </row>
    <row r="322" spans="1:17">
      <c r="A322" s="4" t="s">
        <v>315</v>
      </c>
      <c r="B322" s="18">
        <f>132/5</f>
        <v>26.4</v>
      </c>
      <c r="C322" s="4" t="s">
        <v>316</v>
      </c>
      <c r="G322" s="5"/>
    </row>
    <row r="323" spans="1:17">
      <c r="A323" s="4" t="s">
        <v>247</v>
      </c>
      <c r="B323" s="75">
        <f>B322*B321/20000000</f>
        <v>6.5028546</v>
      </c>
      <c r="C323" s="4" t="s">
        <v>66</v>
      </c>
      <c r="G323" s="5"/>
    </row>
    <row r="324" spans="1:17" s="4" customFormat="1">
      <c r="A324" s="4" t="s">
        <v>193</v>
      </c>
      <c r="B324" s="63">
        <f>B6</f>
        <v>3.5750000000000004E-2</v>
      </c>
      <c r="C324" s="4" t="s">
        <v>5</v>
      </c>
      <c r="D324" s="4">
        <f>3.6*B324</f>
        <v>0.12870000000000001</v>
      </c>
      <c r="E324" s="4" t="s">
        <v>319</v>
      </c>
      <c r="F324" s="5"/>
      <c r="Q324"/>
    </row>
    <row r="328" spans="1:17">
      <c r="A328" s="9" t="s">
        <v>318</v>
      </c>
      <c r="B328" s="4" t="s">
        <v>332</v>
      </c>
    </row>
    <row r="418" spans="1:1">
      <c r="A418" s="9"/>
    </row>
  </sheetData>
  <mergeCells count="1">
    <mergeCell ref="A261:C261"/>
  </mergeCells>
  <hyperlinks>
    <hyperlink ref="G48" r:id="rId1"/>
    <hyperlink ref="D16" r:id="rId2"/>
  </hyperlinks>
  <pageMargins left="0.7" right="0.7" top="0.75" bottom="0.75" header="0.3" footer="0.3"/>
  <pageSetup paperSize="9" orientation="portrait" r:id="rId3"/>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64" zoomScale="80" zoomScaleNormal="80" workbookViewId="0">
      <selection activeCell="B79" sqref="B79"/>
    </sheetView>
  </sheetViews>
  <sheetFormatPr defaultColWidth="8.875" defaultRowHeight="15.75"/>
  <cols>
    <col min="1" max="1" width="75" customWidth="1"/>
    <col min="2" max="2" width="39.375" customWidth="1"/>
    <col min="3" max="3" width="62.875" customWidth="1"/>
    <col min="4" max="4" width="87.625" customWidth="1"/>
  </cols>
  <sheetData>
    <row r="1" spans="1:1">
      <c r="A1" t="s">
        <v>455</v>
      </c>
    </row>
    <row r="3" spans="1:1">
      <c r="A3" s="85"/>
    </row>
    <row r="4" spans="1:1" ht="17.25">
      <c r="A4" s="86" t="s">
        <v>248</v>
      </c>
    </row>
    <row r="5" spans="1:1">
      <c r="A5" s="86" t="s">
        <v>249</v>
      </c>
    </row>
    <row r="6" spans="1:1">
      <c r="A6" s="86"/>
    </row>
    <row r="7" spans="1:1">
      <c r="A7" s="85"/>
    </row>
    <row r="8" spans="1:1">
      <c r="A8" s="87" t="s">
        <v>250</v>
      </c>
    </row>
    <row r="9" spans="1:1">
      <c r="A9" s="86" t="s">
        <v>251</v>
      </c>
    </row>
    <row r="10" spans="1:1">
      <c r="A10" s="86" t="s">
        <v>252</v>
      </c>
    </row>
    <row r="11" spans="1:1">
      <c r="A11" s="86" t="s">
        <v>253</v>
      </c>
    </row>
    <row r="12" spans="1:1">
      <c r="A12" s="86" t="s">
        <v>254</v>
      </c>
    </row>
    <row r="13" spans="1:1">
      <c r="A13" s="86" t="s">
        <v>255</v>
      </c>
    </row>
    <row r="14" spans="1:1">
      <c r="A14" s="86" t="s">
        <v>256</v>
      </c>
    </row>
    <row r="15" spans="1:1">
      <c r="A15" s="85"/>
    </row>
    <row r="16" spans="1:1">
      <c r="A16" s="88" t="s">
        <v>257</v>
      </c>
    </row>
    <row r="17" spans="1:1">
      <c r="A17" s="85" t="s">
        <v>258</v>
      </c>
    </row>
    <row r="18" spans="1:1">
      <c r="A18" s="85" t="s">
        <v>259</v>
      </c>
    </row>
    <row r="19" spans="1:1">
      <c r="A19" s="85" t="s">
        <v>260</v>
      </c>
    </row>
    <row r="20" spans="1:1">
      <c r="A20" s="85"/>
    </row>
    <row r="22" spans="1:1">
      <c r="A22" s="87" t="s">
        <v>261</v>
      </c>
    </row>
    <row r="23" spans="1:1">
      <c r="A23" s="86" t="s">
        <v>262</v>
      </c>
    </row>
    <row r="24" spans="1:1">
      <c r="A24" s="86" t="s">
        <v>263</v>
      </c>
    </row>
    <row r="25" spans="1:1">
      <c r="A25" s="85"/>
    </row>
    <row r="26" spans="1:1">
      <c r="A26" s="87" t="s">
        <v>264</v>
      </c>
    </row>
    <row r="27" spans="1:1">
      <c r="A27" s="86" t="s">
        <v>265</v>
      </c>
    </row>
    <row r="28" spans="1:1">
      <c r="A28" s="86" t="s">
        <v>266</v>
      </c>
    </row>
    <row r="29" spans="1:1">
      <c r="A29" s="86" t="s">
        <v>267</v>
      </c>
    </row>
    <row r="30" spans="1:1">
      <c r="A30" s="86" t="s">
        <v>268</v>
      </c>
    </row>
    <row r="31" spans="1:1">
      <c r="A31" s="86" t="s">
        <v>269</v>
      </c>
    </row>
    <row r="32" spans="1:1">
      <c r="A32" s="86"/>
    </row>
    <row r="33" spans="1:1">
      <c r="A33" s="86"/>
    </row>
    <row r="34" spans="1:1">
      <c r="A34" s="86"/>
    </row>
    <row r="35" spans="1:1">
      <c r="A35" s="86"/>
    </row>
    <row r="36" spans="1:1">
      <c r="A36" s="86"/>
    </row>
    <row r="37" spans="1:1">
      <c r="A37" s="86"/>
    </row>
    <row r="38" spans="1:1">
      <c r="A38" s="86"/>
    </row>
    <row r="39" spans="1:1">
      <c r="A39" s="86"/>
    </row>
    <row r="40" spans="1:1">
      <c r="A40" s="86"/>
    </row>
    <row r="41" spans="1:1">
      <c r="A41" s="86"/>
    </row>
    <row r="42" spans="1:1">
      <c r="A42" s="86"/>
    </row>
    <row r="43" spans="1:1">
      <c r="A43" s="86"/>
    </row>
    <row r="44" spans="1:1">
      <c r="A44" s="86"/>
    </row>
    <row r="45" spans="1:1">
      <c r="A45" s="86"/>
    </row>
    <row r="46" spans="1:1">
      <c r="A46" s="86"/>
    </row>
    <row r="47" spans="1:1">
      <c r="A47" s="86"/>
    </row>
    <row r="48" spans="1:1">
      <c r="A48" s="86"/>
    </row>
    <row r="49" spans="1:4">
      <c r="A49" s="86"/>
    </row>
    <row r="50" spans="1:4">
      <c r="A50" s="86"/>
    </row>
    <row r="51" spans="1:4">
      <c r="A51" s="86"/>
    </row>
    <row r="52" spans="1:4">
      <c r="A52" s="86"/>
    </row>
    <row r="53" spans="1:4">
      <c r="A53" s="86"/>
    </row>
    <row r="54" spans="1:4" ht="16.5" thickBot="1">
      <c r="A54" s="85"/>
    </row>
    <row r="55" spans="1:4" ht="178.5" customHeight="1">
      <c r="A55" s="215" t="s">
        <v>270</v>
      </c>
      <c r="B55" s="217" t="s">
        <v>271</v>
      </c>
      <c r="C55" s="215" t="s">
        <v>272</v>
      </c>
      <c r="D55" s="219" t="s">
        <v>273</v>
      </c>
    </row>
    <row r="56" spans="1:4" ht="16.5" thickBot="1">
      <c r="A56" s="216"/>
      <c r="B56" s="218"/>
      <c r="C56" s="216"/>
      <c r="D56" s="220"/>
    </row>
    <row r="57" spans="1:4" ht="409.5" customHeight="1">
      <c r="A57" s="221" t="s">
        <v>274</v>
      </c>
      <c r="B57" s="223"/>
      <c r="C57" s="221"/>
      <c r="D57" s="221"/>
    </row>
    <row r="58" spans="1:4" ht="16.5" thickBot="1">
      <c r="A58" s="222"/>
      <c r="B58" s="224"/>
      <c r="C58" s="222"/>
      <c r="D58" s="222"/>
    </row>
    <row r="59" spans="1:4">
      <c r="A59" s="85"/>
    </row>
    <row r="60" spans="1:4">
      <c r="A60" s="85" t="s">
        <v>275</v>
      </c>
    </row>
    <row r="61" spans="1:4">
      <c r="A61" s="86" t="s">
        <v>276</v>
      </c>
    </row>
    <row r="62" spans="1:4">
      <c r="A62" s="86" t="s">
        <v>277</v>
      </c>
    </row>
    <row r="63" spans="1:4">
      <c r="A63" s="86" t="s">
        <v>278</v>
      </c>
    </row>
    <row r="64" spans="1:4">
      <c r="A64" s="85"/>
    </row>
    <row r="66" spans="1:1">
      <c r="A66" s="85"/>
    </row>
    <row r="67" spans="1:1">
      <c r="A67" s="85"/>
    </row>
    <row r="68" spans="1:1">
      <c r="A68" s="85"/>
    </row>
  </sheetData>
  <mergeCells count="8">
    <mergeCell ref="A55:A56"/>
    <mergeCell ref="B55:B56"/>
    <mergeCell ref="C55:C56"/>
    <mergeCell ref="D55:D56"/>
    <mergeCell ref="A57:A58"/>
    <mergeCell ref="B57:B58"/>
    <mergeCell ref="C57:C58"/>
    <mergeCell ref="D57:D5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1_Case study 1 - Car</vt:lpstr>
      <vt:lpstr>2_Case study 2 - LED lamp</vt:lpstr>
      <vt:lpstr>3_Case study 1 battery LCA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dc:creator>
  <cp:lastModifiedBy>Paul Brockway</cp:lastModifiedBy>
  <cp:lastPrinted>2020-12-10T13:44:45Z</cp:lastPrinted>
  <dcterms:created xsi:type="dcterms:W3CDTF">2020-06-23T20:35:45Z</dcterms:created>
  <dcterms:modified xsi:type="dcterms:W3CDTF">2023-01-09T06:58:51Z</dcterms:modified>
</cp:coreProperties>
</file>