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xiliar\Desktop\"/>
    </mc:Choice>
  </mc:AlternateContent>
  <bookViews>
    <workbookView xWindow="0" yWindow="0" windowWidth="28800" windowHeight="12450" activeTab="1"/>
  </bookViews>
  <sheets>
    <sheet name="Resumen" sheetId="10" r:id="rId1"/>
    <sheet name="2024" sheetId="8" r:id="rId2"/>
    <sheet name="2023" sheetId="7" r:id="rId3"/>
    <sheet name="2022" sheetId="9" r:id="rId4"/>
    <sheet name="2021" sheetId="5" r:id="rId5"/>
    <sheet name="2020" sheetId="4" r:id="rId6"/>
    <sheet name="2019" sheetId="3" r:id="rId7"/>
    <sheet name="2018" sheetId="2" r:id="rId8"/>
    <sheet name="2017" sheetId="1" r:id="rId9"/>
  </sheets>
  <definedNames>
    <definedName name="_xlnm._FilterDatabase" localSheetId="8" hidden="1">'2017'!$B$6:$O$6</definedName>
    <definedName name="_xlnm._FilterDatabase" localSheetId="7" hidden="1">'2018'!$B$6:$O$6</definedName>
    <definedName name="_xlnm._FilterDatabase" localSheetId="6" hidden="1">'2019'!$B$6:$O$6</definedName>
    <definedName name="_xlnm._FilterDatabase" localSheetId="5" hidden="1">'2020'!$B$6:$O$6</definedName>
    <definedName name="_xlnm._FilterDatabase" localSheetId="4" hidden="1">'2021'!$B$7:$O$7</definedName>
    <definedName name="_xlnm._FilterDatabase" localSheetId="3" hidden="1">'2022'!$B$6:$O$6</definedName>
    <definedName name="_xlnm._FilterDatabase" localSheetId="2" hidden="1">'2023'!$B$5:$O$5</definedName>
    <definedName name="_xlnm._FilterDatabase" localSheetId="1" hidden="1">'2024'!$B$6:$O$6</definedName>
  </definedNames>
  <calcPr calcId="152511"/>
</workbook>
</file>

<file path=xl/calcChain.xml><?xml version="1.0" encoding="utf-8"?>
<calcChain xmlns="http://schemas.openxmlformats.org/spreadsheetml/2006/main">
  <c r="N7" i="8" l="1"/>
  <c r="N14" i="8"/>
  <c r="N17" i="8"/>
  <c r="N22" i="8" l="1"/>
  <c r="N15" i="8"/>
  <c r="N64" i="8"/>
  <c r="O63" i="8"/>
  <c r="O62" i="8"/>
  <c r="N12" i="8"/>
  <c r="N19" i="8"/>
  <c r="N20" i="8"/>
  <c r="N39" i="8"/>
  <c r="N18" i="8"/>
  <c r="N23" i="8"/>
  <c r="N8" i="8"/>
  <c r="N9" i="8"/>
  <c r="N21" i="8"/>
  <c r="N35" i="8"/>
  <c r="N29" i="8"/>
  <c r="N42" i="8"/>
  <c r="N30" i="8"/>
  <c r="N41" i="8"/>
  <c r="N33" i="8"/>
  <c r="N24" i="8"/>
  <c r="N43" i="8"/>
  <c r="N31" i="8"/>
  <c r="N40" i="8"/>
  <c r="N44" i="8"/>
  <c r="N32" i="8"/>
  <c r="N28" i="8"/>
  <c r="N34" i="8"/>
  <c r="N27" i="8"/>
  <c r="N16" i="8"/>
  <c r="N57" i="8"/>
  <c r="M8" i="8"/>
  <c r="M31" i="8"/>
  <c r="M15" i="8"/>
  <c r="M14" i="8"/>
  <c r="M17" i="8"/>
  <c r="L17" i="8"/>
  <c r="L11" i="8"/>
  <c r="L14" i="8"/>
  <c r="M7" i="8"/>
  <c r="L7" i="8"/>
  <c r="M64" i="8" l="1"/>
  <c r="M22" i="8"/>
  <c r="M18" i="8"/>
  <c r="M20" i="8"/>
  <c r="M40" i="8"/>
  <c r="M24" i="8"/>
  <c r="M12" i="8"/>
  <c r="M19" i="8"/>
  <c r="M38" i="8"/>
  <c r="M26" i="8"/>
  <c r="M30" i="8"/>
  <c r="M39" i="8"/>
  <c r="M27" i="8"/>
  <c r="M23" i="8"/>
  <c r="M9" i="8"/>
  <c r="N44" i="7"/>
  <c r="M21" i="8"/>
  <c r="M35" i="8"/>
  <c r="O35" i="8" s="1"/>
  <c r="M29" i="8"/>
  <c r="M42" i="8"/>
  <c r="M41" i="8"/>
  <c r="M33" i="8"/>
  <c r="O33" i="8" s="1"/>
  <c r="M44" i="8"/>
  <c r="M32" i="8"/>
  <c r="O44" i="8"/>
  <c r="O55" i="8"/>
  <c r="O40" i="8"/>
  <c r="O45" i="8"/>
  <c r="O37" i="8"/>
  <c r="O54" i="8"/>
  <c r="O31" i="8"/>
  <c r="O10" i="8"/>
  <c r="O43" i="8"/>
  <c r="O24" i="8"/>
  <c r="O36" i="8"/>
  <c r="O41" i="8"/>
  <c r="O50" i="8"/>
  <c r="O30" i="8"/>
  <c r="O42" i="8"/>
  <c r="O29" i="8"/>
  <c r="O48" i="8"/>
  <c r="O32" i="8"/>
  <c r="O11" i="8"/>
  <c r="O53" i="8"/>
  <c r="O51" i="8"/>
  <c r="O52" i="8"/>
  <c r="O46" i="8"/>
  <c r="O47" i="8"/>
  <c r="O21" i="8"/>
  <c r="O49" i="8"/>
  <c r="M57" i="8" l="1"/>
  <c r="C6" i="10" l="1"/>
  <c r="C7" i="10"/>
  <c r="C8" i="10"/>
  <c r="C9" i="10"/>
  <c r="C10" i="10"/>
  <c r="C11" i="10"/>
  <c r="O1048571" i="7"/>
  <c r="N19" i="7"/>
  <c r="N16" i="7"/>
  <c r="C19" i="7"/>
  <c r="C16" i="7"/>
  <c r="M22" i="4"/>
  <c r="H22" i="4"/>
  <c r="N22" i="4"/>
  <c r="K22" i="4"/>
  <c r="J22" i="4"/>
  <c r="G22" i="4"/>
  <c r="L21" i="3"/>
  <c r="K21" i="3"/>
  <c r="J21" i="3"/>
  <c r="I21" i="3"/>
  <c r="H21" i="3"/>
  <c r="G21" i="3"/>
  <c r="F21" i="3"/>
  <c r="E21" i="3"/>
  <c r="C21" i="3"/>
  <c r="O21" i="3" s="1"/>
  <c r="M33" i="2"/>
  <c r="L33" i="2"/>
  <c r="N40" i="1" l="1"/>
  <c r="M40" i="1"/>
  <c r="L40" i="1"/>
  <c r="K40" i="1"/>
  <c r="J40" i="1"/>
  <c r="I40" i="1"/>
  <c r="H40" i="1"/>
  <c r="G40" i="1"/>
  <c r="F40" i="1"/>
  <c r="E40" i="1"/>
  <c r="D40" i="1"/>
  <c r="C40" i="1"/>
  <c r="O36" i="1"/>
  <c r="O33" i="1"/>
  <c r="O35" i="1"/>
  <c r="O29" i="1"/>
  <c r="O31" i="1"/>
  <c r="O24" i="1"/>
  <c r="O38" i="1"/>
  <c r="O32" i="1"/>
  <c r="O34" i="1"/>
  <c r="O37" i="1"/>
  <c r="O23" i="1"/>
  <c r="O28" i="1"/>
  <c r="O26" i="1"/>
  <c r="O25" i="1"/>
  <c r="O27" i="1"/>
  <c r="O30" i="1"/>
  <c r="O22" i="1"/>
  <c r="O19" i="1"/>
  <c r="O18" i="1"/>
  <c r="O12" i="1"/>
  <c r="O21" i="1"/>
  <c r="O17" i="1"/>
  <c r="O15" i="1"/>
  <c r="O16" i="1"/>
  <c r="O20" i="1"/>
  <c r="O13" i="1"/>
  <c r="O14" i="1"/>
  <c r="O8" i="1"/>
  <c r="O11" i="1"/>
  <c r="O10" i="1"/>
  <c r="O9" i="1"/>
  <c r="O7" i="1"/>
  <c r="N53" i="2"/>
  <c r="M53" i="2"/>
  <c r="L53" i="2"/>
  <c r="K53" i="2"/>
  <c r="J53" i="2"/>
  <c r="I53" i="2"/>
  <c r="H53" i="2"/>
  <c r="G53" i="2"/>
  <c r="F53" i="2"/>
  <c r="E53" i="2"/>
  <c r="D53" i="2"/>
  <c r="C53" i="2"/>
  <c r="O33" i="2"/>
  <c r="O46" i="2"/>
  <c r="O49" i="2"/>
  <c r="O36" i="2"/>
  <c r="O43" i="2"/>
  <c r="O47" i="2"/>
  <c r="O42" i="2"/>
  <c r="O29" i="2"/>
  <c r="O45" i="2"/>
  <c r="O15" i="2"/>
  <c r="O20" i="2"/>
  <c r="O17" i="2"/>
  <c r="O30" i="2"/>
  <c r="O10" i="2"/>
  <c r="O35" i="2"/>
  <c r="O50" i="2"/>
  <c r="O40" i="2"/>
  <c r="O48" i="2"/>
  <c r="O38" i="2"/>
  <c r="O37" i="2"/>
  <c r="O24" i="2"/>
  <c r="O39" i="2"/>
  <c r="O51" i="2"/>
  <c r="O27" i="2"/>
  <c r="O31" i="2"/>
  <c r="O34" i="2"/>
  <c r="O32" i="2"/>
  <c r="O44" i="2"/>
  <c r="O41" i="2"/>
  <c r="O26" i="2"/>
  <c r="O25" i="2"/>
  <c r="O23" i="2"/>
  <c r="O9" i="2"/>
  <c r="O28" i="2"/>
  <c r="O21" i="2"/>
  <c r="O16" i="2"/>
  <c r="O18" i="2"/>
  <c r="O22" i="2"/>
  <c r="O14" i="2"/>
  <c r="O19" i="2"/>
  <c r="O8" i="2"/>
  <c r="O12" i="2"/>
  <c r="O13" i="2"/>
  <c r="O11" i="2"/>
  <c r="O7" i="2"/>
  <c r="N54" i="3"/>
  <c r="M54" i="3"/>
  <c r="L54" i="3"/>
  <c r="K54" i="3"/>
  <c r="J54" i="3"/>
  <c r="I54" i="3"/>
  <c r="H54" i="3"/>
  <c r="G54" i="3"/>
  <c r="F54" i="3"/>
  <c r="E54" i="3"/>
  <c r="D54" i="3"/>
  <c r="C54" i="3"/>
  <c r="O52" i="3"/>
  <c r="O27" i="3"/>
  <c r="O51" i="3"/>
  <c r="O43" i="3"/>
  <c r="O42" i="3"/>
  <c r="O35" i="3"/>
  <c r="O47" i="3"/>
  <c r="O49" i="3"/>
  <c r="O41" i="3"/>
  <c r="O28" i="3"/>
  <c r="O40" i="3"/>
  <c r="O9" i="3"/>
  <c r="O15" i="3"/>
  <c r="O12" i="3"/>
  <c r="O26" i="3"/>
  <c r="O7" i="3"/>
  <c r="O31" i="3"/>
  <c r="O50" i="3"/>
  <c r="O48" i="3"/>
  <c r="O46" i="3"/>
  <c r="O44" i="3"/>
  <c r="O23" i="3"/>
  <c r="O38" i="3"/>
  <c r="O34" i="3"/>
  <c r="O30" i="3"/>
  <c r="O36" i="3"/>
  <c r="O37" i="3"/>
  <c r="O39" i="3"/>
  <c r="O45" i="3"/>
  <c r="O33" i="3"/>
  <c r="O32" i="3"/>
  <c r="O25" i="3"/>
  <c r="O10" i="3"/>
  <c r="O29" i="3"/>
  <c r="O22" i="3"/>
  <c r="O16" i="3"/>
  <c r="O20" i="3"/>
  <c r="O24" i="3"/>
  <c r="O17" i="3"/>
  <c r="O19" i="3"/>
  <c r="O14" i="3"/>
  <c r="O11" i="3"/>
  <c r="O18" i="3"/>
  <c r="O13" i="3"/>
  <c r="O8" i="3"/>
  <c r="N52" i="4"/>
  <c r="M52" i="4"/>
  <c r="L52" i="4"/>
  <c r="K52" i="4"/>
  <c r="J52" i="4"/>
  <c r="I52" i="4"/>
  <c r="H52" i="4"/>
  <c r="G52" i="4"/>
  <c r="F52" i="4"/>
  <c r="E52" i="4"/>
  <c r="D52" i="4"/>
  <c r="C52" i="4"/>
  <c r="O22" i="4"/>
  <c r="O37" i="4"/>
  <c r="O50" i="4"/>
  <c r="O47" i="4"/>
  <c r="O44" i="4"/>
  <c r="O40" i="4"/>
  <c r="O42" i="4"/>
  <c r="O49" i="4"/>
  <c r="O41" i="4"/>
  <c r="O25" i="4"/>
  <c r="O38" i="4"/>
  <c r="O11" i="4"/>
  <c r="O23" i="4"/>
  <c r="O14" i="4"/>
  <c r="O21" i="4"/>
  <c r="O7" i="4"/>
  <c r="O31" i="4"/>
  <c r="O43" i="4"/>
  <c r="O45" i="4"/>
  <c r="O34" i="4"/>
  <c r="O26" i="4"/>
  <c r="O46" i="4"/>
  <c r="O36" i="4"/>
  <c r="O33" i="4"/>
  <c r="O35" i="4"/>
  <c r="O32" i="4"/>
  <c r="O39" i="4"/>
  <c r="O48" i="4"/>
  <c r="O28" i="4"/>
  <c r="O30" i="4"/>
  <c r="O27" i="4"/>
  <c r="O9" i="4"/>
  <c r="O29" i="4"/>
  <c r="O20" i="4"/>
  <c r="O16" i="4"/>
  <c r="O19" i="4"/>
  <c r="O24" i="4"/>
  <c r="O15" i="4"/>
  <c r="O18" i="4"/>
  <c r="O13" i="4"/>
  <c r="O10" i="4"/>
  <c r="O17" i="4"/>
  <c r="O12" i="4"/>
  <c r="O8" i="4"/>
  <c r="K64" i="8"/>
  <c r="J64" i="8"/>
  <c r="I64" i="8"/>
  <c r="H64" i="8"/>
  <c r="G64" i="8"/>
  <c r="F64" i="8"/>
  <c r="E64" i="8"/>
  <c r="D64" i="8"/>
  <c r="C64" i="8"/>
  <c r="L62" i="8"/>
  <c r="L16" i="8"/>
  <c r="K16" i="8"/>
  <c r="J16" i="8"/>
  <c r="I16" i="8"/>
  <c r="L12" i="8"/>
  <c r="K12" i="8"/>
  <c r="J12" i="8"/>
  <c r="I12" i="8"/>
  <c r="K17" i="8"/>
  <c r="J17" i="8"/>
  <c r="I17" i="8"/>
  <c r="L19" i="8"/>
  <c r="K19" i="8"/>
  <c r="J19" i="8"/>
  <c r="I19" i="8"/>
  <c r="L38" i="8"/>
  <c r="K38" i="8"/>
  <c r="J38" i="8"/>
  <c r="O38" i="8" s="1"/>
  <c r="L26" i="8"/>
  <c r="K26" i="8"/>
  <c r="J26" i="8"/>
  <c r="I26" i="8"/>
  <c r="O26" i="8" s="1"/>
  <c r="K25" i="8"/>
  <c r="J25" i="8"/>
  <c r="I25" i="8"/>
  <c r="H25" i="8"/>
  <c r="G25" i="8"/>
  <c r="F25" i="8"/>
  <c r="E25" i="8"/>
  <c r="D25" i="8"/>
  <c r="C25" i="8"/>
  <c r="L22" i="8"/>
  <c r="K22" i="8"/>
  <c r="J22" i="8"/>
  <c r="I22" i="8"/>
  <c r="H22" i="8"/>
  <c r="H57" i="8" s="1"/>
  <c r="G22" i="8"/>
  <c r="G57" i="8" s="1"/>
  <c r="F22" i="8"/>
  <c r="F57" i="8" s="1"/>
  <c r="E22" i="8"/>
  <c r="E57" i="8" s="1"/>
  <c r="D22" i="8"/>
  <c r="D57" i="8" s="1"/>
  <c r="C22" i="8"/>
  <c r="L28" i="8"/>
  <c r="K28" i="8"/>
  <c r="J28" i="8"/>
  <c r="O28" i="8" s="1"/>
  <c r="L34" i="8"/>
  <c r="J34" i="8"/>
  <c r="O34" i="8" s="1"/>
  <c r="L13" i="8"/>
  <c r="K13" i="8"/>
  <c r="J13" i="8"/>
  <c r="I13" i="8"/>
  <c r="O13" i="8" s="1"/>
  <c r="K7" i="8"/>
  <c r="J7" i="8"/>
  <c r="I7" i="8"/>
  <c r="O7" i="8" s="1"/>
  <c r="L20" i="8"/>
  <c r="K20" i="8"/>
  <c r="J20" i="8"/>
  <c r="I20" i="8"/>
  <c r="O20" i="8" s="1"/>
  <c r="L39" i="8"/>
  <c r="K39" i="8"/>
  <c r="J39" i="8"/>
  <c r="L15" i="8"/>
  <c r="K15" i="8"/>
  <c r="J15" i="8"/>
  <c r="I15" i="8"/>
  <c r="L18" i="8"/>
  <c r="K18" i="8"/>
  <c r="J18" i="8"/>
  <c r="I18" i="8"/>
  <c r="K14" i="8"/>
  <c r="J14" i="8"/>
  <c r="I14" i="8"/>
  <c r="L8" i="8"/>
  <c r="K8" i="8"/>
  <c r="J8" i="8"/>
  <c r="O8" i="8" s="1"/>
  <c r="L9" i="8"/>
  <c r="K9" i="8"/>
  <c r="J9" i="8"/>
  <c r="I9" i="8"/>
  <c r="O9" i="8" s="1"/>
  <c r="L27" i="8"/>
  <c r="K27" i="8"/>
  <c r="J27" i="8"/>
  <c r="I27" i="8"/>
  <c r="O27" i="8" s="1"/>
  <c r="L23" i="8"/>
  <c r="K23" i="8"/>
  <c r="K57" i="8" s="1"/>
  <c r="J23" i="8"/>
  <c r="I23" i="8"/>
  <c r="I57" i="8" l="1"/>
  <c r="O23" i="8"/>
  <c r="J57" i="8"/>
  <c r="L57" i="8"/>
  <c r="O14" i="8"/>
  <c r="O18" i="8"/>
  <c r="O15" i="8"/>
  <c r="O39" i="8"/>
  <c r="C57" i="8"/>
  <c r="O22" i="8"/>
  <c r="O25" i="8"/>
  <c r="O19" i="8"/>
  <c r="O17" i="8"/>
  <c r="O12" i="8"/>
  <c r="O16" i="8"/>
  <c r="O64" i="8"/>
  <c r="O54" i="3"/>
  <c r="O40" i="1"/>
  <c r="O53" i="2"/>
  <c r="O52" i="4"/>
  <c r="L64" i="8"/>
  <c r="O57" i="8" l="1"/>
  <c r="C5" i="10" s="1"/>
  <c r="O37" i="5"/>
  <c r="O20" i="5"/>
  <c r="O44" i="5"/>
  <c r="O31" i="5"/>
  <c r="O17" i="5"/>
  <c r="O33" i="5"/>
  <c r="C9" i="5"/>
  <c r="D9" i="5"/>
  <c r="O9" i="5" s="1"/>
  <c r="E9" i="5"/>
  <c r="F9" i="5"/>
  <c r="F47" i="5" s="1"/>
  <c r="G9" i="5"/>
  <c r="H9" i="5"/>
  <c r="H47" i="5" s="1"/>
  <c r="I9" i="5"/>
  <c r="J9" i="5"/>
  <c r="J47" i="5" s="1"/>
  <c r="K9" i="5"/>
  <c r="L9" i="5"/>
  <c r="L47" i="5" s="1"/>
  <c r="C10" i="5"/>
  <c r="D10" i="5"/>
  <c r="E10" i="5"/>
  <c r="F10" i="5"/>
  <c r="G10" i="5"/>
  <c r="H10" i="5"/>
  <c r="I10" i="5"/>
  <c r="J10" i="5"/>
  <c r="O10" i="5"/>
  <c r="O25" i="5"/>
  <c r="O36" i="5"/>
  <c r="O45" i="5"/>
  <c r="O38" i="5"/>
  <c r="O29" i="5"/>
  <c r="O21" i="5"/>
  <c r="O16" i="5"/>
  <c r="O39" i="5"/>
  <c r="O30" i="5"/>
  <c r="O28" i="5"/>
  <c r="C11" i="5"/>
  <c r="D11" i="5"/>
  <c r="O11" i="5" s="1"/>
  <c r="E11" i="5"/>
  <c r="F11" i="5"/>
  <c r="G11" i="5"/>
  <c r="H11" i="5"/>
  <c r="I11" i="5"/>
  <c r="J11" i="5"/>
  <c r="K11" i="5"/>
  <c r="L11" i="5"/>
  <c r="O41" i="5"/>
  <c r="O15" i="5"/>
  <c r="O22" i="5"/>
  <c r="O34" i="5"/>
  <c r="O26" i="5"/>
  <c r="O40" i="5"/>
  <c r="O24" i="5"/>
  <c r="O18" i="5"/>
  <c r="M19" i="5"/>
  <c r="O19" i="5" s="1"/>
  <c r="O35" i="5"/>
  <c r="O27" i="5"/>
  <c r="H14" i="5"/>
  <c r="I14" i="5"/>
  <c r="K14" i="5"/>
  <c r="L14" i="5"/>
  <c r="O14" i="5"/>
  <c r="O32" i="5"/>
  <c r="C12" i="5"/>
  <c r="D12" i="5"/>
  <c r="E12" i="5"/>
  <c r="F12" i="5"/>
  <c r="G12" i="5"/>
  <c r="H12" i="5"/>
  <c r="I12" i="5"/>
  <c r="J12" i="5"/>
  <c r="K12" i="5"/>
  <c r="L12" i="5"/>
  <c r="O12" i="5"/>
  <c r="O42" i="5"/>
  <c r="O43" i="5"/>
  <c r="O23" i="5"/>
  <c r="O13" i="5"/>
  <c r="O8" i="5"/>
  <c r="C47" i="5"/>
  <c r="E47" i="5"/>
  <c r="G47" i="5"/>
  <c r="I47" i="5"/>
  <c r="K47" i="5"/>
  <c r="M47" i="5"/>
  <c r="N47" i="5"/>
  <c r="O15" i="9"/>
  <c r="O36" i="9"/>
  <c r="O20" i="9"/>
  <c r="O33" i="9"/>
  <c r="O8" i="9"/>
  <c r="O34" i="9"/>
  <c r="C9" i="9"/>
  <c r="D9" i="9"/>
  <c r="F9" i="9"/>
  <c r="O9" i="9"/>
  <c r="O16" i="9"/>
  <c r="O30" i="9"/>
  <c r="O32" i="9"/>
  <c r="O37" i="9"/>
  <c r="O29" i="9"/>
  <c r="O17" i="9"/>
  <c r="O21" i="9"/>
  <c r="O38" i="9"/>
  <c r="O41" i="9"/>
  <c r="C10" i="9"/>
  <c r="C46" i="9" s="1"/>
  <c r="D10" i="9"/>
  <c r="O10" i="9"/>
  <c r="O27" i="9"/>
  <c r="O13" i="9"/>
  <c r="O40" i="9"/>
  <c r="O24" i="9"/>
  <c r="O26" i="9"/>
  <c r="O35" i="9"/>
  <c r="O22" i="9"/>
  <c r="O39" i="9"/>
  <c r="O25" i="9"/>
  <c r="O44" i="9"/>
  <c r="F23" i="9"/>
  <c r="G23" i="9"/>
  <c r="O23" i="9" s="1"/>
  <c r="H23" i="9"/>
  <c r="I23" i="9"/>
  <c r="I46" i="9" s="1"/>
  <c r="J23" i="9"/>
  <c r="K23" i="9"/>
  <c r="K46" i="9" s="1"/>
  <c r="M23" i="9"/>
  <c r="N23" i="9"/>
  <c r="C18" i="9"/>
  <c r="O18" i="9" s="1"/>
  <c r="D18" i="9"/>
  <c r="E18" i="9"/>
  <c r="E46" i="9" s="1"/>
  <c r="F18" i="9"/>
  <c r="G18" i="9"/>
  <c r="H18" i="9"/>
  <c r="I18" i="9"/>
  <c r="J18" i="9"/>
  <c r="K18" i="9"/>
  <c r="M18" i="9"/>
  <c r="N18" i="9"/>
  <c r="C12" i="9"/>
  <c r="D12" i="9"/>
  <c r="O12" i="9"/>
  <c r="O28" i="9"/>
  <c r="C11" i="9"/>
  <c r="D11" i="9"/>
  <c r="O11" i="9"/>
  <c r="O31" i="9"/>
  <c r="O43" i="9"/>
  <c r="O42" i="9"/>
  <c r="O14" i="9"/>
  <c r="O19" i="9"/>
  <c r="O7" i="9"/>
  <c r="D46" i="9"/>
  <c r="F46" i="9"/>
  <c r="H46" i="9"/>
  <c r="J46" i="9"/>
  <c r="L46" i="9"/>
  <c r="M46" i="9"/>
  <c r="N46" i="9"/>
  <c r="O15" i="7"/>
  <c r="O35" i="7"/>
  <c r="O28" i="7"/>
  <c r="O34" i="7"/>
  <c r="O6" i="7"/>
  <c r="O37" i="7"/>
  <c r="O8" i="7"/>
  <c r="O14" i="7"/>
  <c r="O23" i="7"/>
  <c r="O30" i="7"/>
  <c r="O31" i="7"/>
  <c r="O22" i="7"/>
  <c r="O21" i="7"/>
  <c r="O39" i="7"/>
  <c r="O42" i="7"/>
  <c r="H9" i="7"/>
  <c r="O9" i="7" s="1"/>
  <c r="O24" i="7"/>
  <c r="O11" i="7"/>
  <c r="O38" i="7"/>
  <c r="O36" i="7"/>
  <c r="O17" i="7"/>
  <c r="O27" i="7"/>
  <c r="O32" i="7"/>
  <c r="D19" i="7"/>
  <c r="E19" i="7"/>
  <c r="J19" i="7"/>
  <c r="K19" i="7"/>
  <c r="L19" i="7"/>
  <c r="M19" i="7"/>
  <c r="D16" i="7"/>
  <c r="E16" i="7"/>
  <c r="E44" i="7" s="1"/>
  <c r="J16" i="7"/>
  <c r="J44" i="7" s="1"/>
  <c r="K16" i="7"/>
  <c r="L16" i="7"/>
  <c r="L44" i="7" s="1"/>
  <c r="M16" i="7"/>
  <c r="M44" i="7" s="1"/>
  <c r="O20" i="7"/>
  <c r="O33" i="7"/>
  <c r="O26" i="7"/>
  <c r="O13" i="7"/>
  <c r="O29" i="7"/>
  <c r="O10" i="7"/>
  <c r="O25" i="7"/>
  <c r="O41" i="7"/>
  <c r="O40" i="7"/>
  <c r="O12" i="7"/>
  <c r="O18" i="7"/>
  <c r="O7" i="7"/>
  <c r="C44" i="7"/>
  <c r="F44" i="7"/>
  <c r="G44" i="7"/>
  <c r="H44" i="7"/>
  <c r="I44" i="7"/>
  <c r="K44" i="7"/>
  <c r="O49" i="7"/>
  <c r="O50" i="7"/>
  <c r="O19" i="7" l="1"/>
  <c r="O16" i="7"/>
  <c r="O47" i="5"/>
  <c r="D47" i="5"/>
  <c r="G46" i="9"/>
  <c r="O46" i="9" s="1"/>
  <c r="D44" i="7"/>
  <c r="O44" i="7" l="1"/>
</calcChain>
</file>

<file path=xl/sharedStrings.xml><?xml version="1.0" encoding="utf-8"?>
<sst xmlns="http://schemas.openxmlformats.org/spreadsheetml/2006/main" count="502" uniqueCount="97">
  <si>
    <t>TROPISABOR HONDURAS S. DE R.L. DE C.V</t>
  </si>
  <si>
    <t>RESUMEN DE UNIDADES VENDIDAS</t>
  </si>
  <si>
    <t>DESDE 01/01/2017 HASTA 31/12/2017</t>
  </si>
  <si>
    <t>subcategoria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</si>
  <si>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</si>
  <si>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</si>
  <si>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</si>
  <si>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</si>
  <si>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</si>
  <si>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</si>
  <si>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</si>
  <si>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</si>
  <si>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</si>
  <si>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</si>
  <si>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</si>
  <si>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</si>
  <si>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HORCHATA MANI ½ GALON</t>
  </si>
  <si>
    <t>NANCE ½ GALON</t>
  </si>
  <si>
    <t>ROSA DE JAMAICA ½ GALON</t>
  </si>
  <si>
    <t>TAMARINDO ½ GALON</t>
  </si>
  <si>
    <t>LIMON CON AZUCAR ½ GALON</t>
  </si>
  <si>
    <t>MARACUYA ½ GALON</t>
  </si>
  <si>
    <t>PONCHE DE FRUTAS ½ GALON</t>
  </si>
  <si>
    <t>NARANJA-ZANAHORIA ½ GALON</t>
  </si>
  <si>
    <t>PIÑA ½ GALON</t>
  </si>
  <si>
    <t xml:space="preserve">GUANABANA ½ GALON </t>
  </si>
  <si>
    <t>FRESA ½ GALON</t>
  </si>
  <si>
    <t>TÉ NEGRO ½ GALON</t>
  </si>
  <si>
    <t>MORA ½ GALON</t>
  </si>
  <si>
    <t>NARANJA GALON</t>
  </si>
  <si>
    <t>MANGO ½ GALON</t>
  </si>
  <si>
    <t>MARAÑON ½ GALON</t>
  </si>
  <si>
    <t>PIÑA COLADA ½ GALON</t>
  </si>
  <si>
    <t>HORCHATA MANI GALON</t>
  </si>
  <si>
    <t>PONCHE DE FRUTAS GALON</t>
  </si>
  <si>
    <t>MORA GALON</t>
  </si>
  <si>
    <t>PIÑA GALON</t>
  </si>
  <si>
    <t>LIMON SIN AZUCAR ½ GALON</t>
  </si>
  <si>
    <t>GRANITA MANGO GALON</t>
  </si>
  <si>
    <t>CARAMBOLA ½ GALON</t>
  </si>
  <si>
    <t>FRESA GALON</t>
  </si>
  <si>
    <t>GRANITA MORA GALON</t>
  </si>
  <si>
    <t>TAMARINDO GALON</t>
  </si>
  <si>
    <t>GUANABANA GALON</t>
  </si>
  <si>
    <t>MANGO GALON</t>
  </si>
  <si>
    <t>LIMON H.M. GALON</t>
  </si>
  <si>
    <t>MAIZ MORADO GALON</t>
  </si>
  <si>
    <t>ARRAYAN / CAS ½ GALON</t>
  </si>
  <si>
    <t>HORCHATA MORRO CAMPERO ½ GALON</t>
  </si>
  <si>
    <t>HORCHATA MORRO PIZZA ½ GALON</t>
  </si>
  <si>
    <t>MORA PIZZA ½ GALON</t>
  </si>
  <si>
    <t>ROSA DE JAMAICA PIZZA 1/2</t>
  </si>
  <si>
    <t>NANCE PIZZA ½ GALON</t>
  </si>
  <si>
    <t>LIMON PIZZA ½ GALON</t>
  </si>
  <si>
    <t>ROSA DE JAMAICA GALON</t>
  </si>
  <si>
    <t>MARACUYA GALON</t>
  </si>
  <si>
    <t>HORCHATA TACO INN ½ GALON</t>
  </si>
  <si>
    <t>MARAÑON GALON</t>
  </si>
  <si>
    <t>NARANJA-ZANAHORIA GALON</t>
  </si>
  <si>
    <t>ROSA DE JAMAICA PIZZA ½ GALON</t>
  </si>
  <si>
    <t>PONCHE DE FRUTAS PIZZA ½ GALON</t>
  </si>
  <si>
    <t>NANCE GALON</t>
  </si>
  <si>
    <t>SIROPE DE MORA ½ GALON</t>
  </si>
  <si>
    <t>PONCHE DE FRUTAS ½ GALON100130</t>
  </si>
  <si>
    <t>SIROPE DE MANGO ½ GALON</t>
  </si>
  <si>
    <t>LIMÓN FRESA ½ GALON</t>
  </si>
  <si>
    <t>SIROPE DE PIÑA ½ GALON</t>
  </si>
  <si>
    <t>MARACUYA ¼ GALON</t>
  </si>
  <si>
    <t>PIÑA COLADA GALON</t>
  </si>
  <si>
    <t>NARANJA ½ GALON</t>
  </si>
  <si>
    <t>LIMÓN FRESA GALON</t>
  </si>
  <si>
    <t xml:space="preserve">SIROPE DE MANZANA GALON </t>
  </si>
  <si>
    <t xml:space="preserve">SIROPE DE FRAMBUESA GALON </t>
  </si>
  <si>
    <t xml:space="preserve">SIROPE DE CEREZA GALON </t>
  </si>
  <si>
    <t>DESDE 01/01/2018 HASTA 31/12/2018</t>
  </si>
  <si>
    <t>DESDE 01/01/2019 HASTA 31/12/2019</t>
  </si>
  <si>
    <t>DESDE 01/01/2020 HASTA 31/12/2020</t>
  </si>
  <si>
    <t>PINTAS LIMON WENDYS</t>
  </si>
  <si>
    <t>PINTAS LIMON INTUR</t>
  </si>
  <si>
    <t>Total</t>
  </si>
  <si>
    <t xml:space="preserve">subcategoria </t>
  </si>
  <si>
    <t>TOTAL</t>
  </si>
  <si>
    <t>LIMON  ½ GALON</t>
  </si>
  <si>
    <t>HORCHATA  ½ GALON</t>
  </si>
  <si>
    <t>DESDE 01/01/2023 HASTA 31/12/2023</t>
  </si>
  <si>
    <t>TROPISABOR HONDURAS S DE R L</t>
  </si>
  <si>
    <t>LIMON ½ GALON</t>
  </si>
  <si>
    <t xml:space="preserve">HORCHATA GALON </t>
  </si>
  <si>
    <t xml:space="preserve">HORCHATA ½  GALON </t>
  </si>
  <si>
    <t>DESDE 2022-01-01 HASTA 2022-12-31</t>
  </si>
  <si>
    <t>DESDE 2021-01-01 HASTA 2021-12-31</t>
  </si>
  <si>
    <t xml:space="preserve">PINTAS LIMON INTUR </t>
  </si>
  <si>
    <t>Año</t>
  </si>
  <si>
    <t>Total Unidades</t>
  </si>
  <si>
    <r>
      <t xml:space="preserve">PINTAS DE LIMON </t>
    </r>
    <r>
      <rPr>
        <b/>
        <sz val="11"/>
        <color indexed="8"/>
        <rFont val="Calibri"/>
        <family val="2"/>
        <scheme val="minor"/>
      </rPr>
      <t>( UNIDAD ½ WENDYS)</t>
    </r>
  </si>
  <si>
    <r>
      <t xml:space="preserve">PINTAS DE LIMON </t>
    </r>
    <r>
      <rPr>
        <b/>
        <sz val="11"/>
        <color indexed="8"/>
        <rFont val="Calibri"/>
        <family val="2"/>
        <scheme val="minor"/>
      </rPr>
      <t>( UNIDAD ½ INTUR)</t>
    </r>
  </si>
  <si>
    <t>DESDE 01/01/2024 HASTA 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</si>
</sst>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#,##0"/>
    <numFmt numFmtId="165" formatCode="_ * #,##0_ ;_ * \-#,##0_ ;_ * &quot;-&quot;??_ ;_ @_ "/>
    <numFmt numFmtId="166" formatCode="_-* #,##0_-;\-* #,##0_-;_-* &quot;-&quot;??_-;_-@_-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/>
    <xf numFmtId="0" fontId="0" fillId="0" borderId="8" xfId="0" applyBorder="1"/>
    <xf numFmtId="0" fontId="0" fillId="0" borderId="4" xfId="0" applyBorder="1"/>
    <xf numFmtId="0" fontId="0" fillId="0" borderId="3" xfId="0" applyBorder="1"/>
    <xf numFmtId="166" fontId="4" fillId="0" borderId="3" xfId="0" applyNumberFormat="1" applyFont="1" applyBorder="1"/>
    <xf numFmtId="166" fontId="4" fillId="0" borderId="14" xfId="0" applyNumberFormat="1" applyFont="1" applyBorder="1"/>
    <xf numFmtId="166" fontId="4" fillId="0" borderId="0" xfId="0" applyNumberFormat="1" applyFont="1"/>
    <xf numFmtId="0" fontId="4" fillId="0" borderId="0" xfId="0" applyFont="1"/>
    <xf numFmtId="0" fontId="4" fillId="0" borderId="5" xfId="0" applyFont="1" applyFill="1" applyBorder="1"/>
    <xf numFmtId="166" fontId="0" fillId="0" borderId="9" xfId="1" applyNumberFormat="1" applyFont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166" fontId="4" fillId="0" borderId="2" xfId="0" applyNumberFormat="1" applyFont="1" applyBorder="1"/>
    <xf numFmtId="164" fontId="4" fillId="0" borderId="3" xfId="0" applyNumberFormat="1" applyFont="1" applyBorder="1"/>
    <xf numFmtId="0" fontId="0" fillId="0" borderId="2" xfId="0" applyBorder="1"/>
    <xf numFmtId="166" fontId="0" fillId="0" borderId="1" xfId="1" applyNumberFormat="1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0" fontId="2" fillId="0" borderId="8" xfId="0" applyFont="1" applyFill="1" applyBorder="1"/>
    <xf numFmtId="166" fontId="2" fillId="0" borderId="8" xfId="1" applyNumberFormat="1" applyFont="1" applyFill="1" applyBorder="1"/>
    <xf numFmtId="166" fontId="2" fillId="0" borderId="9" xfId="1" applyNumberFormat="1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9" xfId="0" applyNumberFormat="1" applyFont="1" applyBorder="1"/>
    <xf numFmtId="166" fontId="2" fillId="0" borderId="9" xfId="0" applyNumberFormat="1" applyFont="1" applyFill="1" applyBorder="1"/>
    <xf numFmtId="0" fontId="2" fillId="0" borderId="0" xfId="0" applyFont="1" applyFill="1"/>
    <xf numFmtId="0" fontId="5" fillId="0" borderId="1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3" fontId="2" fillId="0" borderId="8" xfId="1" applyFont="1" applyFill="1" applyBorder="1"/>
    <xf numFmtId="164" fontId="2" fillId="0" borderId="8" xfId="0" applyNumberFormat="1" applyFont="1" applyFill="1" applyBorder="1"/>
    <xf numFmtId="0" fontId="2" fillId="0" borderId="11" xfId="0" applyFont="1" applyBorder="1" applyAlignment="1">
      <alignment horizontal="center"/>
    </xf>
    <xf numFmtId="0" fontId="2" fillId="0" borderId="10" xfId="0" applyFont="1" applyFill="1" applyBorder="1"/>
    <xf numFmtId="166" fontId="2" fillId="0" borderId="0" xfId="1" applyNumberFormat="1" applyFont="1" applyFill="1" applyBorder="1"/>
    <xf numFmtId="166" fontId="2" fillId="0" borderId="11" xfId="1" applyNumberFormat="1" applyFont="1" applyBorder="1"/>
    <xf numFmtId="166" fontId="2" fillId="0" borderId="8" xfId="1" applyNumberFormat="1" applyFont="1" applyBorder="1"/>
    <xf numFmtId="0" fontId="2" fillId="0" borderId="7" xfId="0" applyFont="1" applyFill="1" applyBorder="1"/>
    <xf numFmtId="166" fontId="2" fillId="0" borderId="4" xfId="1" applyNumberFormat="1" applyFont="1" applyFill="1" applyBorder="1"/>
    <xf numFmtId="166" fontId="2" fillId="0" borderId="6" xfId="1" applyNumberFormat="1" applyFont="1" applyFill="1" applyBorder="1"/>
    <xf numFmtId="166" fontId="2" fillId="0" borderId="4" xfId="1" applyNumberFormat="1" applyFont="1" applyBorder="1"/>
    <xf numFmtId="165" fontId="2" fillId="0" borderId="8" xfId="1" applyNumberFormat="1" applyFont="1" applyFill="1" applyBorder="1"/>
    <xf numFmtId="165" fontId="2" fillId="0" borderId="10" xfId="1" applyNumberFormat="1" applyFont="1" applyFill="1" applyBorder="1"/>
    <xf numFmtId="165" fontId="2" fillId="0" borderId="0" xfId="1" applyNumberFormat="1" applyFont="1" applyFill="1" applyBorder="1"/>
    <xf numFmtId="165" fontId="2" fillId="0" borderId="9" xfId="1" applyNumberFormat="1" applyFont="1" applyFill="1" applyBorder="1"/>
    <xf numFmtId="165" fontId="2" fillId="0" borderId="8" xfId="1" applyNumberFormat="1" applyFont="1" applyBorder="1"/>
    <xf numFmtId="165" fontId="2" fillId="0" borderId="10" xfId="1" applyNumberFormat="1" applyFont="1" applyBorder="1"/>
    <xf numFmtId="165" fontId="2" fillId="0" borderId="0" xfId="1" applyNumberFormat="1" applyFont="1" applyBorder="1"/>
    <xf numFmtId="43" fontId="2" fillId="0" borderId="0" xfId="1" applyFont="1"/>
    <xf numFmtId="0" fontId="5" fillId="0" borderId="0" xfId="0" applyFont="1"/>
    <xf numFmtId="0" fontId="5" fillId="0" borderId="0" xfId="0" applyFont="1" applyFill="1" applyAlignment="1"/>
    <xf numFmtId="0" fontId="6" fillId="0" borderId="3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5" fillId="0" borderId="8" xfId="0" applyFont="1" applyFill="1" applyBorder="1" applyAlignment="1"/>
    <xf numFmtId="164" fontId="5" fillId="0" borderId="11" xfId="0" applyNumberFormat="1" applyFont="1" applyFill="1" applyBorder="1" applyAlignment="1"/>
    <xf numFmtId="164" fontId="5" fillId="0" borderId="0" xfId="0" applyNumberFormat="1" applyFont="1" applyFill="1" applyAlignment="1"/>
    <xf numFmtId="165" fontId="5" fillId="0" borderId="8" xfId="1" applyNumberFormat="1" applyFont="1" applyFill="1" applyBorder="1"/>
    <xf numFmtId="0" fontId="5" fillId="0" borderId="0" xfId="0" applyFont="1" applyFill="1"/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/>
    <xf numFmtId="164" fontId="5" fillId="0" borderId="4" xfId="0" applyNumberFormat="1" applyFont="1" applyFill="1" applyBorder="1" applyAlignment="1"/>
    <xf numFmtId="165" fontId="6" fillId="0" borderId="3" xfId="1" applyNumberFormat="1" applyFont="1" applyFill="1" applyBorder="1"/>
    <xf numFmtId="165" fontId="6" fillId="0" borderId="4" xfId="1" applyNumberFormat="1" applyFont="1" applyFill="1" applyBorder="1"/>
    <xf numFmtId="165" fontId="2" fillId="0" borderId="11" xfId="1" applyNumberFormat="1" applyFont="1" applyFill="1" applyBorder="1"/>
    <xf numFmtId="0" fontId="2" fillId="0" borderId="8" xfId="0" applyFont="1" applyFill="1" applyBorder="1" applyAlignment="1"/>
    <xf numFmtId="165" fontId="2" fillId="0" borderId="8" xfId="1" applyNumberFormat="1" applyFont="1" applyFill="1" applyBorder="1" applyAlignment="1">
      <alignment horizontal="right"/>
    </xf>
    <xf numFmtId="165" fontId="2" fillId="0" borderId="9" xfId="1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43" fontId="2" fillId="0" borderId="9" xfId="1" applyFont="1" applyFill="1" applyBorder="1"/>
    <xf numFmtId="165" fontId="2" fillId="0" borderId="0" xfId="1" applyNumberFormat="1" applyFont="1" applyFill="1" applyAlignment="1">
      <alignment horizontal="right"/>
    </xf>
    <xf numFmtId="43" fontId="2" fillId="0" borderId="0" xfId="1" applyFont="1" applyFill="1"/>
    <xf numFmtId="43" fontId="2" fillId="0" borderId="8" xfId="1" applyFont="1" applyBorder="1"/>
    <xf numFmtId="43" fontId="2" fillId="0" borderId="9" xfId="1" applyFont="1" applyBorder="1"/>
    <xf numFmtId="165" fontId="2" fillId="0" borderId="3" xfId="1" applyNumberFormat="1" applyFont="1" applyFill="1" applyBorder="1"/>
    <xf numFmtId="165" fontId="2" fillId="0" borderId="2" xfId="1" applyNumberFormat="1" applyFont="1" applyFill="1" applyBorder="1"/>
    <xf numFmtId="165" fontId="2" fillId="0" borderId="0" xfId="1" applyNumberFormat="1" applyFont="1" applyFill="1"/>
    <xf numFmtId="0" fontId="6" fillId="0" borderId="5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5" fillId="0" borderId="11" xfId="0" applyFont="1" applyFill="1" applyBorder="1" applyAlignment="1"/>
    <xf numFmtId="164" fontId="5" fillId="0" borderId="13" xfId="0" applyNumberFormat="1" applyFont="1" applyFill="1" applyBorder="1" applyAlignment="1"/>
    <xf numFmtId="164" fontId="5" fillId="0" borderId="8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/>
    <xf numFmtId="43" fontId="5" fillId="0" borderId="8" xfId="1" applyFont="1" applyFill="1" applyBorder="1" applyAlignment="1"/>
    <xf numFmtId="0" fontId="5" fillId="0" borderId="3" xfId="0" applyFont="1" applyFill="1" applyBorder="1" applyAlignment="1"/>
    <xf numFmtId="164" fontId="5" fillId="0" borderId="5" xfId="0" applyNumberFormat="1" applyFont="1" applyFill="1" applyBorder="1" applyAlignment="1"/>
    <xf numFmtId="164" fontId="5" fillId="0" borderId="3" xfId="0" applyNumberFormat="1" applyFont="1" applyFill="1" applyBorder="1" applyAlignment="1"/>
    <xf numFmtId="164" fontId="5" fillId="0" borderId="2" xfId="0" applyNumberFormat="1" applyFont="1" applyFill="1" applyBorder="1" applyAlignment="1"/>
    <xf numFmtId="164" fontId="6" fillId="0" borderId="3" xfId="0" applyNumberFormat="1" applyFont="1" applyFill="1" applyBorder="1"/>
    <xf numFmtId="164" fontId="6" fillId="0" borderId="5" xfId="0" applyNumberFormat="1" applyFont="1" applyFill="1" applyBorder="1"/>
    <xf numFmtId="164" fontId="6" fillId="0" borderId="2" xfId="0" applyNumberFormat="1" applyFont="1" applyFill="1" applyBorder="1"/>
    <xf numFmtId="165" fontId="5" fillId="0" borderId="0" xfId="0" applyNumberFormat="1" applyFont="1" applyFill="1"/>
    <xf numFmtId="164" fontId="5" fillId="0" borderId="0" xfId="0" applyNumberFormat="1" applyFont="1" applyFill="1"/>
    <xf numFmtId="165" fontId="2" fillId="0" borderId="11" xfId="1" applyNumberFormat="1" applyFont="1" applyBorder="1"/>
    <xf numFmtId="165" fontId="2" fillId="0" borderId="13" xfId="1" applyNumberFormat="1" applyFont="1" applyBorder="1"/>
    <xf numFmtId="165" fontId="2" fillId="0" borderId="12" xfId="1" applyNumberFormat="1" applyFont="1" applyFill="1" applyBorder="1"/>
    <xf numFmtId="165" fontId="2" fillId="0" borderId="9" xfId="1" applyNumberFormat="1" applyFont="1" applyBorder="1"/>
    <xf numFmtId="0" fontId="2" fillId="0" borderId="10" xfId="0" applyFont="1" applyFill="1" applyBorder="1" applyAlignment="1"/>
    <xf numFmtId="165" fontId="2" fillId="0" borderId="4" xfId="1" applyNumberFormat="1" applyFont="1" applyBorder="1"/>
    <xf numFmtId="165" fontId="2" fillId="0" borderId="4" xfId="1" applyNumberFormat="1" applyFont="1" applyFill="1" applyBorder="1"/>
    <xf numFmtId="165" fontId="2" fillId="0" borderId="1" xfId="1" applyNumberFormat="1" applyFont="1" applyBorder="1"/>
    <xf numFmtId="165" fontId="2" fillId="0" borderId="6" xfId="1" applyNumberFormat="1" applyFont="1" applyFill="1" applyBorder="1"/>
    <xf numFmtId="165" fontId="2" fillId="0" borderId="1" xfId="1" applyNumberFormat="1" applyFont="1" applyFill="1" applyBorder="1"/>
    <xf numFmtId="165" fontId="2" fillId="0" borderId="6" xfId="1" applyNumberFormat="1" applyFont="1" applyBorder="1"/>
    <xf numFmtId="0" fontId="6" fillId="0" borderId="5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10" xfId="0" applyFont="1" applyFill="1" applyBorder="1" applyAlignment="1"/>
    <xf numFmtId="164" fontId="5" fillId="0" borderId="0" xfId="0" applyNumberFormat="1" applyFont="1"/>
    <xf numFmtId="0" fontId="5" fillId="0" borderId="7" xfId="0" applyFont="1" applyFill="1" applyBorder="1" applyAlignment="1"/>
    <xf numFmtId="0" fontId="6" fillId="0" borderId="5" xfId="0" applyFont="1" applyBorder="1" applyAlignment="1">
      <alignment horizontal="center"/>
    </xf>
    <xf numFmtId="164" fontId="6" fillId="0" borderId="4" xfId="0" applyNumberFormat="1" applyFont="1" applyBorder="1"/>
    <xf numFmtId="164" fontId="6" fillId="0" borderId="1" xfId="0" applyNumberFormat="1" applyFont="1" applyFill="1" applyBorder="1"/>
    <xf numFmtId="164" fontId="6" fillId="0" borderId="1" xfId="0" applyNumberFormat="1" applyFont="1" applyBorder="1"/>
    <xf numFmtId="0" fontId="5" fillId="0" borderId="4" xfId="0" applyFont="1" applyFill="1" applyBorder="1" applyAlignment="1"/>
    <xf numFmtId="164" fontId="5" fillId="0" borderId="1" xfId="0" applyNumberFormat="1" applyFont="1" applyFill="1" applyBorder="1" applyAlignment="1"/>
    <xf numFmtId="164" fontId="5" fillId="0" borderId="1" xfId="0" applyNumberFormat="1" applyFont="1" applyFill="1" applyBorder="1"/>
    <xf numFmtId="166" fontId="5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11" xfId="0" applyFont="1" applyBorder="1"/>
    <xf numFmtId="166" fontId="2" fillId="0" borderId="10" xfId="1" applyNumberFormat="1" applyFont="1" applyFill="1" applyBorder="1"/>
    <xf numFmtId="166" fontId="2" fillId="0" borderId="11" xfId="1" applyNumberFormat="1" applyFont="1" applyFill="1" applyBorder="1"/>
    <xf numFmtId="164" fontId="2" fillId="0" borderId="11" xfId="0" applyNumberFormat="1" applyFont="1" applyBorder="1"/>
    <xf numFmtId="166" fontId="2" fillId="0" borderId="11" xfId="0" applyNumberFormat="1" applyFont="1" applyBorder="1"/>
    <xf numFmtId="0" fontId="2" fillId="0" borderId="8" xfId="0" applyFont="1" applyBorder="1"/>
    <xf numFmtId="164" fontId="2" fillId="0" borderId="8" xfId="0" applyNumberFormat="1" applyFont="1" applyBorder="1"/>
    <xf numFmtId="166" fontId="2" fillId="0" borderId="8" xfId="0" applyNumberFormat="1" applyFont="1" applyBorder="1"/>
    <xf numFmtId="164" fontId="2" fillId="0" borderId="4" xfId="0" applyNumberFormat="1" applyFont="1" applyBorder="1"/>
    <xf numFmtId="166" fontId="2" fillId="0" borderId="0" xfId="1" applyNumberFormat="1" applyFont="1" applyFill="1"/>
    <xf numFmtId="4" fontId="2" fillId="0" borderId="0" xfId="0" applyNumberFormat="1" applyFont="1"/>
    <xf numFmtId="43" fontId="2" fillId="0" borderId="0" xfId="0" applyNumberFormat="1" applyFont="1"/>
    <xf numFmtId="0" fontId="5" fillId="0" borderId="8" xfId="0" applyFont="1" applyBorder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5" fillId="0" borderId="11" xfId="0" applyNumberFormat="1" applyFont="1" applyBorder="1"/>
    <xf numFmtId="164" fontId="5" fillId="0" borderId="4" xfId="0" applyNumberFormat="1" applyFont="1" applyBorder="1"/>
    <xf numFmtId="43" fontId="5" fillId="0" borderId="4" xfId="1" applyFont="1" applyFill="1" applyBorder="1" applyAlignment="1"/>
    <xf numFmtId="0" fontId="2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Border="1"/>
    <xf numFmtId="164" fontId="2" fillId="0" borderId="11" xfId="0" applyNumberFormat="1" applyFont="1" applyFill="1" applyBorder="1"/>
    <xf numFmtId="0" fontId="1" fillId="0" borderId="0" xfId="0" applyFont="1" applyAlignment="1">
      <alignment horizontal="center"/>
    </xf>
    <xf numFmtId="43" fontId="2" fillId="0" borderId="0" xfId="1" applyFont="1" applyBorder="1"/>
    <xf numFmtId="166" fontId="2" fillId="0" borderId="3" xfId="1" applyNumberFormat="1" applyFont="1" applyFill="1" applyBorder="1"/>
    <xf numFmtId="166" fontId="2" fillId="0" borderId="14" xfId="1" applyNumberFormat="1" applyFont="1" applyFill="1" applyBorder="1"/>
    <xf numFmtId="43" fontId="2" fillId="0" borderId="3" xfId="1" applyFont="1" applyFill="1" applyBorder="1"/>
    <xf numFmtId="164" fontId="2" fillId="0" borderId="3" xfId="0" applyNumberFormat="1" applyFont="1" applyBorder="1"/>
    <xf numFmtId="166" fontId="2" fillId="0" borderId="3" xfId="0" applyNumberFormat="1" applyFont="1" applyBorder="1"/>
    <xf numFmtId="166" fontId="2" fillId="0" borderId="2" xfId="1" applyNumberFormat="1" applyFont="1" applyFill="1" applyBorder="1"/>
    <xf numFmtId="166" fontId="0" fillId="0" borderId="13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showGridLines="0" workbookViewId="0">
      <selection activeCell="E14" sqref="E14"/>
    </sheetView>
  </sheetViews>
  <sheetFormatPr baseColWidth="10" defaultRowHeight="15" x14ac:dyDescent="0.25"/>
  <cols>
    <col min="3" max="3" width="14.140625" bestFit="1" customWidth="1"/>
  </cols>
  <sheetData>
    <row r="3" spans="2:3" ht="15.75" thickBot="1" x14ac:dyDescent="0.3"/>
    <row r="4" spans="2:3" ht="15.75" thickBot="1" x14ac:dyDescent="0.3">
      <c r="B4" s="9" t="s">
        <v>92</v>
      </c>
      <c r="C4" s="20" t="s">
        <v>93</v>
      </c>
    </row>
    <row r="5" spans="2:3" x14ac:dyDescent="0.25">
      <c r="B5" s="6">
        <v>2024</v>
      </c>
      <c r="C5" s="162">
        <f>+'2024'!O57</f>
        <v>638986.93333333335</v>
      </c>
    </row>
    <row r="6" spans="2:3" x14ac:dyDescent="0.25">
      <c r="B6" s="7">
        <v>2023</v>
      </c>
      <c r="C6" s="15">
        <f>+'2023'!O44</f>
        <v>614671.03333333333</v>
      </c>
    </row>
    <row r="7" spans="2:3" x14ac:dyDescent="0.25">
      <c r="B7" s="7">
        <v>2022</v>
      </c>
      <c r="C7" s="15">
        <f>+'2022'!O46</f>
        <v>542732.80000000005</v>
      </c>
    </row>
    <row r="8" spans="2:3" x14ac:dyDescent="0.25">
      <c r="B8" s="7">
        <v>2021</v>
      </c>
      <c r="C8" s="15">
        <f>+'2021'!O47</f>
        <v>377686.2</v>
      </c>
    </row>
    <row r="9" spans="2:3" x14ac:dyDescent="0.25">
      <c r="B9" s="7">
        <v>2020</v>
      </c>
      <c r="C9" s="15">
        <f>+'2020'!O52</f>
        <v>167609</v>
      </c>
    </row>
    <row r="10" spans="2:3" x14ac:dyDescent="0.25">
      <c r="B10" s="7">
        <v>2018</v>
      </c>
      <c r="C10" s="15">
        <f>+'2018'!O53</f>
        <v>423241.6</v>
      </c>
    </row>
    <row r="11" spans="2:3" ht="15.75" thickBot="1" x14ac:dyDescent="0.3">
      <c r="B11" s="8">
        <v>2017</v>
      </c>
      <c r="C11" s="21">
        <f>+'2017'!O40</f>
        <v>389483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showGridLines="0" tabSelected="1" topLeftCell="C40" workbookViewId="0">
      <selection activeCell="B25" sqref="B25"/>
    </sheetView>
  </sheetViews>
  <sheetFormatPr baseColWidth="10" defaultColWidth="9.140625" defaultRowHeight="15" x14ac:dyDescent="0.25"/>
  <cols>
    <col min="1" max="1" width="2.5703125" style="22" customWidth="1"/>
    <col min="2" max="2" width="36.7109375" style="22" bestFit="1" customWidth="1"/>
    <col min="3" max="15" width="11.140625" style="22" customWidth="1"/>
    <col min="16" max="16384" width="9.140625" style="22"/>
  </cols>
  <sheetData>
    <row r="2" spans="1:15" x14ac:dyDescent="0.25">
      <c r="B2" s="151" t="s">
        <v>85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</row>
    <row r="3" spans="1:15" x14ac:dyDescent="0.25">
      <c r="B3" s="151" t="s">
        <v>1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</row>
    <row r="4" spans="1:15" x14ac:dyDescent="0.25">
      <c r="B4" s="154" t="s">
        <v>96</v>
      </c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</row>
    <row r="5" spans="1:15" ht="15.75" thickBot="1" x14ac:dyDescent="0.3"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</row>
    <row r="6" spans="1:15" ht="15.75" thickBot="1" x14ac:dyDescent="0.3">
      <c r="B6" s="1" t="s">
        <v>3</v>
      </c>
      <c r="C6" s="2" t="s">
        <v>4</v>
      </c>
      <c r="D6" s="3" t="s">
        <v>5</v>
      </c>
      <c r="E6" s="2" t="s">
        <v>6</v>
      </c>
      <c r="F6" s="3" t="s">
        <v>7</v>
      </c>
      <c r="G6" s="2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3" t="s">
        <v>13</v>
      </c>
      <c r="M6" s="2" t="s">
        <v>14</v>
      </c>
      <c r="N6" s="4" t="s">
        <v>15</v>
      </c>
      <c r="O6" s="5" t="s">
        <v>79</v>
      </c>
    </row>
    <row r="7" spans="1:15" x14ac:dyDescent="0.25">
      <c r="A7" s="129"/>
      <c r="B7" s="130" t="s">
        <v>28</v>
      </c>
      <c r="C7" s="27">
        <v>3436</v>
      </c>
      <c r="D7" s="42">
        <v>4861</v>
      </c>
      <c r="E7" s="131">
        <v>6765</v>
      </c>
      <c r="F7" s="132">
        <v>5751</v>
      </c>
      <c r="G7" s="133">
        <v>7325</v>
      </c>
      <c r="H7" s="133">
        <v>5450</v>
      </c>
      <c r="I7" s="133">
        <f>3967+269</f>
        <v>4236</v>
      </c>
      <c r="J7" s="133">
        <f>6383+1107</f>
        <v>7490</v>
      </c>
      <c r="K7" s="133">
        <f>3720+2561</f>
        <v>6281</v>
      </c>
      <c r="L7" s="133">
        <f>1982+4507-252</f>
        <v>6237</v>
      </c>
      <c r="M7" s="153">
        <f>46+3506+440+324-384</f>
        <v>3932</v>
      </c>
      <c r="N7" s="152">
        <f>35+3747+542+3132-384</f>
        <v>7072</v>
      </c>
      <c r="O7" s="134">
        <f>SUM(C7:N7)</f>
        <v>68836</v>
      </c>
    </row>
    <row r="8" spans="1:15" x14ac:dyDescent="0.25">
      <c r="A8" s="129"/>
      <c r="B8" s="135" t="s">
        <v>49</v>
      </c>
      <c r="C8" s="27">
        <v>5248</v>
      </c>
      <c r="D8" s="42">
        <v>4464</v>
      </c>
      <c r="E8" s="131">
        <v>4602</v>
      </c>
      <c r="F8" s="27">
        <v>5184</v>
      </c>
      <c r="G8" s="136">
        <v>5368</v>
      </c>
      <c r="H8" s="136">
        <v>6140</v>
      </c>
      <c r="I8" s="136">
        <v>5746</v>
      </c>
      <c r="J8" s="136">
        <f>4632+5</f>
        <v>4637</v>
      </c>
      <c r="K8" s="136">
        <f>4887+2304</f>
        <v>7191</v>
      </c>
      <c r="L8" s="39">
        <f>456+4394</f>
        <v>4850</v>
      </c>
      <c r="M8" s="39">
        <f>112+5984+336+385-350</f>
        <v>6467</v>
      </c>
      <c r="N8" s="152">
        <f>6796+1168+331</f>
        <v>8295</v>
      </c>
      <c r="O8" s="137">
        <f>SUM(C8:N8)</f>
        <v>68192</v>
      </c>
    </row>
    <row r="9" spans="1:15" x14ac:dyDescent="0.25">
      <c r="A9" s="129"/>
      <c r="B9" s="135" t="s">
        <v>16</v>
      </c>
      <c r="C9" s="27">
        <v>5366</v>
      </c>
      <c r="D9" s="42">
        <v>4518</v>
      </c>
      <c r="E9" s="131">
        <v>5102</v>
      </c>
      <c r="F9" s="27">
        <v>4729</v>
      </c>
      <c r="G9" s="136">
        <v>6768</v>
      </c>
      <c r="H9" s="136">
        <v>4894</v>
      </c>
      <c r="I9" s="136">
        <f>5209+334</f>
        <v>5543</v>
      </c>
      <c r="J9" s="136">
        <f>4986+1395</f>
        <v>6381</v>
      </c>
      <c r="K9" s="136">
        <f>2472+3051</f>
        <v>5523</v>
      </c>
      <c r="L9" s="136">
        <f>1299+3786</f>
        <v>5085</v>
      </c>
      <c r="M9" s="39">
        <f>3822+156+312</f>
        <v>4290</v>
      </c>
      <c r="N9" s="152">
        <f>4500+312</f>
        <v>4812</v>
      </c>
      <c r="O9" s="137">
        <f>SUM(C9:N9)</f>
        <v>63011</v>
      </c>
    </row>
    <row r="10" spans="1:15" x14ac:dyDescent="0.25">
      <c r="A10" s="129"/>
      <c r="B10" s="135" t="s">
        <v>53</v>
      </c>
      <c r="C10" s="27">
        <v>1800</v>
      </c>
      <c r="D10" s="42">
        <v>3600</v>
      </c>
      <c r="E10" s="131">
        <v>1440</v>
      </c>
      <c r="F10" s="27">
        <v>3240</v>
      </c>
      <c r="G10" s="136">
        <v>4800</v>
      </c>
      <c r="H10" s="136">
        <v>3000</v>
      </c>
      <c r="I10" s="136">
        <v>2040</v>
      </c>
      <c r="J10" s="136">
        <v>1800</v>
      </c>
      <c r="K10" s="136">
        <v>1800</v>
      </c>
      <c r="L10" s="27">
        <v>3600</v>
      </c>
      <c r="M10" s="39">
        <v>960</v>
      </c>
      <c r="N10" s="152">
        <v>3480</v>
      </c>
      <c r="O10" s="137">
        <f>SUM(C10:N10)</f>
        <v>31560</v>
      </c>
    </row>
    <row r="11" spans="1:15" x14ac:dyDescent="0.25">
      <c r="A11" s="129"/>
      <c r="B11" s="135" t="s">
        <v>59</v>
      </c>
      <c r="C11" s="27">
        <v>2388</v>
      </c>
      <c r="D11" s="42">
        <v>1920</v>
      </c>
      <c r="E11" s="131">
        <v>2233</v>
      </c>
      <c r="F11" s="27">
        <v>2424</v>
      </c>
      <c r="G11" s="136">
        <v>2641</v>
      </c>
      <c r="H11" s="136">
        <v>2898</v>
      </c>
      <c r="I11" s="136">
        <v>2508</v>
      </c>
      <c r="J11" s="136">
        <v>2173</v>
      </c>
      <c r="K11" s="136">
        <v>2400</v>
      </c>
      <c r="L11" s="39">
        <f>204+2100</f>
        <v>2304</v>
      </c>
      <c r="M11" s="39">
        <v>2748</v>
      </c>
      <c r="N11" s="152">
        <v>2688</v>
      </c>
      <c r="O11" s="137">
        <f>SUM(C11:N11)</f>
        <v>29325</v>
      </c>
    </row>
    <row r="12" spans="1:15" x14ac:dyDescent="0.25">
      <c r="A12" s="129"/>
      <c r="B12" s="135" t="s">
        <v>19</v>
      </c>
      <c r="C12" s="27">
        <v>2250</v>
      </c>
      <c r="D12" s="42">
        <v>2135</v>
      </c>
      <c r="E12" s="131">
        <v>2408</v>
      </c>
      <c r="F12" s="27">
        <v>2317</v>
      </c>
      <c r="G12" s="136">
        <v>3447</v>
      </c>
      <c r="H12" s="136">
        <v>2529</v>
      </c>
      <c r="I12" s="136">
        <f>2388+49</f>
        <v>2437</v>
      </c>
      <c r="J12" s="136">
        <f>2332+377</f>
        <v>2709</v>
      </c>
      <c r="K12" s="136">
        <f>1061+883</f>
        <v>1944</v>
      </c>
      <c r="L12" s="136">
        <f>823+1754</f>
        <v>2577</v>
      </c>
      <c r="M12" s="39">
        <f>1370+648+216</f>
        <v>2234</v>
      </c>
      <c r="N12" s="152">
        <f>1419+432+216</f>
        <v>2067</v>
      </c>
      <c r="O12" s="137">
        <f>SUM(C12:N12)</f>
        <v>29054</v>
      </c>
    </row>
    <row r="13" spans="1:15" x14ac:dyDescent="0.25">
      <c r="A13" s="129"/>
      <c r="B13" s="135" t="s">
        <v>17</v>
      </c>
      <c r="C13" s="27">
        <v>2086</v>
      </c>
      <c r="D13" s="42">
        <v>2139</v>
      </c>
      <c r="E13" s="131">
        <v>2489</v>
      </c>
      <c r="F13" s="27">
        <v>2530</v>
      </c>
      <c r="G13" s="136">
        <v>2635</v>
      </c>
      <c r="H13" s="136">
        <v>2528</v>
      </c>
      <c r="I13" s="136">
        <f>1500+48</f>
        <v>1548</v>
      </c>
      <c r="J13" s="136">
        <f>2013+316</f>
        <v>2329</v>
      </c>
      <c r="K13" s="136">
        <f>781+1238</f>
        <v>2019</v>
      </c>
      <c r="L13" s="136">
        <f>110+2374</f>
        <v>2484</v>
      </c>
      <c r="M13" s="39">
        <v>2243</v>
      </c>
      <c r="N13" s="152">
        <v>2514</v>
      </c>
      <c r="O13" s="137">
        <f>SUM(C13:N13)</f>
        <v>27544</v>
      </c>
    </row>
    <row r="14" spans="1:15" x14ac:dyDescent="0.25">
      <c r="A14" s="129"/>
      <c r="B14" s="135" t="s">
        <v>20</v>
      </c>
      <c r="C14" s="27">
        <v>3271</v>
      </c>
      <c r="D14" s="42">
        <v>1574</v>
      </c>
      <c r="E14" s="131">
        <v>2960</v>
      </c>
      <c r="F14" s="27">
        <v>2353</v>
      </c>
      <c r="G14" s="136">
        <v>2443</v>
      </c>
      <c r="H14" s="136">
        <v>1693</v>
      </c>
      <c r="I14" s="136">
        <f>1889+146</f>
        <v>2035</v>
      </c>
      <c r="J14" s="136">
        <f>1930+558</f>
        <v>2488</v>
      </c>
      <c r="K14" s="136">
        <f>788+2726</f>
        <v>3514</v>
      </c>
      <c r="L14" s="136">
        <f>594+4800-3600</f>
        <v>1794</v>
      </c>
      <c r="M14" s="39">
        <f>2086+108+108+24-960</f>
        <v>1366</v>
      </c>
      <c r="N14" s="152">
        <f>904+3480+216+324-3480</f>
        <v>1444</v>
      </c>
      <c r="O14" s="137">
        <f>SUM(C14:N14)</f>
        <v>26935</v>
      </c>
    </row>
    <row r="15" spans="1:15" x14ac:dyDescent="0.25">
      <c r="A15" s="129"/>
      <c r="B15" s="135" t="s">
        <v>37</v>
      </c>
      <c r="C15" s="27">
        <v>688</v>
      </c>
      <c r="D15" s="42">
        <v>1822</v>
      </c>
      <c r="E15" s="131">
        <v>1205</v>
      </c>
      <c r="F15" s="27">
        <v>1734</v>
      </c>
      <c r="G15" s="136">
        <v>2953</v>
      </c>
      <c r="H15" s="136">
        <v>1919</v>
      </c>
      <c r="I15" s="136">
        <f>1548+10</f>
        <v>1558</v>
      </c>
      <c r="J15" s="136">
        <f>2974+21</f>
        <v>2995</v>
      </c>
      <c r="K15" s="136">
        <f>2117+532</f>
        <v>2649</v>
      </c>
      <c r="L15" s="136">
        <f>1450+4744-4000</f>
        <v>2194</v>
      </c>
      <c r="M15" s="39">
        <f>10352+1450-9800</f>
        <v>2002</v>
      </c>
      <c r="N15" s="152">
        <f>21671+868+1020-20800</f>
        <v>2759</v>
      </c>
      <c r="O15" s="137">
        <f>SUM(C15:N15)</f>
        <v>24478</v>
      </c>
    </row>
    <row r="16" spans="1:15" x14ac:dyDescent="0.25">
      <c r="A16" s="129"/>
      <c r="B16" s="135" t="s">
        <v>27</v>
      </c>
      <c r="C16" s="27">
        <v>3744</v>
      </c>
      <c r="D16" s="42">
        <v>2582</v>
      </c>
      <c r="E16" s="131">
        <v>2832</v>
      </c>
      <c r="F16" s="27">
        <v>3178</v>
      </c>
      <c r="G16" s="136">
        <v>4073</v>
      </c>
      <c r="H16" s="136">
        <v>2499</v>
      </c>
      <c r="I16" s="136">
        <f>3390+17</f>
        <v>3407</v>
      </c>
      <c r="J16" s="136">
        <f>437+111</f>
        <v>548</v>
      </c>
      <c r="K16" s="136">
        <f>54+197</f>
        <v>251</v>
      </c>
      <c r="L16" s="136">
        <f>159+182</f>
        <v>341</v>
      </c>
      <c r="M16" s="39">
        <v>263</v>
      </c>
      <c r="N16" s="152">
        <f>276+216</f>
        <v>492</v>
      </c>
      <c r="O16" s="137">
        <f>SUM(C16:N16)</f>
        <v>24210</v>
      </c>
    </row>
    <row r="17" spans="1:15" x14ac:dyDescent="0.25">
      <c r="A17" s="129"/>
      <c r="B17" s="135" t="s">
        <v>18</v>
      </c>
      <c r="C17" s="27">
        <v>1575</v>
      </c>
      <c r="D17" s="42">
        <v>1614</v>
      </c>
      <c r="E17" s="131">
        <v>1410</v>
      </c>
      <c r="F17" s="27">
        <v>2028</v>
      </c>
      <c r="G17" s="136">
        <v>2106</v>
      </c>
      <c r="H17" s="136">
        <v>1567</v>
      </c>
      <c r="I17" s="136">
        <f>1738+39</f>
        <v>1777</v>
      </c>
      <c r="J17" s="136">
        <f>1310+293</f>
        <v>1603</v>
      </c>
      <c r="K17" s="136">
        <f>1103+1409</f>
        <v>2512</v>
      </c>
      <c r="L17" s="136">
        <f>1124+2610-2100</f>
        <v>1634</v>
      </c>
      <c r="M17" s="39">
        <f>3064+36+756+648-748</f>
        <v>3756</v>
      </c>
      <c r="N17" s="152">
        <f>3105+216+1080-2688</f>
        <v>1713</v>
      </c>
      <c r="O17" s="137">
        <f>SUM(C17:N17)</f>
        <v>23295</v>
      </c>
    </row>
    <row r="18" spans="1:15" x14ac:dyDescent="0.25">
      <c r="A18" s="129"/>
      <c r="B18" s="135" t="s">
        <v>65</v>
      </c>
      <c r="C18" s="27">
        <v>1191</v>
      </c>
      <c r="D18" s="42">
        <v>1108</v>
      </c>
      <c r="E18" s="131">
        <v>1771</v>
      </c>
      <c r="F18" s="27">
        <v>1710</v>
      </c>
      <c r="G18" s="136">
        <v>2855</v>
      </c>
      <c r="H18" s="136">
        <v>1863</v>
      </c>
      <c r="I18" s="136">
        <f>1625+82</f>
        <v>1707</v>
      </c>
      <c r="J18" s="136">
        <f>1214+266</f>
        <v>1480</v>
      </c>
      <c r="K18" s="136">
        <f>1708+530</f>
        <v>2238</v>
      </c>
      <c r="L18" s="136">
        <f>901+280</f>
        <v>1181</v>
      </c>
      <c r="M18" s="39">
        <f>60+506+1225</f>
        <v>1791</v>
      </c>
      <c r="N18" s="152">
        <f>41+765+984+108</f>
        <v>1898</v>
      </c>
      <c r="O18" s="137">
        <f>SUM(C18:N18)</f>
        <v>20793</v>
      </c>
    </row>
    <row r="19" spans="1:15" x14ac:dyDescent="0.25">
      <c r="A19" s="129"/>
      <c r="B19" s="135" t="s">
        <v>22</v>
      </c>
      <c r="C19" s="27">
        <v>1154</v>
      </c>
      <c r="D19" s="42">
        <v>1337</v>
      </c>
      <c r="E19" s="131">
        <v>1503</v>
      </c>
      <c r="F19" s="27">
        <v>1802</v>
      </c>
      <c r="G19" s="136">
        <v>2196</v>
      </c>
      <c r="H19" s="136">
        <v>1248</v>
      </c>
      <c r="I19" s="136">
        <f>1861+30</f>
        <v>1891</v>
      </c>
      <c r="J19" s="136">
        <f>2025+171</f>
        <v>2196</v>
      </c>
      <c r="K19" s="136">
        <f>963+539</f>
        <v>1502</v>
      </c>
      <c r="L19" s="136">
        <f>272+1343</f>
        <v>1615</v>
      </c>
      <c r="M19" s="39">
        <f>940+113</f>
        <v>1053</v>
      </c>
      <c r="N19" s="152">
        <f>1016+110+108</f>
        <v>1234</v>
      </c>
      <c r="O19" s="137">
        <f>SUM(C19:N19)</f>
        <v>18731</v>
      </c>
    </row>
    <row r="20" spans="1:15" x14ac:dyDescent="0.25">
      <c r="A20" s="129"/>
      <c r="B20" s="135" t="s">
        <v>21</v>
      </c>
      <c r="C20" s="27">
        <v>154</v>
      </c>
      <c r="D20" s="42">
        <v>218</v>
      </c>
      <c r="E20" s="131">
        <v>1439</v>
      </c>
      <c r="F20" s="27">
        <v>1406</v>
      </c>
      <c r="G20" s="136">
        <v>1140</v>
      </c>
      <c r="H20" s="136">
        <v>1631</v>
      </c>
      <c r="I20" s="136">
        <f>1755+100</f>
        <v>1855</v>
      </c>
      <c r="J20" s="136">
        <f>1279+380</f>
        <v>1659</v>
      </c>
      <c r="K20" s="136">
        <f>1103+767</f>
        <v>1870</v>
      </c>
      <c r="L20" s="136">
        <f>782+891</f>
        <v>1673</v>
      </c>
      <c r="M20" s="39">
        <f>12+786+48+540</f>
        <v>1386</v>
      </c>
      <c r="N20" s="152">
        <f>846+324+192</f>
        <v>1362</v>
      </c>
      <c r="O20" s="137">
        <f>SUM(C20:N20)</f>
        <v>15793</v>
      </c>
    </row>
    <row r="21" spans="1:15" x14ac:dyDescent="0.25">
      <c r="A21" s="129"/>
      <c r="B21" s="135" t="s">
        <v>42</v>
      </c>
      <c r="C21" s="27">
        <v>1134</v>
      </c>
      <c r="D21" s="42">
        <v>864</v>
      </c>
      <c r="E21" s="131">
        <v>1134</v>
      </c>
      <c r="F21" s="27">
        <v>972</v>
      </c>
      <c r="G21" s="136">
        <v>1134</v>
      </c>
      <c r="H21" s="136">
        <v>1080</v>
      </c>
      <c r="I21" s="136">
        <v>972</v>
      </c>
      <c r="J21" s="136">
        <v>1242</v>
      </c>
      <c r="K21" s="136">
        <v>649</v>
      </c>
      <c r="L21" s="136">
        <v>980</v>
      </c>
      <c r="M21" s="39">
        <f>881+109+438</f>
        <v>1428</v>
      </c>
      <c r="N21" s="152">
        <f>972+864</f>
        <v>1836</v>
      </c>
      <c r="O21" s="137">
        <f>SUM(C21:N21)</f>
        <v>13425</v>
      </c>
    </row>
    <row r="22" spans="1:15" x14ac:dyDescent="0.25">
      <c r="A22" s="129"/>
      <c r="B22" s="142" t="s">
        <v>95</v>
      </c>
      <c r="C22" s="27">
        <f>(10200/20)*1.9</f>
        <v>969</v>
      </c>
      <c r="D22" s="42">
        <f>(7600/20)*1.9</f>
        <v>722</v>
      </c>
      <c r="E22" s="131">
        <f>(7600/20)*1.9</f>
        <v>722</v>
      </c>
      <c r="F22" s="27">
        <f>(5800/20)*1.9</f>
        <v>551</v>
      </c>
      <c r="G22" s="136">
        <f>(20000/20)*1.9</f>
        <v>1900</v>
      </c>
      <c r="H22" s="136">
        <f>(10200/20)*1.9</f>
        <v>969</v>
      </c>
      <c r="I22" s="136">
        <f>(14300/20)*1.9</f>
        <v>1358.5</v>
      </c>
      <c r="J22" s="136">
        <f>(7500/20)*1.9</f>
        <v>712.5</v>
      </c>
      <c r="K22" s="136">
        <f>(12400/20)*1.9</f>
        <v>1178</v>
      </c>
      <c r="L22" s="136">
        <f>(13000/20)*1.9</f>
        <v>1235</v>
      </c>
      <c r="M22" s="39">
        <f>+(490)*1.9</f>
        <v>931</v>
      </c>
      <c r="N22" s="152">
        <f>+(1040)*1.9</f>
        <v>1976</v>
      </c>
      <c r="O22" s="137">
        <f>SUM(C22:N22)</f>
        <v>13224</v>
      </c>
    </row>
    <row r="23" spans="1:15" x14ac:dyDescent="0.25">
      <c r="A23" s="129"/>
      <c r="B23" s="135" t="s">
        <v>26</v>
      </c>
      <c r="C23" s="27">
        <v>1544</v>
      </c>
      <c r="D23" s="42">
        <v>1133</v>
      </c>
      <c r="E23" s="131">
        <v>1288</v>
      </c>
      <c r="F23" s="27">
        <v>1079</v>
      </c>
      <c r="G23" s="136">
        <v>1190</v>
      </c>
      <c r="H23" s="136">
        <v>1025</v>
      </c>
      <c r="I23" s="136">
        <f>1384+32</f>
        <v>1416</v>
      </c>
      <c r="J23" s="136">
        <f>535+234</f>
        <v>769</v>
      </c>
      <c r="K23" s="136">
        <f>439+549</f>
        <v>988</v>
      </c>
      <c r="L23" s="136">
        <f>368+618</f>
        <v>986</v>
      </c>
      <c r="M23" s="39">
        <f>462+226+12</f>
        <v>700</v>
      </c>
      <c r="N23" s="152">
        <f>488+108+108</f>
        <v>704</v>
      </c>
      <c r="O23" s="137">
        <f>SUM(C23:N23)</f>
        <v>12822</v>
      </c>
    </row>
    <row r="24" spans="1:15" x14ac:dyDescent="0.25">
      <c r="A24" s="129"/>
      <c r="B24" s="135" t="s">
        <v>55</v>
      </c>
      <c r="C24" s="27">
        <v>594</v>
      </c>
      <c r="D24" s="42">
        <v>702</v>
      </c>
      <c r="E24" s="131">
        <v>1176</v>
      </c>
      <c r="F24" s="27">
        <v>756</v>
      </c>
      <c r="G24" s="136">
        <v>1998</v>
      </c>
      <c r="H24" s="136">
        <v>972</v>
      </c>
      <c r="I24" s="136">
        <v>810</v>
      </c>
      <c r="J24" s="136">
        <v>1188</v>
      </c>
      <c r="K24" s="136">
        <v>977</v>
      </c>
      <c r="L24" s="136">
        <v>978</v>
      </c>
      <c r="M24" s="39">
        <f>1202+166</f>
        <v>1368</v>
      </c>
      <c r="N24" s="152">
        <f>1029+217</f>
        <v>1246</v>
      </c>
      <c r="O24" s="137">
        <f>SUM(C24:N24)</f>
        <v>12765</v>
      </c>
    </row>
    <row r="25" spans="1:15" x14ac:dyDescent="0.25">
      <c r="A25" s="129"/>
      <c r="B25" s="135" t="s">
        <v>94</v>
      </c>
      <c r="C25" s="27">
        <f>(7368/12)*1.9</f>
        <v>1166.5999999999999</v>
      </c>
      <c r="D25" s="42">
        <f>(8400/12)*1.9</f>
        <v>1330</v>
      </c>
      <c r="E25" s="131">
        <f>(3000/12)*1.9</f>
        <v>475</v>
      </c>
      <c r="F25" s="27">
        <f>(11400/12)*1.9</f>
        <v>1805</v>
      </c>
      <c r="G25" s="136">
        <f>(7800/12)*1.9</f>
        <v>1235</v>
      </c>
      <c r="H25" s="136">
        <f>(10000/12)*1.9</f>
        <v>1583.3333333333333</v>
      </c>
      <c r="I25" s="136">
        <f>(12000/12)*1.9</f>
        <v>1900</v>
      </c>
      <c r="J25" s="136">
        <f>(8400/12)*1.9</f>
        <v>1330</v>
      </c>
      <c r="K25" s="136">
        <f>(7800/12)*1.9</f>
        <v>1235</v>
      </c>
      <c r="L25" s="27">
        <v>0</v>
      </c>
      <c r="M25" s="27">
        <v>0</v>
      </c>
      <c r="N25" s="42">
        <v>0</v>
      </c>
      <c r="O25" s="137">
        <f>SUM(C25:N25)</f>
        <v>12059.933333333334</v>
      </c>
    </row>
    <row r="26" spans="1:15" x14ac:dyDescent="0.25">
      <c r="A26" s="129"/>
      <c r="B26" s="135" t="s">
        <v>24</v>
      </c>
      <c r="C26" s="27">
        <v>719</v>
      </c>
      <c r="D26" s="42">
        <v>757</v>
      </c>
      <c r="E26" s="131">
        <v>1185</v>
      </c>
      <c r="F26" s="27">
        <v>937</v>
      </c>
      <c r="G26" s="136">
        <v>1225</v>
      </c>
      <c r="H26" s="136">
        <v>749</v>
      </c>
      <c r="I26" s="136">
        <f>948+12</f>
        <v>960</v>
      </c>
      <c r="J26" s="136">
        <f>1156+220</f>
        <v>1376</v>
      </c>
      <c r="K26" s="136">
        <f>276+445</f>
        <v>721</v>
      </c>
      <c r="L26" s="136">
        <f>169+920</f>
        <v>1089</v>
      </c>
      <c r="M26" s="39">
        <f>36+695+108+216</f>
        <v>1055</v>
      </c>
      <c r="N26" s="152">
        <v>820</v>
      </c>
      <c r="O26" s="137">
        <f>SUM(C26:N26)</f>
        <v>11593</v>
      </c>
    </row>
    <row r="27" spans="1:15" x14ac:dyDescent="0.25">
      <c r="A27" s="129"/>
      <c r="B27" s="135" t="s">
        <v>25</v>
      </c>
      <c r="C27" s="27">
        <v>485</v>
      </c>
      <c r="D27" s="42">
        <v>584</v>
      </c>
      <c r="E27" s="131">
        <v>652</v>
      </c>
      <c r="F27" s="27">
        <v>928</v>
      </c>
      <c r="G27" s="136">
        <v>1022</v>
      </c>
      <c r="H27" s="136">
        <v>643</v>
      </c>
      <c r="I27" s="136">
        <f>1161+64</f>
        <v>1225</v>
      </c>
      <c r="J27" s="136">
        <f>649+174</f>
        <v>823</v>
      </c>
      <c r="K27" s="136">
        <f>97+588</f>
        <v>685</v>
      </c>
      <c r="L27" s="136">
        <f>170+548</f>
        <v>718</v>
      </c>
      <c r="M27" s="39">
        <f>490+108</f>
        <v>598</v>
      </c>
      <c r="N27" s="152">
        <f>477+108</f>
        <v>585</v>
      </c>
      <c r="O27" s="137">
        <f>SUM(C27:N27)</f>
        <v>8948</v>
      </c>
    </row>
    <row r="28" spans="1:15" x14ac:dyDescent="0.25">
      <c r="A28" s="129"/>
      <c r="B28" s="135" t="s">
        <v>23</v>
      </c>
      <c r="C28" s="27">
        <v>388</v>
      </c>
      <c r="D28" s="42">
        <v>589</v>
      </c>
      <c r="E28" s="131">
        <v>532</v>
      </c>
      <c r="F28" s="27">
        <v>570</v>
      </c>
      <c r="G28" s="136">
        <v>768</v>
      </c>
      <c r="H28" s="136">
        <v>585</v>
      </c>
      <c r="I28" s="136">
        <v>553</v>
      </c>
      <c r="J28" s="136">
        <f>1157+82</f>
        <v>1239</v>
      </c>
      <c r="K28" s="136">
        <f>187+270</f>
        <v>457</v>
      </c>
      <c r="L28" s="136">
        <f>80+826</f>
        <v>906</v>
      </c>
      <c r="M28" s="39">
        <v>619</v>
      </c>
      <c r="N28" s="152">
        <f>504+36</f>
        <v>540</v>
      </c>
      <c r="O28" s="137">
        <f>SUM(C28:N28)</f>
        <v>7746</v>
      </c>
    </row>
    <row r="29" spans="1:15" x14ac:dyDescent="0.25">
      <c r="A29" s="129"/>
      <c r="B29" s="135" t="s">
        <v>36</v>
      </c>
      <c r="C29" s="27">
        <v>378</v>
      </c>
      <c r="D29" s="42">
        <v>756</v>
      </c>
      <c r="E29" s="131">
        <v>652</v>
      </c>
      <c r="F29" s="27">
        <v>704</v>
      </c>
      <c r="G29" s="136">
        <v>217</v>
      </c>
      <c r="H29" s="136">
        <v>1188</v>
      </c>
      <c r="I29" s="136">
        <v>270</v>
      </c>
      <c r="J29" s="136">
        <v>710</v>
      </c>
      <c r="K29" s="136">
        <v>704</v>
      </c>
      <c r="L29" s="136">
        <v>162</v>
      </c>
      <c r="M29" s="39">
        <f>932+165</f>
        <v>1097</v>
      </c>
      <c r="N29" s="152">
        <f>217+433</f>
        <v>650</v>
      </c>
      <c r="O29" s="137">
        <f>SUM(C29:N29)</f>
        <v>7488</v>
      </c>
    </row>
    <row r="30" spans="1:15" x14ac:dyDescent="0.25">
      <c r="A30" s="129"/>
      <c r="B30" s="135" t="s">
        <v>29</v>
      </c>
      <c r="C30" s="27">
        <v>404</v>
      </c>
      <c r="D30" s="42">
        <v>502</v>
      </c>
      <c r="E30" s="131">
        <v>1001</v>
      </c>
      <c r="F30" s="27">
        <v>655</v>
      </c>
      <c r="G30" s="136">
        <v>1182</v>
      </c>
      <c r="H30" s="136">
        <v>476</v>
      </c>
      <c r="I30" s="136">
        <v>971</v>
      </c>
      <c r="J30" s="136">
        <v>513</v>
      </c>
      <c r="K30" s="136">
        <v>471</v>
      </c>
      <c r="L30" s="136">
        <v>303</v>
      </c>
      <c r="M30" s="39">
        <f>71+218+162</f>
        <v>451</v>
      </c>
      <c r="N30" s="152">
        <f>8+108</f>
        <v>116</v>
      </c>
      <c r="O30" s="137">
        <f>SUM(C30:N30)</f>
        <v>7045</v>
      </c>
    </row>
    <row r="31" spans="1:15" x14ac:dyDescent="0.25">
      <c r="A31" s="129"/>
      <c r="B31" s="135" t="s">
        <v>45</v>
      </c>
      <c r="C31" s="27">
        <v>294</v>
      </c>
      <c r="D31" s="42">
        <v>648</v>
      </c>
      <c r="E31" s="131">
        <v>678</v>
      </c>
      <c r="F31" s="27">
        <v>540</v>
      </c>
      <c r="G31" s="136">
        <v>702</v>
      </c>
      <c r="H31" s="136">
        <v>162</v>
      </c>
      <c r="I31" s="136">
        <v>840</v>
      </c>
      <c r="J31" s="136">
        <v>306</v>
      </c>
      <c r="K31" s="136">
        <v>600</v>
      </c>
      <c r="L31" s="136">
        <v>434</v>
      </c>
      <c r="M31" s="39">
        <f>108+220+110</f>
        <v>438</v>
      </c>
      <c r="N31" s="152">
        <f>216+270</f>
        <v>486</v>
      </c>
      <c r="O31" s="137">
        <f>SUM(C31:N31)</f>
        <v>6128</v>
      </c>
    </row>
    <row r="32" spans="1:15" x14ac:dyDescent="0.25">
      <c r="A32" s="129"/>
      <c r="B32" s="135" t="s">
        <v>54</v>
      </c>
      <c r="C32" s="27">
        <v>270</v>
      </c>
      <c r="D32" s="42">
        <v>324</v>
      </c>
      <c r="E32" s="131">
        <v>486</v>
      </c>
      <c r="F32" s="27">
        <v>432</v>
      </c>
      <c r="G32" s="136">
        <v>378</v>
      </c>
      <c r="H32" s="136">
        <v>378</v>
      </c>
      <c r="I32" s="136">
        <v>378</v>
      </c>
      <c r="J32" s="136">
        <v>594</v>
      </c>
      <c r="K32" s="136">
        <v>594</v>
      </c>
      <c r="L32" s="136">
        <v>382</v>
      </c>
      <c r="M32" s="39">
        <f>56+378</f>
        <v>434</v>
      </c>
      <c r="N32" s="152">
        <f>650+819</f>
        <v>1469</v>
      </c>
      <c r="O32" s="137">
        <f>SUM(C32:N32)</f>
        <v>6119</v>
      </c>
    </row>
    <row r="33" spans="1:15" x14ac:dyDescent="0.25">
      <c r="A33" s="129"/>
      <c r="B33" s="135" t="s">
        <v>35</v>
      </c>
      <c r="C33" s="27">
        <v>270</v>
      </c>
      <c r="D33" s="42">
        <v>216</v>
      </c>
      <c r="E33" s="131">
        <v>648</v>
      </c>
      <c r="F33" s="27">
        <v>542</v>
      </c>
      <c r="G33" s="136">
        <v>432</v>
      </c>
      <c r="H33" s="136">
        <v>486</v>
      </c>
      <c r="I33" s="136">
        <v>540</v>
      </c>
      <c r="J33" s="136">
        <v>486</v>
      </c>
      <c r="K33" s="136">
        <v>598</v>
      </c>
      <c r="L33" s="136">
        <v>388</v>
      </c>
      <c r="M33" s="39">
        <f>219+331</f>
        <v>550</v>
      </c>
      <c r="N33" s="152">
        <f>327+433</f>
        <v>760</v>
      </c>
      <c r="O33" s="137">
        <f>SUM(C33:N33)</f>
        <v>5916</v>
      </c>
    </row>
    <row r="34" spans="1:15" x14ac:dyDescent="0.25">
      <c r="A34" s="129"/>
      <c r="B34" s="135" t="s">
        <v>69</v>
      </c>
      <c r="C34" s="27">
        <v>588</v>
      </c>
      <c r="D34" s="42">
        <v>672</v>
      </c>
      <c r="E34" s="131">
        <v>480</v>
      </c>
      <c r="F34" s="27">
        <v>925</v>
      </c>
      <c r="G34" s="136">
        <v>686</v>
      </c>
      <c r="H34" s="136">
        <v>217</v>
      </c>
      <c r="I34" s="38">
        <v>0</v>
      </c>
      <c r="J34" s="136">
        <f>432+48</f>
        <v>480</v>
      </c>
      <c r="K34" s="136">
        <v>71</v>
      </c>
      <c r="L34" s="136">
        <f>324+92</f>
        <v>416</v>
      </c>
      <c r="M34" s="39">
        <v>335</v>
      </c>
      <c r="N34" s="152">
        <f>398+120+108</f>
        <v>626</v>
      </c>
      <c r="O34" s="137">
        <f>SUM(C34:N34)</f>
        <v>5496</v>
      </c>
    </row>
    <row r="35" spans="1:15" x14ac:dyDescent="0.25">
      <c r="A35" s="129"/>
      <c r="B35" s="135" t="s">
        <v>34</v>
      </c>
      <c r="C35" s="27">
        <v>270</v>
      </c>
      <c r="D35" s="42">
        <v>324</v>
      </c>
      <c r="E35" s="131">
        <v>396</v>
      </c>
      <c r="F35" s="27">
        <v>432</v>
      </c>
      <c r="G35" s="136">
        <v>324</v>
      </c>
      <c r="H35" s="136">
        <v>378</v>
      </c>
      <c r="I35" s="136">
        <v>378</v>
      </c>
      <c r="J35" s="136">
        <v>271</v>
      </c>
      <c r="K35" s="136">
        <v>486</v>
      </c>
      <c r="L35" s="136">
        <v>218</v>
      </c>
      <c r="M35" s="39">
        <f>219+221</f>
        <v>440</v>
      </c>
      <c r="N35" s="152">
        <f>164+564</f>
        <v>728</v>
      </c>
      <c r="O35" s="137">
        <f>SUM(C35:N35)</f>
        <v>4645</v>
      </c>
    </row>
    <row r="36" spans="1:15" x14ac:dyDescent="0.25">
      <c r="A36" s="129"/>
      <c r="B36" s="135" t="s">
        <v>50</v>
      </c>
      <c r="C36" s="27">
        <v>408</v>
      </c>
      <c r="D36" s="42">
        <v>324</v>
      </c>
      <c r="E36" s="131">
        <v>396</v>
      </c>
      <c r="F36" s="27">
        <v>408</v>
      </c>
      <c r="G36" s="136">
        <v>389</v>
      </c>
      <c r="H36" s="136">
        <v>540</v>
      </c>
      <c r="I36" s="136">
        <v>396</v>
      </c>
      <c r="J36" s="136">
        <v>360</v>
      </c>
      <c r="K36" s="136">
        <v>276</v>
      </c>
      <c r="L36" s="136">
        <v>252</v>
      </c>
      <c r="M36" s="136">
        <v>384</v>
      </c>
      <c r="N36" s="42">
        <v>384</v>
      </c>
      <c r="O36" s="137">
        <f>SUM(C36:N36)</f>
        <v>4517</v>
      </c>
    </row>
    <row r="37" spans="1:15" x14ac:dyDescent="0.25">
      <c r="A37" s="129"/>
      <c r="B37" s="135" t="s">
        <v>48</v>
      </c>
      <c r="C37" s="27">
        <v>250</v>
      </c>
      <c r="D37" s="42">
        <v>351</v>
      </c>
      <c r="E37" s="131">
        <v>450</v>
      </c>
      <c r="F37" s="27">
        <v>400</v>
      </c>
      <c r="G37" s="136">
        <v>200</v>
      </c>
      <c r="H37" s="136">
        <v>200</v>
      </c>
      <c r="I37" s="136">
        <v>520</v>
      </c>
      <c r="J37" s="136">
        <v>400</v>
      </c>
      <c r="K37" s="136">
        <v>240</v>
      </c>
      <c r="L37" s="136">
        <v>250</v>
      </c>
      <c r="M37" s="39">
        <v>350</v>
      </c>
      <c r="N37" s="155">
        <v>0</v>
      </c>
      <c r="O37" s="137">
        <f>SUM(C37:N37)</f>
        <v>3611</v>
      </c>
    </row>
    <row r="38" spans="1:15" x14ac:dyDescent="0.25">
      <c r="A38" s="129"/>
      <c r="B38" s="135" t="s">
        <v>32</v>
      </c>
      <c r="C38" s="27">
        <v>360</v>
      </c>
      <c r="D38" s="42">
        <v>80</v>
      </c>
      <c r="E38" s="131">
        <v>130</v>
      </c>
      <c r="F38" s="27">
        <v>488</v>
      </c>
      <c r="G38" s="136">
        <v>480</v>
      </c>
      <c r="H38" s="136">
        <v>167</v>
      </c>
      <c r="I38" s="136">
        <v>344</v>
      </c>
      <c r="J38" s="136">
        <f>44+72</f>
        <v>116</v>
      </c>
      <c r="K38" s="136">
        <f>380+508</f>
        <v>888</v>
      </c>
      <c r="L38" s="136">
        <f>1+45</f>
        <v>46</v>
      </c>
      <c r="M38" s="39">
        <f>24+143</f>
        <v>167</v>
      </c>
      <c r="N38" s="152">
        <v>156</v>
      </c>
      <c r="O38" s="137">
        <f>SUM(C38:N38)</f>
        <v>3422</v>
      </c>
    </row>
    <row r="39" spans="1:15" x14ac:dyDescent="0.25">
      <c r="A39" s="129"/>
      <c r="B39" s="135" t="s">
        <v>30</v>
      </c>
      <c r="C39" s="27">
        <v>213</v>
      </c>
      <c r="D39" s="42">
        <v>356</v>
      </c>
      <c r="E39" s="131">
        <v>538</v>
      </c>
      <c r="F39" s="27">
        <v>165</v>
      </c>
      <c r="G39" s="136">
        <v>407</v>
      </c>
      <c r="H39" s="136">
        <v>163</v>
      </c>
      <c r="I39" s="136">
        <v>304</v>
      </c>
      <c r="J39" s="136">
        <f>348+14</f>
        <v>362</v>
      </c>
      <c r="K39" s="136">
        <f>43+73</f>
        <v>116</v>
      </c>
      <c r="L39" s="136">
        <f>165+261</f>
        <v>426</v>
      </c>
      <c r="M39" s="39">
        <f>86+60</f>
        <v>146</v>
      </c>
      <c r="N39" s="152">
        <f>82+108+24</f>
        <v>214</v>
      </c>
      <c r="O39" s="137">
        <f>SUM(C39:N39)</f>
        <v>3410</v>
      </c>
    </row>
    <row r="40" spans="1:15" x14ac:dyDescent="0.25">
      <c r="A40" s="129"/>
      <c r="B40" s="135" t="s">
        <v>43</v>
      </c>
      <c r="C40" s="27">
        <v>162</v>
      </c>
      <c r="D40" s="42">
        <v>378</v>
      </c>
      <c r="E40" s="131">
        <v>216</v>
      </c>
      <c r="F40" s="27">
        <v>378</v>
      </c>
      <c r="G40" s="136">
        <v>270</v>
      </c>
      <c r="H40" s="136">
        <v>162</v>
      </c>
      <c r="I40" s="136">
        <v>270</v>
      </c>
      <c r="J40" s="136">
        <v>216</v>
      </c>
      <c r="K40" s="136">
        <v>378</v>
      </c>
      <c r="L40" s="136">
        <v>379</v>
      </c>
      <c r="M40" s="39">
        <f>54+56</f>
        <v>110</v>
      </c>
      <c r="N40" s="152">
        <f>108+240</f>
        <v>348</v>
      </c>
      <c r="O40" s="137">
        <f>SUM(C40:N40)</f>
        <v>3267</v>
      </c>
    </row>
    <row r="41" spans="1:15" x14ac:dyDescent="0.25">
      <c r="B41" s="135" t="s">
        <v>61</v>
      </c>
      <c r="C41" s="27">
        <v>216</v>
      </c>
      <c r="D41" s="42">
        <v>270</v>
      </c>
      <c r="E41" s="131">
        <v>432</v>
      </c>
      <c r="F41" s="27">
        <v>216</v>
      </c>
      <c r="G41" s="136">
        <v>162</v>
      </c>
      <c r="H41" s="136">
        <v>378</v>
      </c>
      <c r="I41" s="136">
        <v>108</v>
      </c>
      <c r="J41" s="136">
        <v>378</v>
      </c>
      <c r="K41" s="136">
        <v>270</v>
      </c>
      <c r="L41" s="136">
        <v>108</v>
      </c>
      <c r="M41" s="39">
        <f>110+55</f>
        <v>165</v>
      </c>
      <c r="N41" s="152">
        <f>55+109</f>
        <v>164</v>
      </c>
      <c r="O41" s="137">
        <f>SUM(C41:N41)</f>
        <v>2867</v>
      </c>
    </row>
    <row r="42" spans="1:15" x14ac:dyDescent="0.25">
      <c r="A42" s="129"/>
      <c r="B42" s="135" t="s">
        <v>58</v>
      </c>
      <c r="C42" s="27">
        <v>162</v>
      </c>
      <c r="D42" s="42">
        <v>216</v>
      </c>
      <c r="E42" s="131">
        <v>267</v>
      </c>
      <c r="F42" s="27">
        <v>162</v>
      </c>
      <c r="G42" s="136">
        <v>276</v>
      </c>
      <c r="H42" s="136">
        <v>216</v>
      </c>
      <c r="I42" s="136">
        <v>216</v>
      </c>
      <c r="J42" s="136">
        <v>162</v>
      </c>
      <c r="K42" s="136">
        <v>434</v>
      </c>
      <c r="L42" s="136">
        <v>163</v>
      </c>
      <c r="M42" s="39">
        <f>109+55</f>
        <v>164</v>
      </c>
      <c r="N42" s="152">
        <f>270+108</f>
        <v>378</v>
      </c>
      <c r="O42" s="137">
        <f>SUM(C42:N42)</f>
        <v>2816</v>
      </c>
    </row>
    <row r="43" spans="1:15" x14ac:dyDescent="0.25">
      <c r="A43" s="129"/>
      <c r="B43" s="135" t="s">
        <v>44</v>
      </c>
      <c r="C43" s="27">
        <v>108</v>
      </c>
      <c r="D43" s="42">
        <v>300</v>
      </c>
      <c r="E43" s="131">
        <v>447</v>
      </c>
      <c r="F43" s="27">
        <v>228</v>
      </c>
      <c r="G43" s="136">
        <v>331</v>
      </c>
      <c r="H43" s="136">
        <v>225</v>
      </c>
      <c r="I43" s="136">
        <v>108</v>
      </c>
      <c r="J43" s="136">
        <v>272</v>
      </c>
      <c r="K43" s="136">
        <v>379</v>
      </c>
      <c r="L43" s="27">
        <v>0</v>
      </c>
      <c r="M43" s="39">
        <v>163</v>
      </c>
      <c r="N43" s="152">
        <f>54+109</f>
        <v>163</v>
      </c>
      <c r="O43" s="137">
        <f>SUM(C43:N43)</f>
        <v>2724</v>
      </c>
    </row>
    <row r="44" spans="1:15" ht="15.75" customHeight="1" x14ac:dyDescent="0.25">
      <c r="A44" s="129"/>
      <c r="B44" s="135" t="s">
        <v>40</v>
      </c>
      <c r="C44" s="27">
        <v>162</v>
      </c>
      <c r="D44" s="42">
        <v>324</v>
      </c>
      <c r="E44" s="131">
        <v>269</v>
      </c>
      <c r="F44" s="27">
        <v>270</v>
      </c>
      <c r="G44" s="136">
        <v>162</v>
      </c>
      <c r="H44" s="136">
        <v>108</v>
      </c>
      <c r="I44" s="136">
        <v>216</v>
      </c>
      <c r="J44" s="136">
        <v>54</v>
      </c>
      <c r="K44" s="136">
        <v>324</v>
      </c>
      <c r="L44" s="136">
        <v>109</v>
      </c>
      <c r="M44" s="39">
        <f>162+55</f>
        <v>217</v>
      </c>
      <c r="N44" s="152">
        <f>108+54</f>
        <v>162</v>
      </c>
      <c r="O44" s="137">
        <f>SUM(C44:N44)</f>
        <v>2377</v>
      </c>
    </row>
    <row r="45" spans="1:15" x14ac:dyDescent="0.25">
      <c r="A45" s="129"/>
      <c r="B45" s="135" t="s">
        <v>33</v>
      </c>
      <c r="C45" s="27">
        <v>200</v>
      </c>
      <c r="D45" s="42">
        <v>160</v>
      </c>
      <c r="E45" s="131">
        <v>228</v>
      </c>
      <c r="F45" s="27">
        <v>120</v>
      </c>
      <c r="G45" s="136">
        <v>320</v>
      </c>
      <c r="H45" s="27">
        <v>0</v>
      </c>
      <c r="I45" s="136">
        <v>160</v>
      </c>
      <c r="J45" s="136">
        <v>160</v>
      </c>
      <c r="K45" s="136">
        <v>206</v>
      </c>
      <c r="L45" s="136">
        <v>160</v>
      </c>
      <c r="M45" s="39">
        <v>120</v>
      </c>
      <c r="N45" s="152">
        <v>200</v>
      </c>
      <c r="O45" s="137">
        <f>SUM(C45:N45)</f>
        <v>2034</v>
      </c>
    </row>
    <row r="46" spans="1:15" x14ac:dyDescent="0.25">
      <c r="A46" s="129"/>
      <c r="B46" s="135" t="s">
        <v>62</v>
      </c>
      <c r="C46" s="27">
        <v>24</v>
      </c>
      <c r="D46" s="42">
        <v>24</v>
      </c>
      <c r="E46" s="131">
        <v>48</v>
      </c>
      <c r="F46" s="27">
        <v>48</v>
      </c>
      <c r="G46" s="136">
        <v>80</v>
      </c>
      <c r="H46" s="136">
        <v>30</v>
      </c>
      <c r="I46" s="136">
        <v>60</v>
      </c>
      <c r="J46" s="136">
        <v>30</v>
      </c>
      <c r="K46" s="136">
        <v>35</v>
      </c>
      <c r="L46" s="27">
        <v>0</v>
      </c>
      <c r="M46" s="27">
        <v>0</v>
      </c>
      <c r="N46" s="42">
        <v>0</v>
      </c>
      <c r="O46" s="137">
        <f>SUM(C46:N46)</f>
        <v>379</v>
      </c>
    </row>
    <row r="47" spans="1:15" x14ac:dyDescent="0.25">
      <c r="A47" s="129"/>
      <c r="B47" s="135" t="s">
        <v>66</v>
      </c>
      <c r="C47" s="27">
        <v>0</v>
      </c>
      <c r="D47" s="42">
        <v>0</v>
      </c>
      <c r="E47" s="131">
        <v>50</v>
      </c>
      <c r="F47" s="27">
        <v>0</v>
      </c>
      <c r="G47" s="136">
        <v>30</v>
      </c>
      <c r="H47" s="136">
        <v>50</v>
      </c>
      <c r="I47" s="38">
        <v>0</v>
      </c>
      <c r="J47" s="136">
        <v>60</v>
      </c>
      <c r="K47" s="27">
        <v>0</v>
      </c>
      <c r="L47" s="27">
        <v>0</v>
      </c>
      <c r="M47" s="27">
        <v>0</v>
      </c>
      <c r="N47" s="42">
        <v>0</v>
      </c>
      <c r="O47" s="137">
        <f>SUM(C47:N47)</f>
        <v>190</v>
      </c>
    </row>
    <row r="48" spans="1:15" x14ac:dyDescent="0.25">
      <c r="A48" s="129"/>
      <c r="B48" s="135" t="s">
        <v>68</v>
      </c>
      <c r="C48" s="27">
        <v>0</v>
      </c>
      <c r="D48" s="42">
        <v>0</v>
      </c>
      <c r="E48" s="131">
        <v>0</v>
      </c>
      <c r="F48" s="27">
        <v>0</v>
      </c>
      <c r="G48" s="136">
        <v>0</v>
      </c>
      <c r="H48" s="136">
        <v>0</v>
      </c>
      <c r="I48" s="27">
        <v>0</v>
      </c>
      <c r="J48" s="27">
        <v>0</v>
      </c>
      <c r="K48" s="27">
        <v>54</v>
      </c>
      <c r="L48" s="27">
        <v>0</v>
      </c>
      <c r="M48" s="27">
        <v>0</v>
      </c>
      <c r="N48" s="42">
        <v>0</v>
      </c>
      <c r="O48" s="137">
        <f>SUM(C48:N48)</f>
        <v>54</v>
      </c>
    </row>
    <row r="49" spans="1:15" x14ac:dyDescent="0.25">
      <c r="A49" s="129"/>
      <c r="B49" s="135" t="s">
        <v>57</v>
      </c>
      <c r="C49" s="27">
        <v>0</v>
      </c>
      <c r="D49" s="42">
        <v>0</v>
      </c>
      <c r="E49" s="131">
        <v>0</v>
      </c>
      <c r="F49" s="27">
        <v>0</v>
      </c>
      <c r="G49" s="38">
        <v>0</v>
      </c>
      <c r="H49" s="136">
        <v>54</v>
      </c>
      <c r="I49" s="38">
        <v>0</v>
      </c>
      <c r="J49" s="27">
        <v>0</v>
      </c>
      <c r="K49" s="27">
        <v>0</v>
      </c>
      <c r="L49" s="27">
        <v>0</v>
      </c>
      <c r="M49" s="27">
        <v>0</v>
      </c>
      <c r="N49" s="42">
        <v>0</v>
      </c>
      <c r="O49" s="137">
        <f>SUM(C49:N49)</f>
        <v>54</v>
      </c>
    </row>
    <row r="50" spans="1:15" x14ac:dyDescent="0.25">
      <c r="A50" s="129"/>
      <c r="B50" s="135" t="s">
        <v>52</v>
      </c>
      <c r="C50" s="27">
        <v>0</v>
      </c>
      <c r="D50" s="42">
        <v>0</v>
      </c>
      <c r="E50" s="131">
        <v>0</v>
      </c>
      <c r="F50" s="27">
        <v>24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/>
      <c r="M50" s="27">
        <v>0</v>
      </c>
      <c r="N50" s="42">
        <v>0</v>
      </c>
      <c r="O50" s="137">
        <f>SUM(C50:N50)</f>
        <v>24</v>
      </c>
    </row>
    <row r="51" spans="1:15" x14ac:dyDescent="0.25">
      <c r="A51" s="129"/>
      <c r="B51" s="135" t="s">
        <v>72</v>
      </c>
      <c r="C51" s="27">
        <v>0</v>
      </c>
      <c r="D51" s="42">
        <v>0</v>
      </c>
      <c r="E51" s="131">
        <v>0</v>
      </c>
      <c r="F51" s="27">
        <v>20</v>
      </c>
      <c r="G51" s="27">
        <v>0</v>
      </c>
      <c r="H51" s="27">
        <v>0</v>
      </c>
      <c r="I51" s="38">
        <v>0</v>
      </c>
      <c r="J51" s="27">
        <v>0</v>
      </c>
      <c r="K51" s="27">
        <v>0</v>
      </c>
      <c r="L51" s="27">
        <v>0</v>
      </c>
      <c r="M51" s="27">
        <v>0</v>
      </c>
      <c r="N51" s="42">
        <v>0</v>
      </c>
      <c r="O51" s="137">
        <f>SUM(C51:N51)</f>
        <v>20</v>
      </c>
    </row>
    <row r="52" spans="1:15" x14ac:dyDescent="0.25">
      <c r="A52" s="129"/>
      <c r="B52" s="135" t="s">
        <v>71</v>
      </c>
      <c r="C52" s="27">
        <v>0</v>
      </c>
      <c r="D52" s="42">
        <v>0</v>
      </c>
      <c r="E52" s="131">
        <v>0</v>
      </c>
      <c r="F52" s="27">
        <v>20</v>
      </c>
      <c r="G52" s="27">
        <v>0</v>
      </c>
      <c r="H52" s="27">
        <v>0</v>
      </c>
      <c r="I52" s="38">
        <v>0</v>
      </c>
      <c r="J52" s="27">
        <v>0</v>
      </c>
      <c r="K52" s="27">
        <v>0</v>
      </c>
      <c r="L52" s="27">
        <v>0</v>
      </c>
      <c r="M52" s="27">
        <v>0</v>
      </c>
      <c r="N52" s="42">
        <v>0</v>
      </c>
      <c r="O52" s="137">
        <f>SUM(C52:N52)</f>
        <v>20</v>
      </c>
    </row>
    <row r="53" spans="1:15" x14ac:dyDescent="0.25">
      <c r="B53" s="135" t="s">
        <v>73</v>
      </c>
      <c r="C53" s="27">
        <v>0</v>
      </c>
      <c r="D53" s="42">
        <v>0</v>
      </c>
      <c r="E53" s="131">
        <v>0</v>
      </c>
      <c r="F53" s="27">
        <v>14</v>
      </c>
      <c r="G53" s="27">
        <v>0</v>
      </c>
      <c r="H53" s="27">
        <v>0</v>
      </c>
      <c r="I53" s="38">
        <v>0</v>
      </c>
      <c r="J53" s="27">
        <v>0</v>
      </c>
      <c r="K53" s="27">
        <v>0</v>
      </c>
      <c r="L53" s="27">
        <v>0</v>
      </c>
      <c r="M53" s="27">
        <v>0</v>
      </c>
      <c r="N53" s="42">
        <v>0</v>
      </c>
      <c r="O53" s="137">
        <f>SUM(C53:N53)</f>
        <v>14</v>
      </c>
    </row>
    <row r="54" spans="1:15" x14ac:dyDescent="0.25">
      <c r="B54" s="135" t="s">
        <v>70</v>
      </c>
      <c r="C54" s="27">
        <v>0</v>
      </c>
      <c r="D54" s="42">
        <v>0</v>
      </c>
      <c r="E54" s="131">
        <v>7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42">
        <v>0</v>
      </c>
      <c r="O54" s="137">
        <f>SUM(C54:N54)</f>
        <v>7</v>
      </c>
    </row>
    <row r="55" spans="1:15" ht="15.75" thickBot="1" x14ac:dyDescent="0.3">
      <c r="B55" s="135" t="s">
        <v>41</v>
      </c>
      <c r="C55" s="27">
        <v>0</v>
      </c>
      <c r="D55" s="42">
        <v>0</v>
      </c>
      <c r="E55" s="131">
        <v>0</v>
      </c>
      <c r="F55" s="27">
        <v>3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42">
        <v>0</v>
      </c>
      <c r="O55" s="137">
        <f>SUM(C55:N55)</f>
        <v>3</v>
      </c>
    </row>
    <row r="56" spans="1:15" ht="15.75" thickBot="1" x14ac:dyDescent="0.3">
      <c r="B56" s="29"/>
      <c r="C56" s="156"/>
      <c r="D56" s="157"/>
      <c r="E56" s="156"/>
      <c r="F56" s="161"/>
      <c r="G56" s="158"/>
      <c r="H56" s="159"/>
      <c r="I56" s="158"/>
      <c r="J56" s="156"/>
      <c r="K56" s="156"/>
      <c r="L56" s="156"/>
      <c r="M56" s="156"/>
      <c r="N56" s="157"/>
      <c r="O56" s="160"/>
    </row>
    <row r="57" spans="1:15" ht="15.75" thickBot="1" x14ac:dyDescent="0.3">
      <c r="B57" s="29"/>
      <c r="C57" s="10">
        <f t="shared" ref="C57:L57" si="0">SUM(C7:C55)</f>
        <v>46089.599999999999</v>
      </c>
      <c r="D57" s="11">
        <f t="shared" si="0"/>
        <v>46798</v>
      </c>
      <c r="E57" s="10">
        <f t="shared" si="0"/>
        <v>53142</v>
      </c>
      <c r="F57" s="11">
        <f t="shared" si="0"/>
        <v>55178</v>
      </c>
      <c r="G57" s="10">
        <f t="shared" si="0"/>
        <v>68250</v>
      </c>
      <c r="H57" s="10">
        <f>SUM(H7:H55)</f>
        <v>53043.333333333336</v>
      </c>
      <c r="I57" s="10">
        <f t="shared" si="0"/>
        <v>53561.5</v>
      </c>
      <c r="J57" s="10">
        <f t="shared" si="0"/>
        <v>55097.5</v>
      </c>
      <c r="K57" s="10">
        <f t="shared" si="0"/>
        <v>55708</v>
      </c>
      <c r="L57" s="10">
        <f t="shared" si="0"/>
        <v>48657</v>
      </c>
      <c r="M57" s="10">
        <f>SUM(M7:M55)</f>
        <v>46921</v>
      </c>
      <c r="N57" s="10">
        <f>SUM(N7:N55)</f>
        <v>56541</v>
      </c>
      <c r="O57" s="10">
        <f>SUM(O7:O55)</f>
        <v>638986.93333333335</v>
      </c>
    </row>
    <row r="58" spans="1:15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ht="15.75" thickBot="1" x14ac:dyDescent="0.3"/>
    <row r="61" spans="1:15" ht="15.75" thickBot="1" x14ac:dyDescent="0.3">
      <c r="B61" s="143" t="s">
        <v>80</v>
      </c>
      <c r="C61" s="144" t="s">
        <v>4</v>
      </c>
      <c r="D61" s="143" t="s">
        <v>5</v>
      </c>
      <c r="E61" s="144" t="s">
        <v>6</v>
      </c>
      <c r="F61" s="144" t="s">
        <v>7</v>
      </c>
      <c r="G61" s="2" t="s">
        <v>8</v>
      </c>
      <c r="H61" s="4" t="s">
        <v>9</v>
      </c>
      <c r="I61" s="4" t="s">
        <v>10</v>
      </c>
      <c r="J61" s="4" t="s">
        <v>11</v>
      </c>
      <c r="K61" s="4" t="s">
        <v>12</v>
      </c>
      <c r="L61" s="4" t="s">
        <v>13</v>
      </c>
      <c r="M61" s="2" t="s">
        <v>14</v>
      </c>
      <c r="N61" s="4" t="s">
        <v>15</v>
      </c>
      <c r="O61" s="144" t="s">
        <v>79</v>
      </c>
    </row>
    <row r="62" spans="1:15" x14ac:dyDescent="0.25">
      <c r="B62" s="142" t="s">
        <v>91</v>
      </c>
      <c r="C62" s="145">
        <v>10200</v>
      </c>
      <c r="D62" s="145">
        <v>7600</v>
      </c>
      <c r="E62" s="145">
        <v>7600</v>
      </c>
      <c r="F62" s="145">
        <v>5800</v>
      </c>
      <c r="G62" s="145">
        <v>20000</v>
      </c>
      <c r="H62" s="145">
        <v>10200</v>
      </c>
      <c r="I62" s="145">
        <v>14300</v>
      </c>
      <c r="J62" s="145">
        <v>7500</v>
      </c>
      <c r="K62" s="145">
        <v>12400</v>
      </c>
      <c r="L62" s="145">
        <f>9000+4000</f>
        <v>13000</v>
      </c>
      <c r="M62" s="145">
        <v>9800</v>
      </c>
      <c r="N62" s="145">
        <v>20800</v>
      </c>
      <c r="O62" s="145">
        <f>SUM(C62:N62)</f>
        <v>139200</v>
      </c>
    </row>
    <row r="63" spans="1:15" ht="15.75" thickBot="1" x14ac:dyDescent="0.3">
      <c r="B63" s="142" t="s">
        <v>77</v>
      </c>
      <c r="C63" s="146">
        <v>7368</v>
      </c>
      <c r="D63" s="146">
        <v>8400</v>
      </c>
      <c r="E63" s="146">
        <v>3000</v>
      </c>
      <c r="F63" s="146">
        <v>11400</v>
      </c>
      <c r="G63" s="146">
        <v>7800</v>
      </c>
      <c r="H63" s="146">
        <v>10000</v>
      </c>
      <c r="I63" s="146">
        <v>12000</v>
      </c>
      <c r="J63" s="146">
        <v>8400</v>
      </c>
      <c r="K63" s="146">
        <v>7800</v>
      </c>
      <c r="L63" s="147">
        <v>0</v>
      </c>
      <c r="M63" s="147">
        <v>0</v>
      </c>
      <c r="N63" s="147">
        <v>0</v>
      </c>
      <c r="O63" s="146">
        <f>SUM(C63:N63)</f>
        <v>76168</v>
      </c>
    </row>
    <row r="64" spans="1:15" ht="15.75" thickBot="1" x14ac:dyDescent="0.3">
      <c r="B64" s="29"/>
      <c r="C64" s="138">
        <f>SUM(C62:C63)</f>
        <v>17568</v>
      </c>
      <c r="D64" s="138">
        <f t="shared" ref="D64:M64" si="1">SUM(D62:D63)</f>
        <v>16000</v>
      </c>
      <c r="E64" s="138">
        <f t="shared" si="1"/>
        <v>10600</v>
      </c>
      <c r="F64" s="138">
        <f t="shared" si="1"/>
        <v>17200</v>
      </c>
      <c r="G64" s="138">
        <f t="shared" si="1"/>
        <v>27800</v>
      </c>
      <c r="H64" s="138">
        <f t="shared" si="1"/>
        <v>20200</v>
      </c>
      <c r="I64" s="138">
        <f t="shared" si="1"/>
        <v>26300</v>
      </c>
      <c r="J64" s="138">
        <f t="shared" si="1"/>
        <v>15900</v>
      </c>
      <c r="K64" s="138">
        <f t="shared" si="1"/>
        <v>20200</v>
      </c>
      <c r="L64" s="138">
        <f t="shared" si="1"/>
        <v>13000</v>
      </c>
      <c r="M64" s="138">
        <f t="shared" si="1"/>
        <v>9800</v>
      </c>
      <c r="N64" s="138">
        <f>SUM(N62:N63)</f>
        <v>20800</v>
      </c>
      <c r="O64" s="138">
        <f>SUM(O62:O63)</f>
        <v>215368</v>
      </c>
    </row>
    <row r="65" spans="2:15" x14ac:dyDescent="0.25"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</row>
    <row r="67" spans="2:15" x14ac:dyDescent="0.25">
      <c r="B67" s="140"/>
    </row>
    <row r="68" spans="2:15" x14ac:dyDescent="0.25">
      <c r="B68" s="141"/>
      <c r="D68" s="13"/>
      <c r="E68" s="13"/>
    </row>
  </sheetData>
  <mergeCells count="3">
    <mergeCell ref="B2:O2"/>
    <mergeCell ref="B3:O3"/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48571"/>
  <sheetViews>
    <sheetView showGridLines="0" topLeftCell="A22" workbookViewId="0">
      <selection activeCell="N44" sqref="C44:N44"/>
    </sheetView>
  </sheetViews>
  <sheetFormatPr baseColWidth="10" defaultRowHeight="12.75" customHeight="1" x14ac:dyDescent="0.25"/>
  <cols>
    <col min="1" max="1" width="1" style="57" customWidth="1"/>
    <col min="2" max="2" width="37.140625" style="57" customWidth="1"/>
    <col min="3" max="7" width="10.85546875" style="57" customWidth="1"/>
    <col min="8" max="8" width="10.85546875" style="66" customWidth="1"/>
    <col min="9" max="14" width="10.85546875" style="57" customWidth="1"/>
    <col min="15" max="15" width="11.85546875" style="57" customWidth="1"/>
    <col min="16" max="16" width="9.140625" style="57" customWidth="1"/>
    <col min="17" max="16384" width="11.42578125" style="57"/>
  </cols>
  <sheetData>
    <row r="1" spans="2:15" ht="12.75" customHeight="1" x14ac:dyDescent="0.25">
      <c r="B1" s="149" t="s">
        <v>85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2:15" ht="12.75" customHeight="1" x14ac:dyDescent="0.25">
      <c r="B2" s="149" t="s">
        <v>1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2:15" ht="15" x14ac:dyDescent="0.25">
      <c r="B3" s="149" t="s">
        <v>84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</row>
    <row r="4" spans="2:15" ht="15.75" thickBot="1" x14ac:dyDescent="0.3">
      <c r="B4" s="58"/>
    </row>
    <row r="5" spans="2:15" ht="15.75" thickBot="1" x14ac:dyDescent="0.3">
      <c r="B5" s="114" t="s">
        <v>3</v>
      </c>
      <c r="C5" s="61" t="s">
        <v>4</v>
      </c>
      <c r="D5" s="61" t="s">
        <v>5</v>
      </c>
      <c r="E5" s="115" t="s">
        <v>6</v>
      </c>
      <c r="F5" s="61" t="s">
        <v>7</v>
      </c>
      <c r="G5" s="87" t="s">
        <v>8</v>
      </c>
      <c r="H5" s="61" t="s">
        <v>9</v>
      </c>
      <c r="I5" s="115" t="s">
        <v>10</v>
      </c>
      <c r="J5" s="115" t="s">
        <v>11</v>
      </c>
      <c r="K5" s="61" t="s">
        <v>12</v>
      </c>
      <c r="L5" s="61" t="s">
        <v>13</v>
      </c>
      <c r="M5" s="115" t="s">
        <v>14</v>
      </c>
      <c r="N5" s="115" t="s">
        <v>15</v>
      </c>
      <c r="O5" s="116" t="s">
        <v>79</v>
      </c>
    </row>
    <row r="6" spans="2:15" ht="15" x14ac:dyDescent="0.25">
      <c r="B6" s="117" t="s">
        <v>83</v>
      </c>
      <c r="C6" s="103">
        <v>9250</v>
      </c>
      <c r="D6" s="103">
        <v>8653</v>
      </c>
      <c r="E6" s="103">
        <v>10325</v>
      </c>
      <c r="F6" s="103">
        <v>8671</v>
      </c>
      <c r="G6" s="103">
        <v>10892</v>
      </c>
      <c r="H6" s="72">
        <v>10711</v>
      </c>
      <c r="I6" s="104">
        <v>11974</v>
      </c>
      <c r="J6" s="103">
        <v>10406</v>
      </c>
      <c r="K6" s="103">
        <v>11046</v>
      </c>
      <c r="L6" s="72">
        <v>10005</v>
      </c>
      <c r="M6" s="72">
        <v>9643</v>
      </c>
      <c r="N6" s="105">
        <v>12166</v>
      </c>
      <c r="O6" s="103">
        <f t="shared" ref="O6:O42" si="0">SUM(C6:N6)</f>
        <v>123742</v>
      </c>
    </row>
    <row r="7" spans="2:15" ht="15" x14ac:dyDescent="0.25">
      <c r="B7" s="117" t="s">
        <v>27</v>
      </c>
      <c r="C7" s="53">
        <v>7662</v>
      </c>
      <c r="D7" s="53">
        <v>5747</v>
      </c>
      <c r="E7" s="53">
        <v>11294</v>
      </c>
      <c r="F7" s="53">
        <v>6897</v>
      </c>
      <c r="G7" s="53">
        <v>7340</v>
      </c>
      <c r="H7" s="49">
        <v>7182</v>
      </c>
      <c r="I7" s="106">
        <v>16301</v>
      </c>
      <c r="J7" s="53">
        <v>14441</v>
      </c>
      <c r="K7" s="53">
        <v>2452</v>
      </c>
      <c r="L7" s="53">
        <v>4306</v>
      </c>
      <c r="M7" s="53">
        <v>2384</v>
      </c>
      <c r="N7" s="55">
        <v>2958</v>
      </c>
      <c r="O7" s="53">
        <f t="shared" si="0"/>
        <v>88964</v>
      </c>
    </row>
    <row r="8" spans="2:15" ht="15" x14ac:dyDescent="0.25">
      <c r="B8" s="107" t="s">
        <v>82</v>
      </c>
      <c r="C8" s="53">
        <v>3927</v>
      </c>
      <c r="D8" s="53">
        <v>4373</v>
      </c>
      <c r="E8" s="53">
        <v>5965</v>
      </c>
      <c r="F8" s="53">
        <v>5501</v>
      </c>
      <c r="G8" s="53">
        <v>7665</v>
      </c>
      <c r="H8" s="49">
        <v>7951</v>
      </c>
      <c r="I8" s="106">
        <v>7338</v>
      </c>
      <c r="J8" s="53">
        <v>8421</v>
      </c>
      <c r="K8" s="53">
        <v>6050</v>
      </c>
      <c r="L8" s="49">
        <v>5547</v>
      </c>
      <c r="M8" s="49">
        <v>4944</v>
      </c>
      <c r="N8" s="51">
        <v>7490</v>
      </c>
      <c r="O8" s="53">
        <f t="shared" si="0"/>
        <v>75172</v>
      </c>
    </row>
    <row r="9" spans="2:15" ht="15" x14ac:dyDescent="0.25">
      <c r="B9" s="117" t="s">
        <v>28</v>
      </c>
      <c r="C9" s="53">
        <v>3821</v>
      </c>
      <c r="D9" s="53">
        <v>2806</v>
      </c>
      <c r="E9" s="53">
        <v>4459</v>
      </c>
      <c r="F9" s="53">
        <v>3672</v>
      </c>
      <c r="G9" s="53">
        <v>3849</v>
      </c>
      <c r="H9" s="49">
        <f>3412+468</f>
        <v>3880</v>
      </c>
      <c r="I9" s="106">
        <v>3842</v>
      </c>
      <c r="J9" s="53">
        <v>4445</v>
      </c>
      <c r="K9" s="53">
        <v>4232</v>
      </c>
      <c r="L9" s="49">
        <v>3783</v>
      </c>
      <c r="M9" s="49">
        <v>4248</v>
      </c>
      <c r="N9" s="51">
        <v>6731</v>
      </c>
      <c r="O9" s="53">
        <f t="shared" si="0"/>
        <v>49768</v>
      </c>
    </row>
    <row r="10" spans="2:15" ht="15" x14ac:dyDescent="0.25">
      <c r="B10" s="117" t="s">
        <v>18</v>
      </c>
      <c r="C10" s="53">
        <v>3182</v>
      </c>
      <c r="D10" s="53">
        <v>2799</v>
      </c>
      <c r="E10" s="53">
        <v>3191</v>
      </c>
      <c r="F10" s="53">
        <v>3093</v>
      </c>
      <c r="G10" s="53">
        <v>3899</v>
      </c>
      <c r="H10" s="49">
        <v>3658</v>
      </c>
      <c r="I10" s="106">
        <v>4159</v>
      </c>
      <c r="J10" s="53">
        <v>3480</v>
      </c>
      <c r="K10" s="53">
        <v>3515</v>
      </c>
      <c r="L10" s="53">
        <v>3615</v>
      </c>
      <c r="M10" s="53">
        <v>3719</v>
      </c>
      <c r="N10" s="55">
        <v>4403</v>
      </c>
      <c r="O10" s="53">
        <f t="shared" si="0"/>
        <v>42713</v>
      </c>
    </row>
    <row r="11" spans="2:15" s="66" customFormat="1" ht="15" x14ac:dyDescent="0.25">
      <c r="B11" s="117" t="s">
        <v>17</v>
      </c>
      <c r="C11" s="53">
        <v>1523</v>
      </c>
      <c r="D11" s="53">
        <v>1732</v>
      </c>
      <c r="E11" s="53">
        <v>2378</v>
      </c>
      <c r="F11" s="53">
        <v>2065</v>
      </c>
      <c r="G11" s="53">
        <v>2475</v>
      </c>
      <c r="H11" s="49">
        <v>2222</v>
      </c>
      <c r="I11" s="106">
        <v>2295</v>
      </c>
      <c r="J11" s="53">
        <v>2286</v>
      </c>
      <c r="K11" s="53">
        <v>2391</v>
      </c>
      <c r="L11" s="49">
        <v>2088</v>
      </c>
      <c r="M11" s="49">
        <v>2040</v>
      </c>
      <c r="N11" s="51">
        <v>2320</v>
      </c>
      <c r="O11" s="53">
        <f t="shared" si="0"/>
        <v>25815</v>
      </c>
    </row>
    <row r="12" spans="2:15" ht="15" x14ac:dyDescent="0.25">
      <c r="B12" s="117" t="s">
        <v>19</v>
      </c>
      <c r="C12" s="53">
        <v>1559</v>
      </c>
      <c r="D12" s="53">
        <v>1497</v>
      </c>
      <c r="E12" s="53">
        <v>2164</v>
      </c>
      <c r="F12" s="53">
        <v>1819</v>
      </c>
      <c r="G12" s="53">
        <v>2331</v>
      </c>
      <c r="H12" s="49">
        <v>2112</v>
      </c>
      <c r="I12" s="106">
        <v>2263</v>
      </c>
      <c r="J12" s="53">
        <v>2273</v>
      </c>
      <c r="K12" s="53">
        <v>2104</v>
      </c>
      <c r="L12" s="53">
        <v>1916</v>
      </c>
      <c r="M12" s="53">
        <v>1883</v>
      </c>
      <c r="N12" s="55">
        <v>1976</v>
      </c>
      <c r="O12" s="53">
        <f t="shared" si="0"/>
        <v>23897</v>
      </c>
    </row>
    <row r="13" spans="2:15" ht="15" x14ac:dyDescent="0.25">
      <c r="B13" s="117" t="s">
        <v>22</v>
      </c>
      <c r="C13" s="53">
        <v>1520</v>
      </c>
      <c r="D13" s="53">
        <v>1545</v>
      </c>
      <c r="E13" s="53">
        <v>1576</v>
      </c>
      <c r="F13" s="53">
        <v>1818</v>
      </c>
      <c r="G13" s="53">
        <v>2066</v>
      </c>
      <c r="H13" s="49">
        <v>1897</v>
      </c>
      <c r="I13" s="106">
        <v>2418</v>
      </c>
      <c r="J13" s="53">
        <v>2003</v>
      </c>
      <c r="K13" s="53">
        <v>1710</v>
      </c>
      <c r="L13" s="53">
        <v>934</v>
      </c>
      <c r="M13" s="53">
        <v>1150</v>
      </c>
      <c r="N13" s="55">
        <v>1251</v>
      </c>
      <c r="O13" s="53">
        <f t="shared" si="0"/>
        <v>19888</v>
      </c>
    </row>
    <row r="14" spans="2:15" ht="15" x14ac:dyDescent="0.25">
      <c r="B14" s="117" t="s">
        <v>65</v>
      </c>
      <c r="C14" s="53">
        <v>1139</v>
      </c>
      <c r="D14" s="53">
        <v>587</v>
      </c>
      <c r="E14" s="53">
        <v>2069</v>
      </c>
      <c r="F14" s="53">
        <v>1529</v>
      </c>
      <c r="G14" s="53">
        <v>1359</v>
      </c>
      <c r="H14" s="49">
        <v>2000</v>
      </c>
      <c r="I14" s="106">
        <v>1907</v>
      </c>
      <c r="J14" s="53">
        <v>1920</v>
      </c>
      <c r="K14" s="53">
        <v>1811</v>
      </c>
      <c r="L14" s="49">
        <v>843</v>
      </c>
      <c r="M14" s="49">
        <v>1042</v>
      </c>
      <c r="N14" s="51">
        <v>1480</v>
      </c>
      <c r="O14" s="53">
        <f t="shared" si="0"/>
        <v>17686</v>
      </c>
    </row>
    <row r="15" spans="2:15" ht="15" x14ac:dyDescent="0.25">
      <c r="B15" s="117" t="s">
        <v>26</v>
      </c>
      <c r="C15" s="53">
        <v>925</v>
      </c>
      <c r="D15" s="53">
        <v>632</v>
      </c>
      <c r="E15" s="53">
        <v>1503</v>
      </c>
      <c r="F15" s="53">
        <v>1076</v>
      </c>
      <c r="G15" s="53">
        <v>1016</v>
      </c>
      <c r="H15" s="49">
        <v>1384</v>
      </c>
      <c r="I15" s="106">
        <v>1715</v>
      </c>
      <c r="J15" s="53">
        <v>1504</v>
      </c>
      <c r="K15" s="49">
        <v>1485</v>
      </c>
      <c r="L15" s="49">
        <v>800</v>
      </c>
      <c r="M15" s="49">
        <v>1313</v>
      </c>
      <c r="N15" s="51">
        <v>1163</v>
      </c>
      <c r="O15" s="53">
        <f t="shared" si="0"/>
        <v>14516</v>
      </c>
    </row>
    <row r="16" spans="2:15" s="66" customFormat="1" ht="15" x14ac:dyDescent="0.25">
      <c r="B16" s="36" t="s">
        <v>94</v>
      </c>
      <c r="C16" s="49">
        <f>133.333333333333*1.9</f>
        <v>253.33333333333269</v>
      </c>
      <c r="D16" s="49">
        <f>580*1.9</f>
        <v>1102</v>
      </c>
      <c r="E16" s="49">
        <f>300*1.9</f>
        <v>570</v>
      </c>
      <c r="F16" s="49">
        <v>891</v>
      </c>
      <c r="G16" s="49">
        <v>1068</v>
      </c>
      <c r="H16" s="49">
        <v>1765</v>
      </c>
      <c r="I16" s="52">
        <v>986</v>
      </c>
      <c r="J16" s="49">
        <f>961*1.9</f>
        <v>1825.8999999999999</v>
      </c>
      <c r="K16" s="49">
        <f>1491*1.9</f>
        <v>2832.9</v>
      </c>
      <c r="L16" s="49">
        <f>319*1.9</f>
        <v>606.1</v>
      </c>
      <c r="M16" s="49">
        <f>360*1.9</f>
        <v>684</v>
      </c>
      <c r="N16" s="51">
        <f>550*1.9</f>
        <v>1045</v>
      </c>
      <c r="O16" s="49">
        <f t="shared" si="0"/>
        <v>13629.233333333332</v>
      </c>
    </row>
    <row r="17" spans="2:15" ht="15" x14ac:dyDescent="0.25">
      <c r="B17" s="117" t="s">
        <v>29</v>
      </c>
      <c r="C17" s="53">
        <v>1614</v>
      </c>
      <c r="D17" s="53">
        <v>421</v>
      </c>
      <c r="E17" s="53">
        <v>700</v>
      </c>
      <c r="F17" s="53">
        <v>548</v>
      </c>
      <c r="G17" s="53">
        <v>564</v>
      </c>
      <c r="H17" s="49">
        <v>3645</v>
      </c>
      <c r="I17" s="106">
        <v>1442</v>
      </c>
      <c r="J17" s="53">
        <v>468</v>
      </c>
      <c r="K17" s="53">
        <v>671</v>
      </c>
      <c r="L17" s="53">
        <v>451</v>
      </c>
      <c r="M17" s="53">
        <v>639</v>
      </c>
      <c r="N17" s="55">
        <v>534</v>
      </c>
      <c r="O17" s="53">
        <f t="shared" si="0"/>
        <v>11697</v>
      </c>
    </row>
    <row r="18" spans="2:15" ht="15" x14ac:dyDescent="0.25">
      <c r="B18" s="117" t="s">
        <v>42</v>
      </c>
      <c r="C18" s="53">
        <v>540</v>
      </c>
      <c r="D18" s="53">
        <v>594</v>
      </c>
      <c r="E18" s="53">
        <v>1242</v>
      </c>
      <c r="F18" s="53">
        <v>900</v>
      </c>
      <c r="G18" s="53">
        <v>882</v>
      </c>
      <c r="H18" s="49">
        <v>810</v>
      </c>
      <c r="I18" s="106">
        <v>918</v>
      </c>
      <c r="J18" s="53">
        <v>1620</v>
      </c>
      <c r="K18" s="53">
        <v>756</v>
      </c>
      <c r="L18" s="53">
        <v>756</v>
      </c>
      <c r="M18" s="53">
        <v>1134</v>
      </c>
      <c r="N18" s="55">
        <v>1188</v>
      </c>
      <c r="O18" s="53">
        <f t="shared" si="0"/>
        <v>11340</v>
      </c>
    </row>
    <row r="19" spans="2:15" s="66" customFormat="1" ht="15" x14ac:dyDescent="0.25">
      <c r="B19" s="117" t="s">
        <v>95</v>
      </c>
      <c r="C19" s="49">
        <f>222*1.9</f>
        <v>421.79999999999995</v>
      </c>
      <c r="D19" s="49">
        <f>210*1.9</f>
        <v>399</v>
      </c>
      <c r="E19" s="49">
        <f>720*1.9</f>
        <v>1368</v>
      </c>
      <c r="F19" s="49">
        <v>779</v>
      </c>
      <c r="G19" s="49">
        <v>1007</v>
      </c>
      <c r="H19" s="49">
        <v>1140</v>
      </c>
      <c r="I19" s="52">
        <v>608</v>
      </c>
      <c r="J19" s="49">
        <f>380*1.9</f>
        <v>722</v>
      </c>
      <c r="K19" s="49">
        <f>600*1.9</f>
        <v>1140</v>
      </c>
      <c r="L19" s="49">
        <f>250*1.9</f>
        <v>475</v>
      </c>
      <c r="M19" s="49">
        <f>370*1.9</f>
        <v>703</v>
      </c>
      <c r="N19" s="51">
        <f>800*1.9</f>
        <v>1520</v>
      </c>
      <c r="O19" s="49">
        <f t="shared" si="0"/>
        <v>10282.799999999999</v>
      </c>
    </row>
    <row r="20" spans="2:15" ht="15" x14ac:dyDescent="0.25">
      <c r="B20" s="117" t="s">
        <v>24</v>
      </c>
      <c r="C20" s="53">
        <v>578</v>
      </c>
      <c r="D20" s="53">
        <v>700</v>
      </c>
      <c r="E20" s="53">
        <v>1001</v>
      </c>
      <c r="F20" s="53">
        <v>824</v>
      </c>
      <c r="G20" s="53">
        <v>897</v>
      </c>
      <c r="H20" s="49">
        <v>836</v>
      </c>
      <c r="I20" s="106">
        <v>860</v>
      </c>
      <c r="J20" s="53">
        <v>957</v>
      </c>
      <c r="K20" s="53">
        <v>883</v>
      </c>
      <c r="L20" s="53">
        <v>719</v>
      </c>
      <c r="M20" s="53">
        <v>680</v>
      </c>
      <c r="N20" s="55">
        <v>594</v>
      </c>
      <c r="O20" s="53">
        <f t="shared" si="0"/>
        <v>9529</v>
      </c>
    </row>
    <row r="21" spans="2:15" ht="15" x14ac:dyDescent="0.25">
      <c r="B21" s="117" t="s">
        <v>55</v>
      </c>
      <c r="C21" s="53">
        <v>432</v>
      </c>
      <c r="D21" s="53">
        <v>162</v>
      </c>
      <c r="E21" s="53">
        <v>417</v>
      </c>
      <c r="F21" s="53">
        <v>204</v>
      </c>
      <c r="G21" s="53">
        <v>648</v>
      </c>
      <c r="H21" s="49">
        <v>810</v>
      </c>
      <c r="I21" s="106">
        <v>822</v>
      </c>
      <c r="J21" s="53">
        <v>1566</v>
      </c>
      <c r="K21" s="53">
        <v>1188</v>
      </c>
      <c r="L21" s="49">
        <v>540</v>
      </c>
      <c r="M21" s="49">
        <v>1080</v>
      </c>
      <c r="N21" s="51">
        <v>1404</v>
      </c>
      <c r="O21" s="53">
        <f t="shared" si="0"/>
        <v>9273</v>
      </c>
    </row>
    <row r="22" spans="2:15" ht="15" x14ac:dyDescent="0.25">
      <c r="B22" s="117" t="s">
        <v>21</v>
      </c>
      <c r="C22" s="53">
        <v>19</v>
      </c>
      <c r="D22" s="53">
        <v>123</v>
      </c>
      <c r="E22" s="53">
        <v>0</v>
      </c>
      <c r="F22" s="53">
        <v>0</v>
      </c>
      <c r="G22" s="53">
        <v>583</v>
      </c>
      <c r="H22" s="49">
        <v>1301</v>
      </c>
      <c r="I22" s="106">
        <v>1004</v>
      </c>
      <c r="J22" s="53">
        <v>1193</v>
      </c>
      <c r="K22" s="53">
        <v>892</v>
      </c>
      <c r="L22" s="49">
        <v>913</v>
      </c>
      <c r="M22" s="49">
        <v>958</v>
      </c>
      <c r="N22" s="51">
        <v>897</v>
      </c>
      <c r="O22" s="53">
        <f t="shared" si="0"/>
        <v>7883</v>
      </c>
    </row>
    <row r="23" spans="2:15" ht="15" x14ac:dyDescent="0.25">
      <c r="B23" s="117" t="s">
        <v>45</v>
      </c>
      <c r="C23" s="53">
        <v>378</v>
      </c>
      <c r="D23" s="53">
        <v>108</v>
      </c>
      <c r="E23" s="53">
        <v>668</v>
      </c>
      <c r="F23" s="53">
        <v>378</v>
      </c>
      <c r="G23" s="53">
        <v>324</v>
      </c>
      <c r="H23" s="49">
        <v>618</v>
      </c>
      <c r="I23" s="106">
        <v>618</v>
      </c>
      <c r="J23" s="53">
        <v>360</v>
      </c>
      <c r="K23" s="53">
        <v>888</v>
      </c>
      <c r="L23" s="49">
        <v>294</v>
      </c>
      <c r="M23" s="49">
        <v>486</v>
      </c>
      <c r="N23" s="51">
        <v>540</v>
      </c>
      <c r="O23" s="53">
        <f t="shared" si="0"/>
        <v>5660</v>
      </c>
    </row>
    <row r="24" spans="2:15" ht="15" x14ac:dyDescent="0.25">
      <c r="B24" s="117" t="s">
        <v>35</v>
      </c>
      <c r="C24" s="53">
        <v>366</v>
      </c>
      <c r="D24" s="53">
        <v>270</v>
      </c>
      <c r="E24" s="53">
        <v>540</v>
      </c>
      <c r="F24" s="53">
        <v>216</v>
      </c>
      <c r="G24" s="53">
        <v>270</v>
      </c>
      <c r="H24" s="49">
        <v>432</v>
      </c>
      <c r="I24" s="106">
        <v>378</v>
      </c>
      <c r="J24" s="53">
        <v>324</v>
      </c>
      <c r="K24" s="53">
        <v>594</v>
      </c>
      <c r="L24" s="49">
        <v>486</v>
      </c>
      <c r="M24" s="49">
        <v>486</v>
      </c>
      <c r="N24" s="51">
        <v>1074</v>
      </c>
      <c r="O24" s="53">
        <f t="shared" si="0"/>
        <v>5436</v>
      </c>
    </row>
    <row r="25" spans="2:15" ht="15" x14ac:dyDescent="0.25">
      <c r="B25" s="117" t="s">
        <v>54</v>
      </c>
      <c r="C25" s="53">
        <v>216</v>
      </c>
      <c r="D25" s="53">
        <v>702</v>
      </c>
      <c r="E25" s="53">
        <v>540</v>
      </c>
      <c r="F25" s="53">
        <v>486</v>
      </c>
      <c r="G25" s="53">
        <v>594</v>
      </c>
      <c r="H25" s="49">
        <v>324</v>
      </c>
      <c r="I25" s="106">
        <v>216</v>
      </c>
      <c r="J25" s="53">
        <v>540</v>
      </c>
      <c r="K25" s="53">
        <v>432</v>
      </c>
      <c r="L25" s="53">
        <v>378</v>
      </c>
      <c r="M25" s="53">
        <v>432</v>
      </c>
      <c r="N25" s="55">
        <v>486</v>
      </c>
      <c r="O25" s="53">
        <f t="shared" si="0"/>
        <v>5346</v>
      </c>
    </row>
    <row r="26" spans="2:15" ht="15" x14ac:dyDescent="0.25">
      <c r="B26" s="117" t="s">
        <v>36</v>
      </c>
      <c r="C26" s="53">
        <v>324</v>
      </c>
      <c r="D26" s="53">
        <v>162</v>
      </c>
      <c r="E26" s="53">
        <v>648</v>
      </c>
      <c r="F26" s="53">
        <v>540</v>
      </c>
      <c r="G26" s="53">
        <v>490</v>
      </c>
      <c r="H26" s="49">
        <v>434</v>
      </c>
      <c r="I26" s="106">
        <v>432</v>
      </c>
      <c r="J26" s="53">
        <v>486</v>
      </c>
      <c r="K26" s="53">
        <v>432</v>
      </c>
      <c r="L26" s="53">
        <v>348</v>
      </c>
      <c r="M26" s="53">
        <v>270</v>
      </c>
      <c r="N26" s="55">
        <v>486</v>
      </c>
      <c r="O26" s="53">
        <f t="shared" si="0"/>
        <v>5052</v>
      </c>
    </row>
    <row r="27" spans="2:15" ht="15" x14ac:dyDescent="0.25">
      <c r="B27" s="117" t="s">
        <v>23</v>
      </c>
      <c r="C27" s="53">
        <v>217</v>
      </c>
      <c r="D27" s="53">
        <v>410</v>
      </c>
      <c r="E27" s="53">
        <v>491</v>
      </c>
      <c r="F27" s="53">
        <v>463</v>
      </c>
      <c r="G27" s="53">
        <v>548</v>
      </c>
      <c r="H27" s="49">
        <v>438</v>
      </c>
      <c r="I27" s="106">
        <v>299</v>
      </c>
      <c r="J27" s="53">
        <v>401</v>
      </c>
      <c r="K27" s="53">
        <v>551</v>
      </c>
      <c r="L27" s="53">
        <v>388</v>
      </c>
      <c r="M27" s="53">
        <v>347</v>
      </c>
      <c r="N27" s="55">
        <v>437</v>
      </c>
      <c r="O27" s="53">
        <f t="shared" si="0"/>
        <v>4990</v>
      </c>
    </row>
    <row r="28" spans="2:15" ht="15" x14ac:dyDescent="0.25">
      <c r="B28" s="117" t="s">
        <v>25</v>
      </c>
      <c r="C28" s="53">
        <v>873</v>
      </c>
      <c r="D28" s="53">
        <v>455</v>
      </c>
      <c r="E28" s="53">
        <v>128</v>
      </c>
      <c r="F28" s="53">
        <v>30</v>
      </c>
      <c r="G28" s="53">
        <v>218</v>
      </c>
      <c r="H28" s="49">
        <v>545</v>
      </c>
      <c r="I28" s="106">
        <v>418</v>
      </c>
      <c r="J28" s="53">
        <v>449</v>
      </c>
      <c r="K28" s="49">
        <v>424</v>
      </c>
      <c r="L28" s="49">
        <v>484</v>
      </c>
      <c r="M28" s="49">
        <v>308</v>
      </c>
      <c r="N28" s="51">
        <v>493</v>
      </c>
      <c r="O28" s="53">
        <f t="shared" si="0"/>
        <v>4825</v>
      </c>
    </row>
    <row r="29" spans="2:15" ht="15" x14ac:dyDescent="0.25">
      <c r="B29" s="117" t="s">
        <v>34</v>
      </c>
      <c r="C29" s="53">
        <v>270</v>
      </c>
      <c r="D29" s="53">
        <v>270</v>
      </c>
      <c r="E29" s="53">
        <v>540</v>
      </c>
      <c r="F29" s="53">
        <v>216</v>
      </c>
      <c r="G29" s="53">
        <v>162</v>
      </c>
      <c r="H29" s="49">
        <v>270</v>
      </c>
      <c r="I29" s="106">
        <v>324</v>
      </c>
      <c r="J29" s="53">
        <v>432</v>
      </c>
      <c r="K29" s="53">
        <v>270</v>
      </c>
      <c r="L29" s="53">
        <v>324</v>
      </c>
      <c r="M29" s="53">
        <v>378</v>
      </c>
      <c r="N29" s="55">
        <v>432</v>
      </c>
      <c r="O29" s="53">
        <f t="shared" si="0"/>
        <v>3888</v>
      </c>
    </row>
    <row r="30" spans="2:15" ht="15" x14ac:dyDescent="0.25">
      <c r="B30" s="117" t="s">
        <v>30</v>
      </c>
      <c r="C30" s="53">
        <v>159</v>
      </c>
      <c r="D30" s="53">
        <v>244</v>
      </c>
      <c r="E30" s="53">
        <v>516</v>
      </c>
      <c r="F30" s="53">
        <v>340</v>
      </c>
      <c r="G30" s="53">
        <v>401</v>
      </c>
      <c r="H30" s="49">
        <v>292</v>
      </c>
      <c r="I30" s="106">
        <v>492</v>
      </c>
      <c r="J30" s="53">
        <v>223</v>
      </c>
      <c r="K30" s="53">
        <v>207</v>
      </c>
      <c r="L30" s="49">
        <v>279</v>
      </c>
      <c r="M30" s="49">
        <v>163</v>
      </c>
      <c r="N30" s="51">
        <v>357</v>
      </c>
      <c r="O30" s="53">
        <f t="shared" si="0"/>
        <v>3673</v>
      </c>
    </row>
    <row r="31" spans="2:15" ht="15" x14ac:dyDescent="0.25">
      <c r="B31" s="117" t="s">
        <v>44</v>
      </c>
      <c r="C31" s="53">
        <v>216</v>
      </c>
      <c r="D31" s="53">
        <v>162</v>
      </c>
      <c r="E31" s="53">
        <v>432</v>
      </c>
      <c r="F31" s="53">
        <v>216</v>
      </c>
      <c r="G31" s="53">
        <v>162</v>
      </c>
      <c r="H31" s="49">
        <v>216</v>
      </c>
      <c r="I31" s="106">
        <v>108</v>
      </c>
      <c r="J31" s="53">
        <v>162</v>
      </c>
      <c r="K31" s="53">
        <v>324</v>
      </c>
      <c r="L31" s="49">
        <v>216</v>
      </c>
      <c r="M31" s="49">
        <v>270</v>
      </c>
      <c r="N31" s="51">
        <v>324</v>
      </c>
      <c r="O31" s="53">
        <f t="shared" si="0"/>
        <v>2808</v>
      </c>
    </row>
    <row r="32" spans="2:15" s="66" customFormat="1" ht="15" x14ac:dyDescent="0.25">
      <c r="B32" s="117" t="s">
        <v>58</v>
      </c>
      <c r="C32" s="53">
        <v>108</v>
      </c>
      <c r="D32" s="53">
        <v>162</v>
      </c>
      <c r="E32" s="53">
        <v>324</v>
      </c>
      <c r="F32" s="53">
        <v>162</v>
      </c>
      <c r="G32" s="53">
        <v>162</v>
      </c>
      <c r="H32" s="49">
        <v>162</v>
      </c>
      <c r="I32" s="106">
        <v>216</v>
      </c>
      <c r="J32" s="53">
        <v>432</v>
      </c>
      <c r="K32" s="53">
        <v>162</v>
      </c>
      <c r="L32" s="53">
        <v>174</v>
      </c>
      <c r="M32" s="53">
        <v>270</v>
      </c>
      <c r="N32" s="55">
        <v>294</v>
      </c>
      <c r="O32" s="53">
        <f t="shared" si="0"/>
        <v>2628</v>
      </c>
    </row>
    <row r="33" spans="2:23" s="66" customFormat="1" ht="15" x14ac:dyDescent="0.25">
      <c r="B33" s="117" t="s">
        <v>32</v>
      </c>
      <c r="C33" s="53">
        <v>124</v>
      </c>
      <c r="D33" s="53">
        <v>39</v>
      </c>
      <c r="E33" s="53">
        <v>149</v>
      </c>
      <c r="F33" s="53">
        <v>72</v>
      </c>
      <c r="G33" s="53">
        <v>134</v>
      </c>
      <c r="H33" s="49">
        <v>398</v>
      </c>
      <c r="I33" s="106">
        <v>318</v>
      </c>
      <c r="J33" s="53">
        <v>610</v>
      </c>
      <c r="K33" s="53">
        <v>203</v>
      </c>
      <c r="L33" s="53">
        <v>126</v>
      </c>
      <c r="M33" s="53">
        <v>184</v>
      </c>
      <c r="N33" s="55">
        <v>151</v>
      </c>
      <c r="O33" s="53">
        <f t="shared" si="0"/>
        <v>2508</v>
      </c>
    </row>
    <row r="34" spans="2:23" ht="15" x14ac:dyDescent="0.25">
      <c r="B34" s="117" t="s">
        <v>43</v>
      </c>
      <c r="C34" s="53">
        <v>432</v>
      </c>
      <c r="D34" s="53">
        <v>162</v>
      </c>
      <c r="E34" s="53">
        <v>312</v>
      </c>
      <c r="F34" s="53">
        <v>0</v>
      </c>
      <c r="G34" s="53">
        <v>54</v>
      </c>
      <c r="H34" s="49">
        <v>216</v>
      </c>
      <c r="I34" s="106">
        <v>162</v>
      </c>
      <c r="J34" s="53">
        <v>216</v>
      </c>
      <c r="K34" s="49">
        <v>162</v>
      </c>
      <c r="L34" s="49">
        <v>270</v>
      </c>
      <c r="M34" s="49">
        <v>216</v>
      </c>
      <c r="N34" s="51">
        <v>162</v>
      </c>
      <c r="O34" s="53">
        <f t="shared" si="0"/>
        <v>2364</v>
      </c>
    </row>
    <row r="35" spans="2:23" ht="15" x14ac:dyDescent="0.25">
      <c r="B35" s="117" t="s">
        <v>40</v>
      </c>
      <c r="C35" s="53">
        <v>54</v>
      </c>
      <c r="D35" s="53">
        <v>162</v>
      </c>
      <c r="E35" s="53">
        <v>273</v>
      </c>
      <c r="F35" s="53">
        <v>162</v>
      </c>
      <c r="G35" s="53">
        <v>162</v>
      </c>
      <c r="H35" s="49">
        <v>108</v>
      </c>
      <c r="I35" s="106">
        <v>162</v>
      </c>
      <c r="J35" s="53">
        <v>272</v>
      </c>
      <c r="K35" s="49">
        <v>270</v>
      </c>
      <c r="L35" s="49">
        <v>108</v>
      </c>
      <c r="M35" s="49">
        <v>270</v>
      </c>
      <c r="N35" s="51">
        <v>162</v>
      </c>
      <c r="O35" s="53">
        <f t="shared" si="0"/>
        <v>2165</v>
      </c>
    </row>
    <row r="36" spans="2:23" ht="15" x14ac:dyDescent="0.25">
      <c r="B36" s="117" t="s">
        <v>69</v>
      </c>
      <c r="C36" s="53">
        <v>0</v>
      </c>
      <c r="D36" s="53">
        <v>1</v>
      </c>
      <c r="E36" s="53">
        <v>0</v>
      </c>
      <c r="F36" s="53">
        <v>0</v>
      </c>
      <c r="G36" s="53">
        <v>0</v>
      </c>
      <c r="H36" s="49">
        <v>1440</v>
      </c>
      <c r="I36" s="106">
        <v>560</v>
      </c>
      <c r="J36" s="53">
        <v>0</v>
      </c>
      <c r="K36" s="53">
        <v>0</v>
      </c>
      <c r="L36" s="53">
        <v>0</v>
      </c>
      <c r="M36" s="53">
        <v>0</v>
      </c>
      <c r="N36" s="55">
        <v>120</v>
      </c>
      <c r="O36" s="53">
        <f t="shared" si="0"/>
        <v>2121</v>
      </c>
    </row>
    <row r="37" spans="2:23" ht="15" x14ac:dyDescent="0.25">
      <c r="B37" s="117" t="s">
        <v>33</v>
      </c>
      <c r="C37" s="53">
        <v>0</v>
      </c>
      <c r="D37" s="53">
        <v>300</v>
      </c>
      <c r="E37" s="53">
        <v>100</v>
      </c>
      <c r="F37" s="53">
        <v>100</v>
      </c>
      <c r="G37" s="53">
        <v>387</v>
      </c>
      <c r="H37" s="49">
        <v>160</v>
      </c>
      <c r="I37" s="106">
        <v>220</v>
      </c>
      <c r="J37" s="53">
        <v>320</v>
      </c>
      <c r="K37" s="53">
        <v>40</v>
      </c>
      <c r="L37" s="49">
        <v>160</v>
      </c>
      <c r="M37" s="49">
        <v>240</v>
      </c>
      <c r="N37" s="51">
        <v>80</v>
      </c>
      <c r="O37" s="53">
        <f t="shared" si="0"/>
        <v>2107</v>
      </c>
      <c r="T37" s="118"/>
      <c r="U37" s="118"/>
      <c r="V37" s="118"/>
      <c r="W37" s="118"/>
    </row>
    <row r="38" spans="2:23" ht="15" x14ac:dyDescent="0.25">
      <c r="B38" s="117" t="s">
        <v>61</v>
      </c>
      <c r="C38" s="53">
        <v>54</v>
      </c>
      <c r="D38" s="53">
        <v>108</v>
      </c>
      <c r="E38" s="53">
        <v>216</v>
      </c>
      <c r="F38" s="53">
        <v>108</v>
      </c>
      <c r="G38" s="53">
        <v>108</v>
      </c>
      <c r="H38" s="49">
        <v>162</v>
      </c>
      <c r="I38" s="106">
        <v>108</v>
      </c>
      <c r="J38" s="53">
        <v>162</v>
      </c>
      <c r="K38" s="53">
        <v>216</v>
      </c>
      <c r="L38" s="49">
        <v>108</v>
      </c>
      <c r="M38" s="49">
        <v>270</v>
      </c>
      <c r="N38" s="51">
        <v>216</v>
      </c>
      <c r="O38" s="53">
        <f t="shared" si="0"/>
        <v>1836</v>
      </c>
      <c r="T38" s="56"/>
      <c r="U38" s="56"/>
      <c r="V38" s="56"/>
      <c r="W38" s="56"/>
    </row>
    <row r="39" spans="2:23" ht="15" x14ac:dyDescent="0.25">
      <c r="B39" s="117" t="s">
        <v>31</v>
      </c>
      <c r="C39" s="53">
        <v>71</v>
      </c>
      <c r="D39" s="53">
        <v>171</v>
      </c>
      <c r="E39" s="53">
        <v>161</v>
      </c>
      <c r="F39" s="53">
        <v>114</v>
      </c>
      <c r="G39" s="53">
        <v>0</v>
      </c>
      <c r="H39" s="49">
        <v>1</v>
      </c>
      <c r="I39" s="106">
        <v>0</v>
      </c>
      <c r="J39" s="53">
        <v>10</v>
      </c>
      <c r="K39" s="53">
        <v>0</v>
      </c>
      <c r="L39" s="49">
        <v>1</v>
      </c>
      <c r="M39" s="49">
        <v>0</v>
      </c>
      <c r="N39" s="51">
        <v>0</v>
      </c>
      <c r="O39" s="53">
        <f t="shared" si="0"/>
        <v>529</v>
      </c>
    </row>
    <row r="40" spans="2:23" ht="15" x14ac:dyDescent="0.25">
      <c r="B40" s="117" t="s">
        <v>66</v>
      </c>
      <c r="C40" s="53">
        <v>80</v>
      </c>
      <c r="D40" s="53">
        <v>0</v>
      </c>
      <c r="E40" s="53">
        <v>50</v>
      </c>
      <c r="F40" s="53">
        <v>0</v>
      </c>
      <c r="G40" s="53">
        <v>30</v>
      </c>
      <c r="H40" s="49">
        <v>0</v>
      </c>
      <c r="I40" s="106">
        <v>50</v>
      </c>
      <c r="J40" s="53">
        <v>0</v>
      </c>
      <c r="K40" s="53">
        <v>50</v>
      </c>
      <c r="L40" s="53">
        <v>30</v>
      </c>
      <c r="M40" s="53">
        <v>30</v>
      </c>
      <c r="N40" s="55">
        <v>60</v>
      </c>
      <c r="O40" s="53">
        <f t="shared" si="0"/>
        <v>380</v>
      </c>
    </row>
    <row r="41" spans="2:23" ht="15" x14ac:dyDescent="0.25">
      <c r="B41" s="117" t="s">
        <v>62</v>
      </c>
      <c r="C41" s="53">
        <v>24</v>
      </c>
      <c r="D41" s="53">
        <v>0</v>
      </c>
      <c r="E41" s="53">
        <v>48</v>
      </c>
      <c r="F41" s="53">
        <v>24</v>
      </c>
      <c r="G41" s="53">
        <v>24</v>
      </c>
      <c r="H41" s="49">
        <v>24</v>
      </c>
      <c r="I41" s="106">
        <v>24</v>
      </c>
      <c r="J41" s="53">
        <v>48</v>
      </c>
      <c r="K41" s="53">
        <v>48</v>
      </c>
      <c r="L41" s="53">
        <v>30</v>
      </c>
      <c r="M41" s="53">
        <v>20</v>
      </c>
      <c r="N41" s="55">
        <v>24</v>
      </c>
      <c r="O41" s="53">
        <f t="shared" si="0"/>
        <v>338</v>
      </c>
    </row>
    <row r="42" spans="2:23" ht="15.75" thickBot="1" x14ac:dyDescent="0.3">
      <c r="B42" s="119" t="s">
        <v>57</v>
      </c>
      <c r="C42" s="108">
        <v>78</v>
      </c>
      <c r="D42" s="108">
        <v>36</v>
      </c>
      <c r="E42" s="108">
        <v>108</v>
      </c>
      <c r="F42" s="108">
        <v>0</v>
      </c>
      <c r="G42" s="108">
        <v>0</v>
      </c>
      <c r="H42" s="109">
        <v>0</v>
      </c>
      <c r="I42" s="110">
        <v>0</v>
      </c>
      <c r="J42" s="108">
        <v>0</v>
      </c>
      <c r="K42" s="108">
        <v>0</v>
      </c>
      <c r="L42" s="109">
        <v>0</v>
      </c>
      <c r="M42" s="109">
        <v>0</v>
      </c>
      <c r="N42" s="111">
        <v>0</v>
      </c>
      <c r="O42" s="108">
        <f t="shared" si="0"/>
        <v>222</v>
      </c>
    </row>
    <row r="43" spans="2:23" ht="15.75" thickBot="1" x14ac:dyDescent="0.3">
      <c r="B43" s="119"/>
      <c r="C43" s="108"/>
      <c r="D43" s="108"/>
      <c r="E43" s="108"/>
      <c r="F43" s="108"/>
      <c r="G43" s="108"/>
      <c r="H43" s="112"/>
      <c r="I43" s="110"/>
      <c r="J43" s="110"/>
      <c r="K43" s="110"/>
      <c r="L43" s="110"/>
      <c r="M43" s="113"/>
      <c r="N43" s="113"/>
      <c r="O43" s="110"/>
    </row>
    <row r="44" spans="2:23" ht="15.75" thickBot="1" x14ac:dyDescent="0.3">
      <c r="B44" s="120" t="s">
        <v>81</v>
      </c>
      <c r="C44" s="121">
        <f t="shared" ref="C44:O44" si="1">SUM(C6:C42)</f>
        <v>42410.133333333339</v>
      </c>
      <c r="D44" s="121">
        <f t="shared" si="1"/>
        <v>37796</v>
      </c>
      <c r="E44" s="121">
        <f t="shared" si="1"/>
        <v>56466</v>
      </c>
      <c r="F44" s="121">
        <f t="shared" si="1"/>
        <v>43914</v>
      </c>
      <c r="G44" s="121">
        <f t="shared" si="1"/>
        <v>52771</v>
      </c>
      <c r="H44" s="122">
        <f t="shared" si="1"/>
        <v>59544</v>
      </c>
      <c r="I44" s="123">
        <f t="shared" si="1"/>
        <v>65957</v>
      </c>
      <c r="J44" s="123">
        <f t="shared" si="1"/>
        <v>64977.9</v>
      </c>
      <c r="K44" s="123">
        <f t="shared" si="1"/>
        <v>50431.9</v>
      </c>
      <c r="L44" s="123">
        <f t="shared" si="1"/>
        <v>42501.1</v>
      </c>
      <c r="M44" s="123">
        <f t="shared" si="1"/>
        <v>42884</v>
      </c>
      <c r="N44" s="123">
        <f>SUM(N6:N42)</f>
        <v>55018</v>
      </c>
      <c r="O44" s="123">
        <f t="shared" si="1"/>
        <v>614671.03333333333</v>
      </c>
    </row>
    <row r="46" spans="2:23" ht="12.75" customHeight="1" x14ac:dyDescent="0.25">
      <c r="E46" s="118"/>
      <c r="F46" s="118"/>
      <c r="G46" s="118"/>
      <c r="H46" s="102"/>
      <c r="I46" s="118"/>
      <c r="J46" s="118"/>
      <c r="K46" s="118"/>
      <c r="L46" s="118"/>
      <c r="M46" s="118"/>
      <c r="N46" s="118"/>
      <c r="P46" s="118"/>
    </row>
    <row r="47" spans="2:23" ht="15.75" thickBot="1" x14ac:dyDescent="0.3"/>
    <row r="48" spans="2:23" ht="15.75" thickBot="1" x14ac:dyDescent="0.3">
      <c r="B48" s="114" t="s">
        <v>80</v>
      </c>
      <c r="C48" s="60" t="s">
        <v>4</v>
      </c>
      <c r="D48" s="60" t="s">
        <v>5</v>
      </c>
      <c r="E48" s="86" t="s">
        <v>6</v>
      </c>
      <c r="F48" s="86" t="s">
        <v>7</v>
      </c>
      <c r="G48" s="86" t="s">
        <v>8</v>
      </c>
      <c r="H48" s="86" t="s">
        <v>9</v>
      </c>
      <c r="I48" s="86" t="s">
        <v>10</v>
      </c>
      <c r="J48" s="86" t="s">
        <v>11</v>
      </c>
      <c r="K48" s="86" t="s">
        <v>12</v>
      </c>
      <c r="L48" s="86" t="s">
        <v>13</v>
      </c>
      <c r="M48" s="86" t="s">
        <v>14</v>
      </c>
      <c r="N48" s="86" t="s">
        <v>15</v>
      </c>
      <c r="O48" s="86" t="s">
        <v>79</v>
      </c>
    </row>
    <row r="49" spans="2:15" ht="15.75" thickBot="1" x14ac:dyDescent="0.3">
      <c r="B49" s="124" t="s">
        <v>78</v>
      </c>
      <c r="C49" s="69">
        <v>4440</v>
      </c>
      <c r="D49" s="69">
        <v>4200</v>
      </c>
      <c r="E49" s="125">
        <v>14400</v>
      </c>
      <c r="F49" s="125">
        <v>8200</v>
      </c>
      <c r="G49" s="125">
        <v>10600</v>
      </c>
      <c r="H49" s="125">
        <v>12000</v>
      </c>
      <c r="I49" s="125">
        <v>6400</v>
      </c>
      <c r="J49" s="125">
        <v>7600</v>
      </c>
      <c r="K49" s="125">
        <v>12000</v>
      </c>
      <c r="L49" s="125">
        <v>5000</v>
      </c>
      <c r="M49" s="125">
        <v>7400</v>
      </c>
      <c r="N49" s="125">
        <v>12000</v>
      </c>
      <c r="O49" s="126">
        <f>SUM(C49:N49)</f>
        <v>104240</v>
      </c>
    </row>
    <row r="50" spans="2:15" ht="15.75" thickBot="1" x14ac:dyDescent="0.3">
      <c r="B50" s="94" t="s">
        <v>77</v>
      </c>
      <c r="C50" s="96">
        <v>1600</v>
      </c>
      <c r="D50" s="96">
        <v>6960</v>
      </c>
      <c r="E50" s="97">
        <v>3600</v>
      </c>
      <c r="F50" s="125">
        <v>5628</v>
      </c>
      <c r="G50" s="125">
        <v>6744</v>
      </c>
      <c r="H50" s="125">
        <v>11148</v>
      </c>
      <c r="I50" s="125">
        <v>6228</v>
      </c>
      <c r="J50" s="125">
        <v>11532</v>
      </c>
      <c r="K50" s="125">
        <v>17892</v>
      </c>
      <c r="L50" s="125">
        <v>3828</v>
      </c>
      <c r="M50" s="125">
        <v>4320</v>
      </c>
      <c r="N50" s="125">
        <v>6600</v>
      </c>
      <c r="O50" s="126">
        <f>SUM(C50:N50)</f>
        <v>86080</v>
      </c>
    </row>
    <row r="51" spans="2:15" ht="12.75" customHeight="1" x14ac:dyDescent="0.25">
      <c r="C51" s="118"/>
    </row>
    <row r="1048571" spans="15:15" ht="12.75" customHeight="1" x14ac:dyDescent="0.25">
      <c r="O1048571" s="127">
        <f>SUM(C1048571:N1048576)</f>
        <v>0</v>
      </c>
    </row>
  </sheetData>
  <mergeCells count="3">
    <mergeCell ref="B1:O1"/>
    <mergeCell ref="B2:O2"/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3"/>
  <sheetViews>
    <sheetView showGridLines="0" topLeftCell="C10" workbookViewId="0">
      <selection activeCell="C13" sqref="C13"/>
    </sheetView>
  </sheetViews>
  <sheetFormatPr baseColWidth="10" defaultRowHeight="15" x14ac:dyDescent="0.25"/>
  <cols>
    <col min="1" max="1" width="3" style="66" customWidth="1"/>
    <col min="2" max="2" width="38.5703125" style="66" bestFit="1" customWidth="1"/>
    <col min="3" max="14" width="11" style="66" customWidth="1"/>
    <col min="15" max="15" width="14.5703125" style="66" customWidth="1"/>
    <col min="16" max="16384" width="11.42578125" style="66"/>
  </cols>
  <sheetData>
    <row r="2" spans="2:15" x14ac:dyDescent="0.25">
      <c r="B2" s="149" t="s">
        <v>85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2:15" x14ac:dyDescent="0.25">
      <c r="B3" s="149" t="s">
        <v>1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</row>
    <row r="4" spans="2:15" x14ac:dyDescent="0.25">
      <c r="B4" s="150" t="s">
        <v>89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</row>
    <row r="5" spans="2:15" ht="15.75" thickBot="1" x14ac:dyDescent="0.3"/>
    <row r="6" spans="2:15" ht="15.75" thickBot="1" x14ac:dyDescent="0.3">
      <c r="B6" s="85" t="s">
        <v>80</v>
      </c>
      <c r="C6" s="60" t="s">
        <v>4</v>
      </c>
      <c r="D6" s="60" t="s">
        <v>5</v>
      </c>
      <c r="E6" s="60" t="s">
        <v>6</v>
      </c>
      <c r="F6" s="86" t="s">
        <v>7</v>
      </c>
      <c r="G6" s="86" t="s">
        <v>8</v>
      </c>
      <c r="H6" s="87" t="s">
        <v>9</v>
      </c>
      <c r="I6" s="60" t="s">
        <v>10</v>
      </c>
      <c r="J6" s="60" t="s">
        <v>11</v>
      </c>
      <c r="K6" s="88" t="s">
        <v>12</v>
      </c>
      <c r="L6" s="60" t="s">
        <v>13</v>
      </c>
      <c r="M6" s="60" t="s">
        <v>14</v>
      </c>
      <c r="N6" s="86" t="s">
        <v>15</v>
      </c>
      <c r="O6" s="60" t="s">
        <v>79</v>
      </c>
    </row>
    <row r="7" spans="2:15" x14ac:dyDescent="0.25">
      <c r="B7" s="89" t="s">
        <v>27</v>
      </c>
      <c r="C7" s="72">
        <v>10926</v>
      </c>
      <c r="D7" s="72">
        <v>12502</v>
      </c>
      <c r="E7" s="72">
        <v>9966</v>
      </c>
      <c r="F7" s="72">
        <v>12935</v>
      </c>
      <c r="G7" s="63">
        <v>5343</v>
      </c>
      <c r="H7" s="63">
        <v>6256</v>
      </c>
      <c r="I7" s="63">
        <v>5357</v>
      </c>
      <c r="J7" s="63">
        <v>8761</v>
      </c>
      <c r="K7" s="63">
        <v>11257</v>
      </c>
      <c r="L7" s="90">
        <v>8475</v>
      </c>
      <c r="M7" s="63">
        <v>9323</v>
      </c>
      <c r="N7" s="63">
        <v>12475</v>
      </c>
      <c r="O7" s="52">
        <f t="shared" ref="O7:O44" si="0">SUM(C7:N7)</f>
        <v>113576</v>
      </c>
    </row>
    <row r="8" spans="2:15" x14ac:dyDescent="0.25">
      <c r="B8" s="73" t="s">
        <v>88</v>
      </c>
      <c r="C8" s="49">
        <v>6829</v>
      </c>
      <c r="D8" s="49">
        <v>6931</v>
      </c>
      <c r="E8" s="49">
        <v>7980</v>
      </c>
      <c r="F8" s="49">
        <v>8073</v>
      </c>
      <c r="G8" s="67">
        <v>9437</v>
      </c>
      <c r="H8" s="67">
        <v>9577</v>
      </c>
      <c r="I8" s="67">
        <v>8295</v>
      </c>
      <c r="J8" s="67">
        <v>9856</v>
      </c>
      <c r="K8" s="67">
        <v>9737</v>
      </c>
      <c r="L8" s="68">
        <v>9234</v>
      </c>
      <c r="M8" s="67">
        <v>9358</v>
      </c>
      <c r="N8" s="67">
        <v>10985</v>
      </c>
      <c r="O8" s="52">
        <f t="shared" si="0"/>
        <v>106292</v>
      </c>
    </row>
    <row r="9" spans="2:15" x14ac:dyDescent="0.25">
      <c r="B9" s="62" t="s">
        <v>86</v>
      </c>
      <c r="C9" s="49">
        <f>1356+1440+295</f>
        <v>3091</v>
      </c>
      <c r="D9" s="49">
        <f>2302+1920+302</f>
        <v>4524</v>
      </c>
      <c r="E9" s="49">
        <v>5852</v>
      </c>
      <c r="F9" s="49">
        <f>5808+420</f>
        <v>6228</v>
      </c>
      <c r="G9" s="49">
        <v>6474</v>
      </c>
      <c r="H9" s="74">
        <v>5471</v>
      </c>
      <c r="I9" s="74">
        <v>4343</v>
      </c>
      <c r="J9" s="74">
        <v>6531</v>
      </c>
      <c r="K9" s="74">
        <v>5050</v>
      </c>
      <c r="L9" s="75">
        <v>5937</v>
      </c>
      <c r="M9" s="74">
        <v>4107</v>
      </c>
      <c r="N9" s="74">
        <v>7739</v>
      </c>
      <c r="O9" s="52">
        <f t="shared" si="0"/>
        <v>65347</v>
      </c>
    </row>
    <row r="10" spans="2:15" x14ac:dyDescent="0.25">
      <c r="B10" s="62" t="s">
        <v>28</v>
      </c>
      <c r="C10" s="49">
        <f>1067+252</f>
        <v>1319</v>
      </c>
      <c r="D10" s="49">
        <f>1439+253</f>
        <v>1692</v>
      </c>
      <c r="E10" s="49">
        <v>3047</v>
      </c>
      <c r="F10" s="49">
        <v>2713</v>
      </c>
      <c r="G10" s="67">
        <v>3618</v>
      </c>
      <c r="H10" s="67">
        <v>3425</v>
      </c>
      <c r="I10" s="67">
        <v>3348</v>
      </c>
      <c r="J10" s="67">
        <v>3893</v>
      </c>
      <c r="K10" s="67">
        <v>3500</v>
      </c>
      <c r="L10" s="68">
        <v>3063</v>
      </c>
      <c r="M10" s="67">
        <v>3215</v>
      </c>
      <c r="N10" s="67">
        <v>4066</v>
      </c>
      <c r="O10" s="52">
        <f t="shared" si="0"/>
        <v>36899</v>
      </c>
    </row>
    <row r="11" spans="2:15" x14ac:dyDescent="0.25">
      <c r="B11" s="62" t="s">
        <v>18</v>
      </c>
      <c r="C11" s="49">
        <f>788+1412</f>
        <v>2200</v>
      </c>
      <c r="D11" s="49">
        <f>849+1557</f>
        <v>2406</v>
      </c>
      <c r="E11" s="49">
        <v>2454</v>
      </c>
      <c r="F11" s="49">
        <v>2731</v>
      </c>
      <c r="G11" s="49">
        <v>3778</v>
      </c>
      <c r="H11" s="74">
        <v>3552</v>
      </c>
      <c r="I11" s="49">
        <v>2360</v>
      </c>
      <c r="J11" s="49">
        <v>3134</v>
      </c>
      <c r="K11" s="49">
        <v>2488</v>
      </c>
      <c r="L11" s="52">
        <v>2936</v>
      </c>
      <c r="M11" s="49">
        <v>3302</v>
      </c>
      <c r="N11" s="49">
        <v>3936</v>
      </c>
      <c r="O11" s="52">
        <f t="shared" si="0"/>
        <v>35277</v>
      </c>
    </row>
    <row r="12" spans="2:15" x14ac:dyDescent="0.25">
      <c r="B12" s="62" t="s">
        <v>22</v>
      </c>
      <c r="C12" s="49">
        <f>1466+388</f>
        <v>1854</v>
      </c>
      <c r="D12" s="49">
        <f>1127+486</f>
        <v>1613</v>
      </c>
      <c r="E12" s="49">
        <v>1498</v>
      </c>
      <c r="F12" s="49">
        <v>1622</v>
      </c>
      <c r="G12" s="49">
        <v>1948</v>
      </c>
      <c r="H12" s="74">
        <v>1455</v>
      </c>
      <c r="I12" s="49">
        <v>1311</v>
      </c>
      <c r="J12" s="49">
        <v>1833</v>
      </c>
      <c r="K12" s="49">
        <v>1851</v>
      </c>
      <c r="L12" s="52">
        <v>1476</v>
      </c>
      <c r="M12" s="49">
        <v>1524</v>
      </c>
      <c r="N12" s="49">
        <v>1900</v>
      </c>
      <c r="O12" s="52">
        <f t="shared" si="0"/>
        <v>19885</v>
      </c>
    </row>
    <row r="13" spans="2:15" x14ac:dyDescent="0.25">
      <c r="B13" s="62" t="s">
        <v>17</v>
      </c>
      <c r="C13" s="49">
        <v>1236</v>
      </c>
      <c r="D13" s="49">
        <v>1210</v>
      </c>
      <c r="E13" s="49">
        <v>1477</v>
      </c>
      <c r="F13" s="49">
        <v>1268</v>
      </c>
      <c r="G13" s="67">
        <v>1465</v>
      </c>
      <c r="H13" s="67">
        <v>1387</v>
      </c>
      <c r="I13" s="67">
        <v>1111</v>
      </c>
      <c r="J13" s="67">
        <v>1264</v>
      </c>
      <c r="K13" s="67">
        <v>1758</v>
      </c>
      <c r="L13" s="68">
        <v>1500</v>
      </c>
      <c r="M13" s="67">
        <v>1372</v>
      </c>
      <c r="N13" s="67">
        <v>1791</v>
      </c>
      <c r="O13" s="52">
        <f t="shared" si="0"/>
        <v>16839</v>
      </c>
    </row>
    <row r="14" spans="2:15" x14ac:dyDescent="0.25">
      <c r="B14" s="62" t="s">
        <v>19</v>
      </c>
      <c r="C14" s="49">
        <v>1053</v>
      </c>
      <c r="D14" s="49">
        <v>1186</v>
      </c>
      <c r="E14" s="49">
        <v>1481</v>
      </c>
      <c r="F14" s="49">
        <v>1249</v>
      </c>
      <c r="G14" s="67">
        <v>1473</v>
      </c>
      <c r="H14" s="67">
        <v>1425</v>
      </c>
      <c r="I14" s="67">
        <v>1166</v>
      </c>
      <c r="J14" s="67">
        <v>1054</v>
      </c>
      <c r="K14" s="67">
        <v>1452</v>
      </c>
      <c r="L14" s="68">
        <v>962</v>
      </c>
      <c r="M14" s="67">
        <v>1579</v>
      </c>
      <c r="N14" s="67">
        <v>1446</v>
      </c>
      <c r="O14" s="52">
        <f t="shared" si="0"/>
        <v>15526</v>
      </c>
    </row>
    <row r="15" spans="2:15" x14ac:dyDescent="0.25">
      <c r="B15" s="62" t="s">
        <v>26</v>
      </c>
      <c r="C15" s="49">
        <v>676</v>
      </c>
      <c r="D15" s="49">
        <v>963</v>
      </c>
      <c r="E15" s="49">
        <v>1485</v>
      </c>
      <c r="F15" s="49">
        <v>2519</v>
      </c>
      <c r="G15" s="67">
        <v>767</v>
      </c>
      <c r="H15" s="67">
        <v>687</v>
      </c>
      <c r="I15" s="67">
        <v>757</v>
      </c>
      <c r="J15" s="67">
        <v>927</v>
      </c>
      <c r="K15" s="67">
        <v>903</v>
      </c>
      <c r="L15" s="68">
        <v>1062</v>
      </c>
      <c r="M15" s="67">
        <v>796</v>
      </c>
      <c r="N15" s="67">
        <v>1281</v>
      </c>
      <c r="O15" s="52">
        <f t="shared" si="0"/>
        <v>12823</v>
      </c>
    </row>
    <row r="16" spans="2:15" x14ac:dyDescent="0.25">
      <c r="B16" s="62" t="s">
        <v>65</v>
      </c>
      <c r="C16" s="49">
        <v>696</v>
      </c>
      <c r="D16" s="49">
        <v>432</v>
      </c>
      <c r="E16" s="49">
        <v>742</v>
      </c>
      <c r="F16" s="49">
        <v>1686</v>
      </c>
      <c r="G16" s="67">
        <v>1309</v>
      </c>
      <c r="H16" s="67">
        <v>1195</v>
      </c>
      <c r="I16" s="67">
        <v>732</v>
      </c>
      <c r="J16" s="67">
        <v>1666</v>
      </c>
      <c r="K16" s="67">
        <v>923</v>
      </c>
      <c r="L16" s="68">
        <v>829</v>
      </c>
      <c r="M16" s="67">
        <v>854</v>
      </c>
      <c r="N16" s="67">
        <v>1410</v>
      </c>
      <c r="O16" s="52">
        <f t="shared" si="0"/>
        <v>12474</v>
      </c>
    </row>
    <row r="17" spans="2:17" x14ac:dyDescent="0.25">
      <c r="B17" s="62" t="s">
        <v>21</v>
      </c>
      <c r="C17" s="49">
        <v>749</v>
      </c>
      <c r="D17" s="49">
        <v>778</v>
      </c>
      <c r="E17" s="49">
        <v>630</v>
      </c>
      <c r="F17" s="49">
        <v>792</v>
      </c>
      <c r="G17" s="67">
        <v>120</v>
      </c>
      <c r="H17" s="67">
        <v>1345</v>
      </c>
      <c r="I17" s="67">
        <v>983</v>
      </c>
      <c r="J17" s="67">
        <v>1201</v>
      </c>
      <c r="K17" s="67">
        <v>1174</v>
      </c>
      <c r="L17" s="68">
        <v>1099</v>
      </c>
      <c r="M17" s="67">
        <v>1106</v>
      </c>
      <c r="N17" s="67">
        <v>1110</v>
      </c>
      <c r="O17" s="52">
        <f t="shared" si="0"/>
        <v>11087</v>
      </c>
    </row>
    <row r="18" spans="2:17" x14ac:dyDescent="0.25">
      <c r="B18" s="62" t="s">
        <v>94</v>
      </c>
      <c r="C18" s="49">
        <f>410*1.9</f>
        <v>779</v>
      </c>
      <c r="D18" s="49">
        <f>360*1.9</f>
        <v>684</v>
      </c>
      <c r="E18" s="49">
        <f>337*1.9</f>
        <v>640.29999999999995</v>
      </c>
      <c r="F18" s="49">
        <f>500*1.9</f>
        <v>950</v>
      </c>
      <c r="G18" s="49">
        <f>250*1.9</f>
        <v>475</v>
      </c>
      <c r="H18" s="74">
        <f>740*1.9</f>
        <v>1406</v>
      </c>
      <c r="I18" s="49">
        <f>482*1.9</f>
        <v>915.8</v>
      </c>
      <c r="J18" s="49">
        <f>403*1.9</f>
        <v>765.69999999999993</v>
      </c>
      <c r="K18" s="49">
        <f>430*1.9</f>
        <v>817</v>
      </c>
      <c r="L18" s="52">
        <v>513</v>
      </c>
      <c r="M18" s="49">
        <f>430*1.9</f>
        <v>817</v>
      </c>
      <c r="N18" s="49">
        <f>830*1.9</f>
        <v>1577</v>
      </c>
      <c r="O18" s="52">
        <f t="shared" si="0"/>
        <v>10339.799999999999</v>
      </c>
    </row>
    <row r="19" spans="2:17" x14ac:dyDescent="0.25">
      <c r="B19" s="62" t="s">
        <v>42</v>
      </c>
      <c r="C19" s="49">
        <v>486</v>
      </c>
      <c r="D19" s="49">
        <v>378</v>
      </c>
      <c r="E19" s="49">
        <v>726</v>
      </c>
      <c r="F19" s="49">
        <v>810</v>
      </c>
      <c r="G19" s="67">
        <v>1836</v>
      </c>
      <c r="H19" s="67">
        <v>756</v>
      </c>
      <c r="I19" s="67">
        <v>918</v>
      </c>
      <c r="J19" s="67">
        <v>936</v>
      </c>
      <c r="K19" s="67">
        <v>756</v>
      </c>
      <c r="L19" s="68">
        <v>378</v>
      </c>
      <c r="M19" s="67">
        <v>756</v>
      </c>
      <c r="N19" s="67">
        <v>1296</v>
      </c>
      <c r="O19" s="52">
        <f t="shared" si="0"/>
        <v>10032</v>
      </c>
    </row>
    <row r="20" spans="2:17" x14ac:dyDescent="0.25">
      <c r="B20" s="73" t="s">
        <v>25</v>
      </c>
      <c r="C20" s="49">
        <v>753</v>
      </c>
      <c r="D20" s="49">
        <v>802</v>
      </c>
      <c r="E20" s="49">
        <v>819</v>
      </c>
      <c r="F20" s="49">
        <v>860</v>
      </c>
      <c r="G20" s="67">
        <v>917</v>
      </c>
      <c r="H20" s="67">
        <v>843</v>
      </c>
      <c r="I20" s="67">
        <v>860</v>
      </c>
      <c r="J20" s="67">
        <v>810</v>
      </c>
      <c r="K20" s="67">
        <v>970</v>
      </c>
      <c r="L20" s="68">
        <v>594</v>
      </c>
      <c r="M20" s="67">
        <v>755</v>
      </c>
      <c r="N20" s="67">
        <v>871</v>
      </c>
      <c r="O20" s="52">
        <f t="shared" si="0"/>
        <v>9854</v>
      </c>
    </row>
    <row r="21" spans="2:17" x14ac:dyDescent="0.25">
      <c r="B21" s="62" t="s">
        <v>55</v>
      </c>
      <c r="C21" s="49">
        <v>1110</v>
      </c>
      <c r="D21" s="49">
        <v>324</v>
      </c>
      <c r="E21" s="49">
        <v>432</v>
      </c>
      <c r="F21" s="49">
        <v>594</v>
      </c>
      <c r="G21" s="67">
        <v>810</v>
      </c>
      <c r="H21" s="67">
        <v>918</v>
      </c>
      <c r="I21" s="67">
        <v>1026</v>
      </c>
      <c r="J21" s="67">
        <v>702</v>
      </c>
      <c r="K21" s="67">
        <v>864</v>
      </c>
      <c r="L21" s="68">
        <v>540</v>
      </c>
      <c r="M21" s="67">
        <v>1080</v>
      </c>
      <c r="N21" s="67">
        <v>918</v>
      </c>
      <c r="O21" s="52">
        <f t="shared" si="0"/>
        <v>9318</v>
      </c>
    </row>
    <row r="22" spans="2:17" x14ac:dyDescent="0.25">
      <c r="B22" s="62" t="s">
        <v>24</v>
      </c>
      <c r="C22" s="49">
        <v>811</v>
      </c>
      <c r="D22" s="49">
        <v>575</v>
      </c>
      <c r="E22" s="49">
        <v>534</v>
      </c>
      <c r="F22" s="49">
        <v>677</v>
      </c>
      <c r="G22" s="67">
        <v>693</v>
      </c>
      <c r="H22" s="67">
        <v>561</v>
      </c>
      <c r="I22" s="67">
        <v>673</v>
      </c>
      <c r="J22" s="67">
        <v>652</v>
      </c>
      <c r="K22" s="67">
        <v>830</v>
      </c>
      <c r="L22" s="68">
        <v>621</v>
      </c>
      <c r="M22" s="67">
        <v>513</v>
      </c>
      <c r="N22" s="67">
        <v>839</v>
      </c>
      <c r="O22" s="52">
        <f t="shared" si="0"/>
        <v>7979</v>
      </c>
    </row>
    <row r="23" spans="2:17" x14ac:dyDescent="0.25">
      <c r="B23" s="62" t="s">
        <v>95</v>
      </c>
      <c r="C23" s="49">
        <v>0</v>
      </c>
      <c r="D23" s="49">
        <v>0</v>
      </c>
      <c r="E23" s="49">
        <v>0</v>
      </c>
      <c r="F23" s="49">
        <f>530*1.9</f>
        <v>1007</v>
      </c>
      <c r="G23" s="49">
        <f>360*1.9</f>
        <v>684</v>
      </c>
      <c r="H23" s="74">
        <f>580*1.9</f>
        <v>1102</v>
      </c>
      <c r="I23" s="49">
        <f>310*1.9</f>
        <v>589</v>
      </c>
      <c r="J23" s="49">
        <f>240*1.9</f>
        <v>456</v>
      </c>
      <c r="K23" s="49">
        <f>150*1.9</f>
        <v>285</v>
      </c>
      <c r="L23" s="52">
        <v>665</v>
      </c>
      <c r="M23" s="49">
        <f>360*1.9</f>
        <v>684</v>
      </c>
      <c r="N23" s="49">
        <f>520*1.9</f>
        <v>988</v>
      </c>
      <c r="O23" s="52">
        <f t="shared" si="0"/>
        <v>6460</v>
      </c>
    </row>
    <row r="24" spans="2:17" x14ac:dyDescent="0.25">
      <c r="B24" s="62" t="s">
        <v>29</v>
      </c>
      <c r="C24" s="49">
        <v>375</v>
      </c>
      <c r="D24" s="49">
        <v>414</v>
      </c>
      <c r="E24" s="49">
        <v>474</v>
      </c>
      <c r="F24" s="49">
        <v>623</v>
      </c>
      <c r="G24" s="67">
        <v>483</v>
      </c>
      <c r="H24" s="67">
        <v>717</v>
      </c>
      <c r="I24" s="67">
        <v>499</v>
      </c>
      <c r="J24" s="67">
        <v>532</v>
      </c>
      <c r="K24" s="67">
        <v>393</v>
      </c>
      <c r="L24" s="68">
        <v>669</v>
      </c>
      <c r="M24" s="67">
        <v>615</v>
      </c>
      <c r="N24" s="67">
        <v>603</v>
      </c>
      <c r="O24" s="52">
        <f t="shared" si="0"/>
        <v>6397</v>
      </c>
    </row>
    <row r="25" spans="2:17" x14ac:dyDescent="0.25">
      <c r="B25" s="62" t="s">
        <v>36</v>
      </c>
      <c r="C25" s="49">
        <v>108</v>
      </c>
      <c r="D25" s="49">
        <v>270</v>
      </c>
      <c r="E25" s="49">
        <v>186</v>
      </c>
      <c r="F25" s="49">
        <v>378</v>
      </c>
      <c r="G25" s="67">
        <v>486</v>
      </c>
      <c r="H25" s="67">
        <v>216</v>
      </c>
      <c r="I25" s="67">
        <v>462</v>
      </c>
      <c r="J25" s="67">
        <v>216</v>
      </c>
      <c r="K25" s="67">
        <v>380</v>
      </c>
      <c r="L25" s="68">
        <v>216</v>
      </c>
      <c r="M25" s="67">
        <v>324</v>
      </c>
      <c r="N25" s="67">
        <v>432</v>
      </c>
      <c r="O25" s="52">
        <f t="shared" si="0"/>
        <v>3674</v>
      </c>
    </row>
    <row r="26" spans="2:17" x14ac:dyDescent="0.25">
      <c r="B26" s="62" t="s">
        <v>23</v>
      </c>
      <c r="C26" s="49">
        <v>236</v>
      </c>
      <c r="D26" s="49">
        <v>233</v>
      </c>
      <c r="E26" s="49">
        <v>187</v>
      </c>
      <c r="F26" s="49">
        <v>199</v>
      </c>
      <c r="G26" s="67">
        <v>105</v>
      </c>
      <c r="H26" s="67">
        <v>178</v>
      </c>
      <c r="I26" s="67">
        <v>221</v>
      </c>
      <c r="J26" s="67">
        <v>259</v>
      </c>
      <c r="K26" s="67">
        <v>549</v>
      </c>
      <c r="L26" s="68">
        <v>412</v>
      </c>
      <c r="M26" s="67">
        <v>296</v>
      </c>
      <c r="N26" s="67">
        <v>428</v>
      </c>
      <c r="O26" s="52">
        <f t="shared" si="0"/>
        <v>3303</v>
      </c>
      <c r="Q26" s="76"/>
    </row>
    <row r="27" spans="2:17" x14ac:dyDescent="0.25">
      <c r="B27" s="62" t="s">
        <v>35</v>
      </c>
      <c r="C27" s="49">
        <v>162</v>
      </c>
      <c r="D27" s="49">
        <v>216</v>
      </c>
      <c r="E27" s="49">
        <v>324</v>
      </c>
      <c r="F27" s="49">
        <v>216</v>
      </c>
      <c r="G27" s="67">
        <v>378</v>
      </c>
      <c r="H27" s="67">
        <v>270</v>
      </c>
      <c r="I27" s="67">
        <v>216</v>
      </c>
      <c r="J27" s="67">
        <v>324</v>
      </c>
      <c r="K27" s="67">
        <v>216</v>
      </c>
      <c r="L27" s="68">
        <v>216</v>
      </c>
      <c r="M27" s="67">
        <v>324</v>
      </c>
      <c r="N27" s="67">
        <v>324</v>
      </c>
      <c r="O27" s="52">
        <f t="shared" si="0"/>
        <v>3186</v>
      </c>
    </row>
    <row r="28" spans="2:17" x14ac:dyDescent="0.25">
      <c r="B28" s="62" t="s">
        <v>34</v>
      </c>
      <c r="C28" s="49">
        <v>235</v>
      </c>
      <c r="D28" s="49">
        <v>108</v>
      </c>
      <c r="E28" s="49">
        <v>295</v>
      </c>
      <c r="F28" s="49">
        <v>270</v>
      </c>
      <c r="G28" s="67">
        <v>432</v>
      </c>
      <c r="H28" s="91">
        <v>270</v>
      </c>
      <c r="I28" s="67">
        <v>216</v>
      </c>
      <c r="J28" s="67">
        <v>54</v>
      </c>
      <c r="K28" s="67">
        <v>378</v>
      </c>
      <c r="L28" s="68">
        <v>216</v>
      </c>
      <c r="M28" s="67">
        <v>162</v>
      </c>
      <c r="N28" s="67">
        <v>270</v>
      </c>
      <c r="O28" s="52">
        <f t="shared" si="0"/>
        <v>2906</v>
      </c>
    </row>
    <row r="29" spans="2:17" x14ac:dyDescent="0.25">
      <c r="B29" s="62" t="s">
        <v>67</v>
      </c>
      <c r="C29" s="49">
        <v>0</v>
      </c>
      <c r="D29" s="49">
        <v>0</v>
      </c>
      <c r="E29" s="49">
        <v>988</v>
      </c>
      <c r="F29" s="49">
        <v>1089</v>
      </c>
      <c r="G29" s="67">
        <v>773</v>
      </c>
      <c r="H29" s="38">
        <v>0</v>
      </c>
      <c r="I29" s="38">
        <v>0</v>
      </c>
      <c r="J29" s="38">
        <v>0</v>
      </c>
      <c r="K29" s="38">
        <v>0</v>
      </c>
      <c r="L29" s="77">
        <v>0</v>
      </c>
      <c r="M29" s="38">
        <v>0</v>
      </c>
      <c r="N29" s="38">
        <v>0</v>
      </c>
      <c r="O29" s="52">
        <f t="shared" si="0"/>
        <v>2850</v>
      </c>
      <c r="Q29" s="78"/>
    </row>
    <row r="30" spans="2:17" x14ac:dyDescent="0.25">
      <c r="B30" s="62" t="s">
        <v>45</v>
      </c>
      <c r="C30" s="49">
        <v>108</v>
      </c>
      <c r="D30" s="49">
        <v>108</v>
      </c>
      <c r="E30" s="49">
        <v>234</v>
      </c>
      <c r="F30" s="49">
        <v>162</v>
      </c>
      <c r="G30" s="67">
        <v>240</v>
      </c>
      <c r="H30" s="67">
        <v>132</v>
      </c>
      <c r="I30" s="67">
        <v>0</v>
      </c>
      <c r="J30" s="67">
        <v>324</v>
      </c>
      <c r="K30" s="67">
        <v>96</v>
      </c>
      <c r="L30" s="68">
        <v>324</v>
      </c>
      <c r="M30" s="67">
        <v>432</v>
      </c>
      <c r="N30" s="67">
        <v>378</v>
      </c>
      <c r="O30" s="52">
        <f t="shared" si="0"/>
        <v>2538</v>
      </c>
    </row>
    <row r="31" spans="2:17" x14ac:dyDescent="0.25">
      <c r="B31" s="62" t="s">
        <v>54</v>
      </c>
      <c r="C31" s="49">
        <v>168</v>
      </c>
      <c r="D31" s="49">
        <v>162</v>
      </c>
      <c r="E31" s="49">
        <v>102</v>
      </c>
      <c r="F31" s="49">
        <v>108</v>
      </c>
      <c r="G31" s="67">
        <v>486</v>
      </c>
      <c r="H31" s="67">
        <v>162</v>
      </c>
      <c r="I31" s="67">
        <v>108</v>
      </c>
      <c r="J31" s="67">
        <v>108</v>
      </c>
      <c r="K31" s="67">
        <v>270</v>
      </c>
      <c r="L31" s="68">
        <v>216</v>
      </c>
      <c r="M31" s="67">
        <v>270</v>
      </c>
      <c r="N31" s="67">
        <v>216</v>
      </c>
      <c r="O31" s="52">
        <f t="shared" si="0"/>
        <v>2376</v>
      </c>
    </row>
    <row r="32" spans="2:17" x14ac:dyDescent="0.25">
      <c r="B32" s="62" t="s">
        <v>30</v>
      </c>
      <c r="C32" s="49">
        <v>188</v>
      </c>
      <c r="D32" s="49">
        <v>264</v>
      </c>
      <c r="E32" s="49">
        <v>325</v>
      </c>
      <c r="F32" s="49">
        <v>99</v>
      </c>
      <c r="G32" s="67">
        <v>165</v>
      </c>
      <c r="H32" s="67">
        <v>117</v>
      </c>
      <c r="I32" s="67">
        <v>90</v>
      </c>
      <c r="J32" s="67">
        <v>131</v>
      </c>
      <c r="K32" s="67">
        <v>278</v>
      </c>
      <c r="L32" s="68">
        <v>271</v>
      </c>
      <c r="M32" s="67">
        <v>159</v>
      </c>
      <c r="N32" s="67">
        <v>245</v>
      </c>
      <c r="O32" s="52">
        <f t="shared" si="0"/>
        <v>2332</v>
      </c>
    </row>
    <row r="33" spans="2:17" x14ac:dyDescent="0.25">
      <c r="B33" s="62" t="s">
        <v>43</v>
      </c>
      <c r="C33" s="49">
        <v>216</v>
      </c>
      <c r="D33" s="49">
        <v>54</v>
      </c>
      <c r="E33" s="49">
        <v>78</v>
      </c>
      <c r="F33" s="49">
        <v>162</v>
      </c>
      <c r="G33" s="67">
        <v>324</v>
      </c>
      <c r="H33" s="67">
        <v>108</v>
      </c>
      <c r="I33" s="67">
        <v>54</v>
      </c>
      <c r="J33" s="67">
        <v>216</v>
      </c>
      <c r="K33" s="67">
        <v>214</v>
      </c>
      <c r="L33" s="92">
        <v>78</v>
      </c>
      <c r="M33" s="67">
        <v>270</v>
      </c>
      <c r="N33" s="67">
        <v>318</v>
      </c>
      <c r="O33" s="52">
        <f t="shared" si="0"/>
        <v>2092</v>
      </c>
    </row>
    <row r="34" spans="2:17" x14ac:dyDescent="0.25">
      <c r="B34" s="73" t="s">
        <v>87</v>
      </c>
      <c r="C34" s="49">
        <v>248</v>
      </c>
      <c r="D34" s="49">
        <v>200</v>
      </c>
      <c r="E34" s="49">
        <v>0</v>
      </c>
      <c r="F34" s="49">
        <v>200</v>
      </c>
      <c r="G34" s="67">
        <v>200</v>
      </c>
      <c r="H34" s="67">
        <v>300</v>
      </c>
      <c r="I34" s="67">
        <v>100</v>
      </c>
      <c r="J34" s="67">
        <v>200</v>
      </c>
      <c r="K34" s="67">
        <v>200</v>
      </c>
      <c r="L34" s="68">
        <v>0</v>
      </c>
      <c r="M34" s="67">
        <v>156</v>
      </c>
      <c r="N34" s="67">
        <v>148</v>
      </c>
      <c r="O34" s="52">
        <f t="shared" si="0"/>
        <v>1952</v>
      </c>
    </row>
    <row r="35" spans="2:17" x14ac:dyDescent="0.25">
      <c r="B35" s="62" t="s">
        <v>58</v>
      </c>
      <c r="C35" s="49">
        <v>108</v>
      </c>
      <c r="D35" s="49">
        <v>162</v>
      </c>
      <c r="E35" s="49">
        <v>220</v>
      </c>
      <c r="F35" s="49">
        <v>216</v>
      </c>
      <c r="G35" s="67">
        <v>54</v>
      </c>
      <c r="H35" s="67">
        <v>324</v>
      </c>
      <c r="I35" s="67">
        <v>54</v>
      </c>
      <c r="J35" s="67">
        <v>162</v>
      </c>
      <c r="K35" s="67">
        <v>216</v>
      </c>
      <c r="L35" s="68">
        <v>54</v>
      </c>
      <c r="M35" s="67">
        <v>162</v>
      </c>
      <c r="N35" s="67">
        <v>162</v>
      </c>
      <c r="O35" s="52">
        <f t="shared" si="0"/>
        <v>1894</v>
      </c>
    </row>
    <row r="36" spans="2:17" x14ac:dyDescent="0.25">
      <c r="B36" s="62" t="s">
        <v>40</v>
      </c>
      <c r="C36" s="49">
        <v>108</v>
      </c>
      <c r="D36" s="49">
        <v>0</v>
      </c>
      <c r="E36" s="49">
        <v>216</v>
      </c>
      <c r="F36" s="49">
        <v>216</v>
      </c>
      <c r="G36" s="67">
        <v>54</v>
      </c>
      <c r="H36" s="67">
        <v>216</v>
      </c>
      <c r="I36" s="67">
        <v>108</v>
      </c>
      <c r="J36" s="67">
        <v>162</v>
      </c>
      <c r="K36" s="67">
        <v>162</v>
      </c>
      <c r="L36" s="68">
        <v>216</v>
      </c>
      <c r="M36" s="67">
        <v>168</v>
      </c>
      <c r="N36" s="67">
        <v>162</v>
      </c>
      <c r="O36" s="52">
        <f t="shared" si="0"/>
        <v>1788</v>
      </c>
    </row>
    <row r="37" spans="2:17" x14ac:dyDescent="0.25">
      <c r="B37" s="62" t="s">
        <v>44</v>
      </c>
      <c r="C37" s="49">
        <v>114</v>
      </c>
      <c r="D37" s="49">
        <v>108</v>
      </c>
      <c r="E37" s="49">
        <v>199</v>
      </c>
      <c r="F37" s="49">
        <v>54</v>
      </c>
      <c r="G37" s="67">
        <v>378</v>
      </c>
      <c r="H37" s="67">
        <v>108</v>
      </c>
      <c r="I37" s="67">
        <v>0</v>
      </c>
      <c r="J37" s="67">
        <v>0</v>
      </c>
      <c r="K37" s="67">
        <v>270</v>
      </c>
      <c r="L37" s="68">
        <v>54</v>
      </c>
      <c r="M37" s="67">
        <v>324</v>
      </c>
      <c r="N37" s="67">
        <v>54</v>
      </c>
      <c r="O37" s="52">
        <f t="shared" si="0"/>
        <v>1663</v>
      </c>
    </row>
    <row r="38" spans="2:17" x14ac:dyDescent="0.25">
      <c r="B38" s="62" t="s">
        <v>31</v>
      </c>
      <c r="C38" s="49">
        <v>84</v>
      </c>
      <c r="D38" s="49">
        <v>56</v>
      </c>
      <c r="E38" s="49">
        <v>86</v>
      </c>
      <c r="F38" s="49">
        <v>178</v>
      </c>
      <c r="G38" s="67">
        <v>16</v>
      </c>
      <c r="H38" s="67">
        <v>54</v>
      </c>
      <c r="I38" s="67">
        <v>130</v>
      </c>
      <c r="J38" s="67">
        <v>46</v>
      </c>
      <c r="K38" s="67">
        <v>163</v>
      </c>
      <c r="L38" s="68">
        <v>188</v>
      </c>
      <c r="M38" s="67">
        <v>129</v>
      </c>
      <c r="N38" s="67">
        <v>189</v>
      </c>
      <c r="O38" s="52">
        <f t="shared" si="0"/>
        <v>1319</v>
      </c>
      <c r="Q38" s="79"/>
    </row>
    <row r="39" spans="2:17" x14ac:dyDescent="0.25">
      <c r="B39" s="62" t="s">
        <v>32</v>
      </c>
      <c r="C39" s="49">
        <v>84</v>
      </c>
      <c r="D39" s="49">
        <v>48</v>
      </c>
      <c r="E39" s="49">
        <v>80</v>
      </c>
      <c r="F39" s="49">
        <v>46</v>
      </c>
      <c r="G39" s="67">
        <v>24</v>
      </c>
      <c r="H39" s="67">
        <v>23</v>
      </c>
      <c r="I39" s="67">
        <v>24</v>
      </c>
      <c r="J39" s="67">
        <v>161</v>
      </c>
      <c r="K39" s="67">
        <v>148</v>
      </c>
      <c r="L39" s="68">
        <v>74</v>
      </c>
      <c r="M39" s="67">
        <v>16</v>
      </c>
      <c r="N39" s="67">
        <v>57</v>
      </c>
      <c r="O39" s="52">
        <f t="shared" si="0"/>
        <v>785</v>
      </c>
    </row>
    <row r="40" spans="2:17" x14ac:dyDescent="0.25">
      <c r="B40" s="62" t="s">
        <v>61</v>
      </c>
      <c r="C40" s="49">
        <v>0</v>
      </c>
      <c r="D40" s="49">
        <v>54</v>
      </c>
      <c r="E40" s="49">
        <v>0</v>
      </c>
      <c r="F40" s="49">
        <v>54</v>
      </c>
      <c r="G40" s="49">
        <v>0</v>
      </c>
      <c r="H40" s="49">
        <v>54</v>
      </c>
      <c r="I40" s="38">
        <v>0</v>
      </c>
      <c r="J40" s="38">
        <v>0</v>
      </c>
      <c r="K40" s="67">
        <v>110</v>
      </c>
      <c r="L40" s="68">
        <v>108</v>
      </c>
      <c r="M40" s="67">
        <v>108</v>
      </c>
      <c r="N40" s="67">
        <v>54</v>
      </c>
      <c r="O40" s="52">
        <f t="shared" si="0"/>
        <v>542</v>
      </c>
    </row>
    <row r="41" spans="2:17" x14ac:dyDescent="0.25">
      <c r="B41" s="62" t="s">
        <v>57</v>
      </c>
      <c r="C41" s="49">
        <v>54</v>
      </c>
      <c r="D41" s="49">
        <v>0</v>
      </c>
      <c r="E41" s="49">
        <v>54</v>
      </c>
      <c r="F41" s="49">
        <v>0</v>
      </c>
      <c r="G41" s="67">
        <v>54</v>
      </c>
      <c r="H41" s="67">
        <v>54</v>
      </c>
      <c r="I41" s="67">
        <v>54</v>
      </c>
      <c r="J41" s="38">
        <v>0</v>
      </c>
      <c r="K41" s="67">
        <v>108</v>
      </c>
      <c r="L41" s="68">
        <v>54</v>
      </c>
      <c r="M41" s="67">
        <v>108</v>
      </c>
      <c r="N41" s="93">
        <v>0</v>
      </c>
      <c r="O41" s="52">
        <f t="shared" si="0"/>
        <v>540</v>
      </c>
    </row>
    <row r="42" spans="2:17" x14ac:dyDescent="0.25">
      <c r="B42" s="62" t="s">
        <v>66</v>
      </c>
      <c r="C42" s="49">
        <v>0</v>
      </c>
      <c r="D42" s="49">
        <v>0</v>
      </c>
      <c r="E42" s="49">
        <v>0</v>
      </c>
      <c r="F42" s="49">
        <v>30</v>
      </c>
      <c r="G42" s="67">
        <v>80</v>
      </c>
      <c r="H42" s="38">
        <v>0</v>
      </c>
      <c r="I42" s="67">
        <v>110</v>
      </c>
      <c r="J42" s="38">
        <v>0</v>
      </c>
      <c r="K42" s="67">
        <v>40</v>
      </c>
      <c r="L42" s="68">
        <v>70</v>
      </c>
      <c r="M42" s="80">
        <v>0</v>
      </c>
      <c r="N42" s="80">
        <v>0</v>
      </c>
      <c r="O42" s="52">
        <f t="shared" si="0"/>
        <v>330</v>
      </c>
    </row>
    <row r="43" spans="2:17" x14ac:dyDescent="0.25">
      <c r="B43" s="62" t="s">
        <v>62</v>
      </c>
      <c r="C43" s="49">
        <v>10</v>
      </c>
      <c r="D43" s="49">
        <v>10</v>
      </c>
      <c r="E43" s="49">
        <v>0</v>
      </c>
      <c r="F43" s="49">
        <v>24</v>
      </c>
      <c r="G43" s="49">
        <v>0</v>
      </c>
      <c r="H43" s="49">
        <v>24</v>
      </c>
      <c r="I43" s="38">
        <v>0</v>
      </c>
      <c r="J43" s="67">
        <v>10</v>
      </c>
      <c r="K43" s="67">
        <v>24</v>
      </c>
      <c r="L43" s="68">
        <v>12</v>
      </c>
      <c r="M43" s="67">
        <v>24</v>
      </c>
      <c r="N43" s="67">
        <v>12</v>
      </c>
      <c r="O43" s="52">
        <f t="shared" si="0"/>
        <v>150</v>
      </c>
    </row>
    <row r="44" spans="2:17" ht="15.75" thickBot="1" x14ac:dyDescent="0.3">
      <c r="B44" s="62" t="s">
        <v>68</v>
      </c>
      <c r="C44" s="49">
        <v>0</v>
      </c>
      <c r="D44" s="49">
        <v>0</v>
      </c>
      <c r="E44" s="49">
        <v>0</v>
      </c>
      <c r="F44" s="49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1">
        <v>0</v>
      </c>
      <c r="M44" s="67">
        <v>54</v>
      </c>
      <c r="N44" s="67">
        <v>54</v>
      </c>
      <c r="O44" s="52">
        <f t="shared" si="0"/>
        <v>108</v>
      </c>
    </row>
    <row r="45" spans="2:17" ht="15.75" thickBot="1" x14ac:dyDescent="0.3">
      <c r="B45" s="94"/>
      <c r="C45" s="82"/>
      <c r="D45" s="82"/>
      <c r="E45" s="82"/>
      <c r="F45" s="82"/>
      <c r="G45" s="95"/>
      <c r="H45" s="96"/>
      <c r="I45" s="97"/>
      <c r="J45" s="96"/>
      <c r="K45" s="96"/>
      <c r="L45" s="97"/>
      <c r="M45" s="96"/>
      <c r="N45" s="96"/>
      <c r="O45" s="83"/>
    </row>
    <row r="46" spans="2:17" ht="15.75" thickBot="1" x14ac:dyDescent="0.3">
      <c r="B46" s="60" t="s">
        <v>81</v>
      </c>
      <c r="C46" s="98">
        <f t="shared" ref="C46:N46" si="1">SUM(C7:C44)</f>
        <v>37174</v>
      </c>
      <c r="D46" s="98">
        <f t="shared" si="1"/>
        <v>39467</v>
      </c>
      <c r="E46" s="98">
        <f t="shared" si="1"/>
        <v>43811.3</v>
      </c>
      <c r="F46" s="98">
        <f t="shared" si="1"/>
        <v>51038</v>
      </c>
      <c r="G46" s="99">
        <f t="shared" si="1"/>
        <v>45879</v>
      </c>
      <c r="H46" s="98">
        <f t="shared" si="1"/>
        <v>44688</v>
      </c>
      <c r="I46" s="100">
        <f t="shared" si="1"/>
        <v>37190.800000000003</v>
      </c>
      <c r="J46" s="98">
        <f t="shared" si="1"/>
        <v>47346.7</v>
      </c>
      <c r="K46" s="99">
        <f t="shared" si="1"/>
        <v>48830</v>
      </c>
      <c r="L46" s="98">
        <f t="shared" si="1"/>
        <v>43332</v>
      </c>
      <c r="M46" s="98">
        <f t="shared" si="1"/>
        <v>45242</v>
      </c>
      <c r="N46" s="98">
        <f t="shared" si="1"/>
        <v>58734</v>
      </c>
      <c r="O46" s="70">
        <f t="shared" ref="O46" si="2">SUM(C46:N46)</f>
        <v>542732.80000000005</v>
      </c>
    </row>
    <row r="48" spans="2:17" x14ac:dyDescent="0.25"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3:15" x14ac:dyDescent="0.25"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3:15" x14ac:dyDescent="0.25">
      <c r="F50" s="102"/>
      <c r="H50" s="102"/>
      <c r="I50" s="102"/>
      <c r="J50" s="102"/>
      <c r="K50" s="102"/>
      <c r="L50" s="102"/>
      <c r="M50" s="102"/>
      <c r="N50" s="102"/>
    </row>
    <row r="53" spans="3:15" x14ac:dyDescent="0.25"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</row>
  </sheetData>
  <mergeCells count="3">
    <mergeCell ref="B2:O2"/>
    <mergeCell ref="B3:O3"/>
    <mergeCell ref="B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showGridLines="0" topLeftCell="A16" workbookViewId="0">
      <selection activeCell="D12" sqref="D12"/>
    </sheetView>
  </sheetViews>
  <sheetFormatPr baseColWidth="10" defaultColWidth="9.140625" defaultRowHeight="12.75" customHeight="1" x14ac:dyDescent="0.25"/>
  <cols>
    <col min="1" max="1" width="4.42578125" style="57" customWidth="1"/>
    <col min="2" max="2" width="38.5703125" style="57" bestFit="1" customWidth="1"/>
    <col min="3" max="10" width="10.7109375" style="57" customWidth="1"/>
    <col min="11" max="11" width="11.5703125" style="57" bestFit="1" customWidth="1"/>
    <col min="12" max="14" width="10.7109375" style="57" customWidth="1"/>
    <col min="15" max="15" width="13.28515625" style="57" customWidth="1"/>
    <col min="16" max="16384" width="9.140625" style="57"/>
  </cols>
  <sheetData>
    <row r="2" spans="2:15" ht="12.75" customHeight="1" x14ac:dyDescent="0.25">
      <c r="B2" s="149" t="s">
        <v>85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2:15" ht="12.75" customHeight="1" x14ac:dyDescent="0.25">
      <c r="B3" s="149" t="s">
        <v>1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</row>
    <row r="4" spans="2:15" ht="12.75" customHeight="1" x14ac:dyDescent="0.25">
      <c r="B4" s="149" t="s">
        <v>90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</row>
    <row r="5" spans="2:15" ht="12.75" customHeight="1" x14ac:dyDescent="0.25">
      <c r="B5" s="58"/>
    </row>
    <row r="6" spans="2:15" ht="15.75" thickBot="1" x14ac:dyDescent="0.3">
      <c r="B6" s="58"/>
    </row>
    <row r="7" spans="2:15" ht="15.75" thickBot="1" x14ac:dyDescent="0.3">
      <c r="B7" s="59" t="s">
        <v>3</v>
      </c>
      <c r="C7" s="60" t="s">
        <v>4</v>
      </c>
      <c r="D7" s="60" t="s">
        <v>5</v>
      </c>
      <c r="E7" s="60" t="s">
        <v>6</v>
      </c>
      <c r="F7" s="60" t="s">
        <v>7</v>
      </c>
      <c r="G7" s="60" t="s">
        <v>8</v>
      </c>
      <c r="H7" s="60" t="s">
        <v>9</v>
      </c>
      <c r="I7" s="60" t="s">
        <v>10</v>
      </c>
      <c r="J7" s="60" t="s">
        <v>11</v>
      </c>
      <c r="K7" s="60" t="s">
        <v>12</v>
      </c>
      <c r="L7" s="60" t="s">
        <v>13</v>
      </c>
      <c r="M7" s="61" t="s">
        <v>14</v>
      </c>
      <c r="N7" s="60" t="s">
        <v>15</v>
      </c>
      <c r="O7" s="60" t="s">
        <v>79</v>
      </c>
    </row>
    <row r="8" spans="2:15" s="66" customFormat="1" ht="15" x14ac:dyDescent="0.25">
      <c r="B8" s="62" t="s">
        <v>27</v>
      </c>
      <c r="C8" s="49">
        <v>122</v>
      </c>
      <c r="D8" s="49">
        <v>99</v>
      </c>
      <c r="E8" s="49">
        <v>116</v>
      </c>
      <c r="F8" s="49">
        <v>123</v>
      </c>
      <c r="G8" s="49">
        <v>159</v>
      </c>
      <c r="H8" s="49">
        <v>162</v>
      </c>
      <c r="I8" s="49">
        <v>15516</v>
      </c>
      <c r="J8" s="49">
        <v>11200</v>
      </c>
      <c r="K8" s="49">
        <v>11536</v>
      </c>
      <c r="L8" s="50">
        <v>10363</v>
      </c>
      <c r="M8" s="63">
        <v>12394</v>
      </c>
      <c r="N8" s="64">
        <v>14894</v>
      </c>
      <c r="O8" s="65">
        <f t="shared" ref="O8:O45" si="0">SUM(C8:N8)</f>
        <v>76684</v>
      </c>
    </row>
    <row r="9" spans="2:15" s="66" customFormat="1" ht="15" x14ac:dyDescent="0.25">
      <c r="B9" s="62" t="s">
        <v>16</v>
      </c>
      <c r="C9" s="49">
        <f>2118+1939</f>
        <v>4057</v>
      </c>
      <c r="D9" s="49">
        <f>1739+2083</f>
        <v>3822</v>
      </c>
      <c r="E9" s="49">
        <f>3427+3225</f>
        <v>6652</v>
      </c>
      <c r="F9" s="49">
        <f>2658+200+2410</f>
        <v>5268</v>
      </c>
      <c r="G9" s="49">
        <f>2579+3406</f>
        <v>5985</v>
      </c>
      <c r="H9" s="49">
        <f>2792+300+4685</f>
        <v>7777</v>
      </c>
      <c r="I9" s="49">
        <f>3625+300</f>
        <v>3925</v>
      </c>
      <c r="J9" s="49">
        <f>2778+100+4049</f>
        <v>6927</v>
      </c>
      <c r="K9" s="49">
        <f>3217+300+3615</f>
        <v>7132</v>
      </c>
      <c r="L9" s="50">
        <f>2542+220+3428</f>
        <v>6190</v>
      </c>
      <c r="M9" s="49">
        <v>8266</v>
      </c>
      <c r="N9" s="51">
        <v>9089</v>
      </c>
      <c r="O9" s="65">
        <f t="shared" si="0"/>
        <v>75090</v>
      </c>
    </row>
    <row r="10" spans="2:15" s="66" customFormat="1" ht="15" x14ac:dyDescent="0.25">
      <c r="B10" s="62" t="s">
        <v>82</v>
      </c>
      <c r="C10" s="49">
        <f>642+1728+192</f>
        <v>2562</v>
      </c>
      <c r="D10" s="49">
        <f>695+1320+156</f>
        <v>2171</v>
      </c>
      <c r="E10" s="49">
        <f>988+1260+151</f>
        <v>2399</v>
      </c>
      <c r="F10" s="49">
        <f>583+1212+104</f>
        <v>1899</v>
      </c>
      <c r="G10" s="49">
        <f>3893+146</f>
        <v>4039</v>
      </c>
      <c r="H10" s="49">
        <f>3176+181</f>
        <v>3357</v>
      </c>
      <c r="I10" s="49">
        <f>3476+267</f>
        <v>3743</v>
      </c>
      <c r="J10" s="49">
        <f>1930+960+312</f>
        <v>3202</v>
      </c>
      <c r="K10" s="49">
        <v>3167</v>
      </c>
      <c r="L10" s="50">
        <v>3706</v>
      </c>
      <c r="M10" s="49">
        <v>3535</v>
      </c>
      <c r="N10" s="52">
        <v>4614</v>
      </c>
      <c r="O10" s="65">
        <f t="shared" si="0"/>
        <v>38394</v>
      </c>
    </row>
    <row r="11" spans="2:15" s="66" customFormat="1" ht="15" x14ac:dyDescent="0.25">
      <c r="B11" s="62" t="s">
        <v>28</v>
      </c>
      <c r="C11" s="65">
        <f>2165+477</f>
        <v>2642</v>
      </c>
      <c r="D11" s="49">
        <f>1160+447</f>
        <v>1607</v>
      </c>
      <c r="E11" s="49">
        <f>2153+813</f>
        <v>2966</v>
      </c>
      <c r="F11" s="49">
        <f>2326+635</f>
        <v>2961</v>
      </c>
      <c r="G11" s="49">
        <f>2378+704</f>
        <v>3082</v>
      </c>
      <c r="H11" s="49">
        <f>2312+1075</f>
        <v>3387</v>
      </c>
      <c r="I11" s="49">
        <f>2496+833</f>
        <v>3329</v>
      </c>
      <c r="J11" s="49">
        <f>2767+925</f>
        <v>3692</v>
      </c>
      <c r="K11" s="49">
        <f>3166+822</f>
        <v>3988</v>
      </c>
      <c r="L11" s="50">
        <f>2740+728</f>
        <v>3468</v>
      </c>
      <c r="M11" s="49">
        <v>1478</v>
      </c>
      <c r="N11" s="51">
        <v>2230</v>
      </c>
      <c r="O11" s="65">
        <f t="shared" si="0"/>
        <v>34830</v>
      </c>
    </row>
    <row r="12" spans="2:15" s="66" customFormat="1" ht="15" x14ac:dyDescent="0.25">
      <c r="B12" s="62" t="s">
        <v>18</v>
      </c>
      <c r="C12" s="49">
        <f>991+803</f>
        <v>1794</v>
      </c>
      <c r="D12" s="49">
        <f>370+914</f>
        <v>1284</v>
      </c>
      <c r="E12" s="49">
        <f>565+1201</f>
        <v>1766</v>
      </c>
      <c r="F12" s="49">
        <f>997+994</f>
        <v>1991</v>
      </c>
      <c r="G12" s="49">
        <f>795+1294</f>
        <v>2089</v>
      </c>
      <c r="H12" s="49">
        <f>443+1864</f>
        <v>2307</v>
      </c>
      <c r="I12" s="49">
        <f>1019+1320</f>
        <v>2339</v>
      </c>
      <c r="J12" s="49">
        <f>456+1500</f>
        <v>1956</v>
      </c>
      <c r="K12" s="49">
        <f>672+1356</f>
        <v>2028</v>
      </c>
      <c r="L12" s="50">
        <f>449+1472</f>
        <v>1921</v>
      </c>
      <c r="M12" s="49">
        <v>2761</v>
      </c>
      <c r="N12" s="51">
        <v>3120</v>
      </c>
      <c r="O12" s="65">
        <f t="shared" si="0"/>
        <v>25356</v>
      </c>
    </row>
    <row r="13" spans="2:15" s="66" customFormat="1" ht="15" x14ac:dyDescent="0.25">
      <c r="B13" s="62" t="s">
        <v>19</v>
      </c>
      <c r="C13" s="49">
        <v>1532</v>
      </c>
      <c r="D13" s="49">
        <v>613</v>
      </c>
      <c r="E13" s="49">
        <v>1806</v>
      </c>
      <c r="F13" s="49">
        <v>2549</v>
      </c>
      <c r="G13" s="49">
        <v>1157</v>
      </c>
      <c r="H13" s="49">
        <v>1553</v>
      </c>
      <c r="I13" s="49">
        <v>1873</v>
      </c>
      <c r="J13" s="49">
        <v>1171</v>
      </c>
      <c r="K13" s="49">
        <v>1044</v>
      </c>
      <c r="L13" s="50">
        <v>810</v>
      </c>
      <c r="M13" s="67">
        <v>1797</v>
      </c>
      <c r="N13" s="68">
        <v>1264</v>
      </c>
      <c r="O13" s="65">
        <f t="shared" si="0"/>
        <v>17169</v>
      </c>
    </row>
    <row r="14" spans="2:15" s="66" customFormat="1" ht="15" x14ac:dyDescent="0.25">
      <c r="B14" s="62" t="s">
        <v>22</v>
      </c>
      <c r="C14" s="49">
        <v>758</v>
      </c>
      <c r="D14" s="49">
        <v>713</v>
      </c>
      <c r="E14" s="49">
        <v>750</v>
      </c>
      <c r="F14" s="49">
        <v>1086</v>
      </c>
      <c r="G14" s="49">
        <v>1107</v>
      </c>
      <c r="H14" s="49">
        <f>945+1</f>
        <v>946</v>
      </c>
      <c r="I14" s="49">
        <f>13+1031</f>
        <v>1044</v>
      </c>
      <c r="J14" s="49">
        <v>660</v>
      </c>
      <c r="K14" s="49">
        <f>951+2</f>
        <v>953</v>
      </c>
      <c r="L14" s="50">
        <f>1023+136</f>
        <v>1159</v>
      </c>
      <c r="M14" s="49">
        <v>2514</v>
      </c>
      <c r="N14" s="52">
        <v>1935</v>
      </c>
      <c r="O14" s="65">
        <f t="shared" si="0"/>
        <v>13625</v>
      </c>
    </row>
    <row r="15" spans="2:15" s="66" customFormat="1" ht="15" x14ac:dyDescent="0.25">
      <c r="B15" s="62" t="s">
        <v>17</v>
      </c>
      <c r="C15" s="49">
        <v>707</v>
      </c>
      <c r="D15" s="49">
        <v>594</v>
      </c>
      <c r="E15" s="49">
        <v>920</v>
      </c>
      <c r="F15" s="49">
        <v>754</v>
      </c>
      <c r="G15" s="49">
        <v>1022</v>
      </c>
      <c r="H15" s="49">
        <v>1087</v>
      </c>
      <c r="I15" s="49">
        <v>1299</v>
      </c>
      <c r="J15" s="49">
        <v>1078</v>
      </c>
      <c r="K15" s="49">
        <v>1173</v>
      </c>
      <c r="L15" s="50">
        <v>1211</v>
      </c>
      <c r="M15" s="67">
        <v>1239</v>
      </c>
      <c r="N15" s="68">
        <v>1340</v>
      </c>
      <c r="O15" s="65">
        <f t="shared" si="0"/>
        <v>12424</v>
      </c>
    </row>
    <row r="16" spans="2:15" s="66" customFormat="1" ht="15" x14ac:dyDescent="0.25">
      <c r="B16" s="62" t="s">
        <v>21</v>
      </c>
      <c r="C16" s="49">
        <v>705</v>
      </c>
      <c r="D16" s="49">
        <v>336</v>
      </c>
      <c r="E16" s="49">
        <v>968</v>
      </c>
      <c r="F16" s="49">
        <v>739</v>
      </c>
      <c r="G16" s="49">
        <v>853</v>
      </c>
      <c r="H16" s="49">
        <v>672</v>
      </c>
      <c r="I16" s="49">
        <v>1001</v>
      </c>
      <c r="J16" s="49">
        <v>799</v>
      </c>
      <c r="K16" s="49">
        <v>866</v>
      </c>
      <c r="L16" s="50">
        <v>721</v>
      </c>
      <c r="M16" s="67">
        <v>1142</v>
      </c>
      <c r="N16" s="64">
        <v>1185</v>
      </c>
      <c r="O16" s="65">
        <f t="shared" si="0"/>
        <v>9987</v>
      </c>
    </row>
    <row r="17" spans="2:15" s="66" customFormat="1" ht="15" x14ac:dyDescent="0.25">
      <c r="B17" s="62" t="s">
        <v>25</v>
      </c>
      <c r="C17" s="49">
        <v>890</v>
      </c>
      <c r="D17" s="49">
        <v>379</v>
      </c>
      <c r="E17" s="49">
        <v>832</v>
      </c>
      <c r="F17" s="49">
        <v>814</v>
      </c>
      <c r="G17" s="49">
        <v>891</v>
      </c>
      <c r="H17" s="49">
        <v>636</v>
      </c>
      <c r="I17" s="49">
        <v>894</v>
      </c>
      <c r="J17" s="49">
        <v>840</v>
      </c>
      <c r="K17" s="49">
        <v>817</v>
      </c>
      <c r="L17" s="50">
        <v>899</v>
      </c>
      <c r="M17" s="67">
        <v>885</v>
      </c>
      <c r="N17" s="64">
        <v>837</v>
      </c>
      <c r="O17" s="65">
        <f t="shared" si="0"/>
        <v>9614</v>
      </c>
    </row>
    <row r="18" spans="2:15" s="66" customFormat="1" ht="15" x14ac:dyDescent="0.25">
      <c r="B18" s="62" t="s">
        <v>24</v>
      </c>
      <c r="C18" s="49">
        <v>651</v>
      </c>
      <c r="D18" s="49">
        <v>307</v>
      </c>
      <c r="E18" s="49">
        <v>834</v>
      </c>
      <c r="F18" s="49">
        <v>924</v>
      </c>
      <c r="G18" s="49">
        <v>570</v>
      </c>
      <c r="H18" s="49">
        <v>474</v>
      </c>
      <c r="I18" s="49">
        <v>818</v>
      </c>
      <c r="J18" s="49">
        <v>577</v>
      </c>
      <c r="K18" s="49">
        <v>783</v>
      </c>
      <c r="L18" s="50">
        <v>603</v>
      </c>
      <c r="M18" s="67">
        <v>437</v>
      </c>
      <c r="N18" s="68">
        <v>515</v>
      </c>
      <c r="O18" s="65">
        <f t="shared" si="0"/>
        <v>7493</v>
      </c>
    </row>
    <row r="19" spans="2:15" s="66" customFormat="1" ht="15" x14ac:dyDescent="0.25">
      <c r="B19" s="62" t="s">
        <v>94</v>
      </c>
      <c r="C19" s="49">
        <v>534</v>
      </c>
      <c r="D19" s="49">
        <v>0</v>
      </c>
      <c r="E19" s="49">
        <v>714</v>
      </c>
      <c r="F19" s="49">
        <v>437</v>
      </c>
      <c r="G19" s="49">
        <v>1053</v>
      </c>
      <c r="H19" s="49">
        <v>589</v>
      </c>
      <c r="I19" s="49">
        <v>684</v>
      </c>
      <c r="J19" s="49">
        <v>494</v>
      </c>
      <c r="K19" s="53">
        <v>1102</v>
      </c>
      <c r="L19" s="54">
        <v>760</v>
      </c>
      <c r="M19" s="53">
        <f>198*1.9</f>
        <v>376.2</v>
      </c>
      <c r="N19" s="55">
        <v>684</v>
      </c>
      <c r="O19" s="65">
        <f t="shared" si="0"/>
        <v>7427.2</v>
      </c>
    </row>
    <row r="20" spans="2:15" s="66" customFormat="1" ht="15" x14ac:dyDescent="0.25">
      <c r="B20" s="62" t="s">
        <v>26</v>
      </c>
      <c r="C20" s="49">
        <v>342</v>
      </c>
      <c r="D20" s="49">
        <v>376</v>
      </c>
      <c r="E20" s="49">
        <v>533</v>
      </c>
      <c r="F20" s="49">
        <v>509</v>
      </c>
      <c r="G20" s="49">
        <v>431</v>
      </c>
      <c r="H20" s="49">
        <v>526</v>
      </c>
      <c r="I20" s="49">
        <v>582</v>
      </c>
      <c r="J20" s="49">
        <v>856</v>
      </c>
      <c r="K20" s="49">
        <v>633</v>
      </c>
      <c r="L20" s="50">
        <v>563</v>
      </c>
      <c r="M20" s="67">
        <v>699</v>
      </c>
      <c r="N20" s="64">
        <v>611</v>
      </c>
      <c r="O20" s="65">
        <f t="shared" si="0"/>
        <v>6661</v>
      </c>
    </row>
    <row r="21" spans="2:15" s="66" customFormat="1" ht="15" x14ac:dyDescent="0.25">
      <c r="B21" s="62" t="s">
        <v>55</v>
      </c>
      <c r="C21" s="49">
        <v>486</v>
      </c>
      <c r="D21" s="49">
        <v>108</v>
      </c>
      <c r="E21" s="49">
        <v>378</v>
      </c>
      <c r="F21" s="49">
        <v>324</v>
      </c>
      <c r="G21" s="49">
        <v>648</v>
      </c>
      <c r="H21" s="49">
        <v>54</v>
      </c>
      <c r="I21" s="49">
        <v>378</v>
      </c>
      <c r="J21" s="49">
        <v>702</v>
      </c>
      <c r="K21" s="49">
        <v>594</v>
      </c>
      <c r="L21" s="50">
        <v>0</v>
      </c>
      <c r="M21" s="67">
        <v>618</v>
      </c>
      <c r="N21" s="64">
        <v>864</v>
      </c>
      <c r="O21" s="65">
        <f t="shared" si="0"/>
        <v>5154</v>
      </c>
    </row>
    <row r="22" spans="2:15" s="66" customFormat="1" ht="15" x14ac:dyDescent="0.25">
      <c r="B22" s="62" t="s">
        <v>29</v>
      </c>
      <c r="C22" s="49">
        <v>229</v>
      </c>
      <c r="D22" s="49">
        <v>311</v>
      </c>
      <c r="E22" s="49">
        <v>401</v>
      </c>
      <c r="F22" s="49">
        <v>394</v>
      </c>
      <c r="G22" s="49">
        <v>367</v>
      </c>
      <c r="H22" s="49">
        <v>435</v>
      </c>
      <c r="I22" s="49">
        <v>477</v>
      </c>
      <c r="J22" s="49">
        <v>470</v>
      </c>
      <c r="K22" s="49">
        <v>414</v>
      </c>
      <c r="L22" s="50">
        <v>493</v>
      </c>
      <c r="M22" s="67">
        <v>473</v>
      </c>
      <c r="N22" s="64">
        <v>508</v>
      </c>
      <c r="O22" s="65">
        <f t="shared" si="0"/>
        <v>4972</v>
      </c>
    </row>
    <row r="23" spans="2:15" s="66" customFormat="1" ht="15" x14ac:dyDescent="0.25">
      <c r="B23" s="62" t="s">
        <v>42</v>
      </c>
      <c r="C23" s="49">
        <v>432</v>
      </c>
      <c r="D23" s="49">
        <v>0</v>
      </c>
      <c r="E23" s="49">
        <v>216</v>
      </c>
      <c r="F23" s="49">
        <v>270</v>
      </c>
      <c r="G23" s="49">
        <v>594</v>
      </c>
      <c r="H23" s="49">
        <v>108</v>
      </c>
      <c r="I23" s="49">
        <v>486</v>
      </c>
      <c r="J23" s="49">
        <v>378</v>
      </c>
      <c r="K23" s="49">
        <v>594</v>
      </c>
      <c r="L23" s="50">
        <v>0</v>
      </c>
      <c r="M23" s="67">
        <v>540</v>
      </c>
      <c r="N23" s="64">
        <v>1188</v>
      </c>
      <c r="O23" s="65">
        <f t="shared" si="0"/>
        <v>4806</v>
      </c>
    </row>
    <row r="24" spans="2:15" s="66" customFormat="1" ht="15" x14ac:dyDescent="0.25">
      <c r="B24" s="62" t="s">
        <v>36</v>
      </c>
      <c r="C24" s="49">
        <v>540</v>
      </c>
      <c r="D24" s="49">
        <v>216</v>
      </c>
      <c r="E24" s="49">
        <v>432</v>
      </c>
      <c r="F24" s="49">
        <v>0</v>
      </c>
      <c r="G24" s="49">
        <v>702</v>
      </c>
      <c r="H24" s="49">
        <v>54</v>
      </c>
      <c r="I24" s="49">
        <v>540</v>
      </c>
      <c r="J24" s="49">
        <v>324</v>
      </c>
      <c r="K24" s="49">
        <v>378</v>
      </c>
      <c r="L24" s="50">
        <v>0</v>
      </c>
      <c r="M24" s="67">
        <v>264</v>
      </c>
      <c r="N24" s="64">
        <v>598</v>
      </c>
      <c r="O24" s="65">
        <f t="shared" si="0"/>
        <v>4048</v>
      </c>
    </row>
    <row r="25" spans="2:15" s="66" customFormat="1" ht="15" x14ac:dyDescent="0.25">
      <c r="B25" s="62" t="s">
        <v>65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1032</v>
      </c>
      <c r="L25" s="50">
        <v>1440</v>
      </c>
      <c r="M25" s="67">
        <v>324</v>
      </c>
      <c r="N25" s="64">
        <v>432</v>
      </c>
      <c r="O25" s="65">
        <f t="shared" si="0"/>
        <v>3228</v>
      </c>
    </row>
    <row r="26" spans="2:15" s="66" customFormat="1" ht="15" x14ac:dyDescent="0.25">
      <c r="B26" s="62" t="s">
        <v>23</v>
      </c>
      <c r="C26" s="49">
        <v>197</v>
      </c>
      <c r="D26" s="49">
        <v>119</v>
      </c>
      <c r="E26" s="49">
        <v>301</v>
      </c>
      <c r="F26" s="49">
        <v>261</v>
      </c>
      <c r="G26" s="49">
        <v>216</v>
      </c>
      <c r="H26" s="49">
        <v>208</v>
      </c>
      <c r="I26" s="49">
        <v>279</v>
      </c>
      <c r="J26" s="49">
        <v>226</v>
      </c>
      <c r="K26" s="49">
        <v>199</v>
      </c>
      <c r="L26" s="50">
        <v>242</v>
      </c>
      <c r="M26" s="67">
        <v>262</v>
      </c>
      <c r="N26" s="68">
        <v>190</v>
      </c>
      <c r="O26" s="65">
        <f t="shared" si="0"/>
        <v>2700</v>
      </c>
    </row>
    <row r="27" spans="2:15" s="66" customFormat="1" ht="15" x14ac:dyDescent="0.25">
      <c r="B27" s="62" t="s">
        <v>34</v>
      </c>
      <c r="C27" s="49">
        <v>324</v>
      </c>
      <c r="D27" s="49">
        <v>54</v>
      </c>
      <c r="E27" s="49">
        <v>216</v>
      </c>
      <c r="F27" s="49">
        <v>108</v>
      </c>
      <c r="G27" s="49">
        <v>108</v>
      </c>
      <c r="H27" s="49">
        <v>54</v>
      </c>
      <c r="I27" s="49">
        <v>270</v>
      </c>
      <c r="J27" s="49">
        <v>378</v>
      </c>
      <c r="K27" s="49">
        <v>54</v>
      </c>
      <c r="L27" s="50">
        <v>111</v>
      </c>
      <c r="M27" s="67">
        <v>262</v>
      </c>
      <c r="N27" s="64">
        <v>390</v>
      </c>
      <c r="O27" s="65">
        <f t="shared" si="0"/>
        <v>2329</v>
      </c>
    </row>
    <row r="28" spans="2:15" s="66" customFormat="1" ht="15" x14ac:dyDescent="0.25">
      <c r="B28" s="62" t="s">
        <v>35</v>
      </c>
      <c r="C28" s="49">
        <v>273</v>
      </c>
      <c r="D28" s="49">
        <v>54</v>
      </c>
      <c r="E28" s="49">
        <v>108</v>
      </c>
      <c r="F28" s="49">
        <v>270</v>
      </c>
      <c r="G28" s="49">
        <v>216</v>
      </c>
      <c r="H28" s="49">
        <v>0</v>
      </c>
      <c r="I28" s="49">
        <v>270</v>
      </c>
      <c r="J28" s="49">
        <v>324</v>
      </c>
      <c r="K28" s="49">
        <v>54</v>
      </c>
      <c r="L28" s="50">
        <v>0</v>
      </c>
      <c r="M28" s="67">
        <v>234</v>
      </c>
      <c r="N28" s="64">
        <v>360</v>
      </c>
      <c r="O28" s="65">
        <f t="shared" si="0"/>
        <v>2163</v>
      </c>
    </row>
    <row r="29" spans="2:15" s="66" customFormat="1" ht="15" x14ac:dyDescent="0.25">
      <c r="B29" s="62" t="s">
        <v>30</v>
      </c>
      <c r="C29" s="49">
        <v>179</v>
      </c>
      <c r="D29" s="49">
        <v>87</v>
      </c>
      <c r="E29" s="49">
        <v>109</v>
      </c>
      <c r="F29" s="49">
        <v>283</v>
      </c>
      <c r="G29" s="49">
        <v>245</v>
      </c>
      <c r="H29" s="49">
        <v>106</v>
      </c>
      <c r="I29" s="49">
        <v>164</v>
      </c>
      <c r="J29" s="49">
        <v>104</v>
      </c>
      <c r="K29" s="49">
        <v>141</v>
      </c>
      <c r="L29" s="50">
        <v>152</v>
      </c>
      <c r="M29" s="67">
        <v>224</v>
      </c>
      <c r="N29" s="64">
        <v>213</v>
      </c>
      <c r="O29" s="65">
        <f t="shared" si="0"/>
        <v>2007</v>
      </c>
    </row>
    <row r="30" spans="2:15" s="66" customFormat="1" ht="15" x14ac:dyDescent="0.25">
      <c r="B30" s="62" t="s">
        <v>31</v>
      </c>
      <c r="C30" s="49">
        <v>93</v>
      </c>
      <c r="D30" s="49">
        <v>139</v>
      </c>
      <c r="E30" s="49">
        <v>153</v>
      </c>
      <c r="F30" s="49">
        <v>84</v>
      </c>
      <c r="G30" s="49">
        <v>130</v>
      </c>
      <c r="H30" s="49">
        <v>127</v>
      </c>
      <c r="I30" s="49">
        <v>265</v>
      </c>
      <c r="J30" s="49">
        <v>103</v>
      </c>
      <c r="K30" s="49">
        <v>97</v>
      </c>
      <c r="L30" s="50">
        <v>34</v>
      </c>
      <c r="M30" s="67">
        <v>112</v>
      </c>
      <c r="N30" s="64">
        <v>73</v>
      </c>
      <c r="O30" s="65">
        <f t="shared" si="0"/>
        <v>1410</v>
      </c>
    </row>
    <row r="31" spans="2:15" s="66" customFormat="1" ht="15" x14ac:dyDescent="0.25">
      <c r="B31" s="62" t="s">
        <v>43</v>
      </c>
      <c r="C31" s="49">
        <v>216</v>
      </c>
      <c r="D31" s="49">
        <v>108</v>
      </c>
      <c r="E31" s="49">
        <v>0</v>
      </c>
      <c r="F31" s="49">
        <v>108</v>
      </c>
      <c r="G31" s="49">
        <v>108</v>
      </c>
      <c r="H31" s="49">
        <v>126</v>
      </c>
      <c r="I31" s="49">
        <v>162</v>
      </c>
      <c r="J31" s="49">
        <v>108</v>
      </c>
      <c r="K31" s="49">
        <v>108</v>
      </c>
      <c r="L31" s="50">
        <v>54</v>
      </c>
      <c r="M31" s="67">
        <v>186</v>
      </c>
      <c r="N31" s="64">
        <v>84</v>
      </c>
      <c r="O31" s="65">
        <f t="shared" si="0"/>
        <v>1368</v>
      </c>
    </row>
    <row r="32" spans="2:15" s="66" customFormat="1" ht="15" x14ac:dyDescent="0.25">
      <c r="B32" s="62" t="s">
        <v>54</v>
      </c>
      <c r="C32" s="49">
        <v>270</v>
      </c>
      <c r="D32" s="49">
        <v>108</v>
      </c>
      <c r="E32" s="49">
        <v>108</v>
      </c>
      <c r="F32" s="49">
        <v>108</v>
      </c>
      <c r="G32" s="49">
        <v>108</v>
      </c>
      <c r="H32" s="49">
        <v>0</v>
      </c>
      <c r="I32" s="49">
        <v>216</v>
      </c>
      <c r="J32" s="49">
        <v>162</v>
      </c>
      <c r="K32" s="49">
        <v>54</v>
      </c>
      <c r="L32" s="50">
        <v>54</v>
      </c>
      <c r="M32" s="67">
        <v>108</v>
      </c>
      <c r="N32" s="64">
        <v>54</v>
      </c>
      <c r="O32" s="65">
        <f t="shared" si="0"/>
        <v>1350</v>
      </c>
    </row>
    <row r="33" spans="1:15" s="66" customFormat="1" ht="15" x14ac:dyDescent="0.25">
      <c r="B33" s="62" t="s">
        <v>33</v>
      </c>
      <c r="C33" s="49">
        <v>0</v>
      </c>
      <c r="D33" s="49">
        <v>200</v>
      </c>
      <c r="E33" s="49">
        <v>200</v>
      </c>
      <c r="F33" s="49">
        <v>0</v>
      </c>
      <c r="G33" s="49">
        <v>0</v>
      </c>
      <c r="H33" s="49">
        <v>200</v>
      </c>
      <c r="I33" s="49">
        <v>100</v>
      </c>
      <c r="J33" s="49">
        <v>200</v>
      </c>
      <c r="K33" s="49">
        <v>100</v>
      </c>
      <c r="L33" s="50">
        <v>0</v>
      </c>
      <c r="M33" s="49">
        <v>300</v>
      </c>
      <c r="N33" s="51">
        <v>0</v>
      </c>
      <c r="O33" s="65">
        <f t="shared" si="0"/>
        <v>1300</v>
      </c>
    </row>
    <row r="34" spans="1:15" s="66" customFormat="1" ht="15" x14ac:dyDescent="0.25">
      <c r="B34" s="62" t="s">
        <v>58</v>
      </c>
      <c r="C34" s="49">
        <v>84</v>
      </c>
      <c r="D34" s="49">
        <v>108</v>
      </c>
      <c r="E34" s="49">
        <v>108</v>
      </c>
      <c r="F34" s="49">
        <v>0</v>
      </c>
      <c r="G34" s="49">
        <v>54</v>
      </c>
      <c r="H34" s="49">
        <v>54</v>
      </c>
      <c r="I34" s="49">
        <v>162</v>
      </c>
      <c r="J34" s="49">
        <v>108</v>
      </c>
      <c r="K34" s="49">
        <v>54</v>
      </c>
      <c r="L34" s="50">
        <v>108</v>
      </c>
      <c r="M34" s="67">
        <v>156</v>
      </c>
      <c r="N34" s="64">
        <v>162</v>
      </c>
      <c r="O34" s="65">
        <f t="shared" si="0"/>
        <v>1158</v>
      </c>
    </row>
    <row r="35" spans="1:15" ht="15" x14ac:dyDescent="0.25">
      <c r="A35" s="66"/>
      <c r="B35" s="62" t="s">
        <v>95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133</v>
      </c>
      <c r="L35" s="50">
        <v>656</v>
      </c>
      <c r="M35" s="49">
        <v>285</v>
      </c>
      <c r="N35" s="52">
        <v>0</v>
      </c>
      <c r="O35" s="65">
        <f t="shared" si="0"/>
        <v>1074</v>
      </c>
    </row>
    <row r="36" spans="1:15" s="66" customFormat="1" ht="15" x14ac:dyDescent="0.25">
      <c r="B36" s="62" t="s">
        <v>45</v>
      </c>
      <c r="C36" s="49">
        <v>66</v>
      </c>
      <c r="D36" s="49">
        <v>108</v>
      </c>
      <c r="E36" s="49">
        <v>0</v>
      </c>
      <c r="F36" s="49">
        <v>54</v>
      </c>
      <c r="G36" s="49">
        <v>54</v>
      </c>
      <c r="H36" s="49">
        <v>54</v>
      </c>
      <c r="I36" s="49">
        <v>0</v>
      </c>
      <c r="J36" s="49">
        <v>162</v>
      </c>
      <c r="K36" s="49">
        <v>54</v>
      </c>
      <c r="L36" s="50">
        <v>108</v>
      </c>
      <c r="M36" s="67">
        <v>108</v>
      </c>
      <c r="N36" s="68">
        <v>162</v>
      </c>
      <c r="O36" s="65">
        <f t="shared" si="0"/>
        <v>930</v>
      </c>
    </row>
    <row r="37" spans="1:15" s="66" customFormat="1" ht="15" x14ac:dyDescent="0.25">
      <c r="B37" s="62" t="s">
        <v>40</v>
      </c>
      <c r="C37" s="49">
        <v>54</v>
      </c>
      <c r="D37" s="49">
        <v>0</v>
      </c>
      <c r="E37" s="49">
        <v>54</v>
      </c>
      <c r="F37" s="49">
        <v>0</v>
      </c>
      <c r="G37" s="49">
        <v>0</v>
      </c>
      <c r="H37" s="49">
        <v>0</v>
      </c>
      <c r="I37" s="49">
        <v>108</v>
      </c>
      <c r="J37" s="49">
        <v>108</v>
      </c>
      <c r="K37" s="49">
        <v>54</v>
      </c>
      <c r="L37" s="50">
        <v>108</v>
      </c>
      <c r="M37" s="67">
        <v>162</v>
      </c>
      <c r="N37" s="64">
        <v>108</v>
      </c>
      <c r="O37" s="65">
        <f t="shared" si="0"/>
        <v>756</v>
      </c>
    </row>
    <row r="38" spans="1:15" s="66" customFormat="1" ht="15" x14ac:dyDescent="0.25">
      <c r="B38" s="62" t="s">
        <v>44</v>
      </c>
      <c r="C38" s="49">
        <v>0</v>
      </c>
      <c r="D38" s="49">
        <v>162</v>
      </c>
      <c r="E38" s="49">
        <v>54</v>
      </c>
      <c r="F38" s="49">
        <v>0</v>
      </c>
      <c r="G38" s="49">
        <v>54</v>
      </c>
      <c r="H38" s="49">
        <v>54</v>
      </c>
      <c r="I38" s="49">
        <v>108</v>
      </c>
      <c r="J38" s="49">
        <v>108</v>
      </c>
      <c r="K38" s="49">
        <v>54</v>
      </c>
      <c r="L38" s="50">
        <v>0</v>
      </c>
      <c r="M38" s="67">
        <v>138</v>
      </c>
      <c r="N38" s="68">
        <v>24</v>
      </c>
      <c r="O38" s="65">
        <f t="shared" si="0"/>
        <v>756</v>
      </c>
    </row>
    <row r="39" spans="1:15" s="66" customFormat="1" ht="15" x14ac:dyDescent="0.25">
      <c r="B39" s="62" t="s">
        <v>57</v>
      </c>
      <c r="C39" s="49">
        <v>108</v>
      </c>
      <c r="D39" s="49">
        <v>54</v>
      </c>
      <c r="E39" s="49">
        <v>0</v>
      </c>
      <c r="F39" s="49">
        <v>0</v>
      </c>
      <c r="G39" s="49">
        <v>0</v>
      </c>
      <c r="H39" s="49">
        <v>54</v>
      </c>
      <c r="I39" s="49">
        <v>0</v>
      </c>
      <c r="J39" s="49">
        <v>54</v>
      </c>
      <c r="K39" s="49">
        <v>54</v>
      </c>
      <c r="L39" s="50">
        <v>0</v>
      </c>
      <c r="M39" s="67">
        <v>54</v>
      </c>
      <c r="N39" s="64">
        <v>0</v>
      </c>
      <c r="O39" s="65">
        <f t="shared" si="0"/>
        <v>378</v>
      </c>
    </row>
    <row r="40" spans="1:15" s="66" customFormat="1" ht="15" x14ac:dyDescent="0.25">
      <c r="B40" s="62" t="s">
        <v>32</v>
      </c>
      <c r="C40" s="49">
        <v>0</v>
      </c>
      <c r="D40" s="49">
        <v>3</v>
      </c>
      <c r="E40" s="49">
        <v>0</v>
      </c>
      <c r="F40" s="49">
        <v>5</v>
      </c>
      <c r="G40" s="49">
        <v>12</v>
      </c>
      <c r="H40" s="49">
        <v>8</v>
      </c>
      <c r="I40" s="49">
        <v>84</v>
      </c>
      <c r="J40" s="49">
        <v>30</v>
      </c>
      <c r="K40" s="49">
        <v>24</v>
      </c>
      <c r="L40" s="50">
        <v>62</v>
      </c>
      <c r="M40" s="67">
        <v>40</v>
      </c>
      <c r="N40" s="68">
        <v>58</v>
      </c>
      <c r="O40" s="65">
        <f t="shared" si="0"/>
        <v>326</v>
      </c>
    </row>
    <row r="41" spans="1:15" s="66" customFormat="1" ht="15" x14ac:dyDescent="0.25">
      <c r="B41" s="62" t="s">
        <v>61</v>
      </c>
      <c r="C41" s="49">
        <v>54</v>
      </c>
      <c r="D41" s="49">
        <v>54</v>
      </c>
      <c r="E41" s="49">
        <v>0</v>
      </c>
      <c r="F41" s="49">
        <v>0</v>
      </c>
      <c r="G41" s="49">
        <v>0</v>
      </c>
      <c r="H41" s="49">
        <v>0</v>
      </c>
      <c r="I41" s="49">
        <v>54</v>
      </c>
      <c r="J41" s="49">
        <v>54</v>
      </c>
      <c r="K41" s="49">
        <v>0</v>
      </c>
      <c r="L41" s="50">
        <v>0</v>
      </c>
      <c r="M41" s="67">
        <v>54</v>
      </c>
      <c r="N41" s="68">
        <v>54</v>
      </c>
      <c r="O41" s="65">
        <f t="shared" si="0"/>
        <v>324</v>
      </c>
    </row>
    <row r="42" spans="1:15" s="66" customFormat="1" ht="15" x14ac:dyDescent="0.25">
      <c r="B42" s="62" t="s">
        <v>62</v>
      </c>
      <c r="C42" s="49">
        <v>5</v>
      </c>
      <c r="D42" s="49">
        <v>0</v>
      </c>
      <c r="E42" s="49">
        <v>15</v>
      </c>
      <c r="F42" s="49">
        <v>10</v>
      </c>
      <c r="G42" s="49">
        <v>10</v>
      </c>
      <c r="H42" s="49">
        <v>0</v>
      </c>
      <c r="I42" s="49">
        <v>10</v>
      </c>
      <c r="J42" s="49">
        <v>20</v>
      </c>
      <c r="K42" s="49">
        <v>0</v>
      </c>
      <c r="L42" s="50">
        <v>10</v>
      </c>
      <c r="M42" s="49">
        <v>170</v>
      </c>
      <c r="N42" s="52">
        <v>0</v>
      </c>
      <c r="O42" s="65">
        <f t="shared" si="0"/>
        <v>250</v>
      </c>
    </row>
    <row r="43" spans="1:15" s="66" customFormat="1" ht="15" x14ac:dyDescent="0.25">
      <c r="B43" s="62" t="s">
        <v>66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50">
        <v>83</v>
      </c>
      <c r="M43" s="49">
        <v>0</v>
      </c>
      <c r="N43" s="51">
        <v>0</v>
      </c>
      <c r="O43" s="65">
        <f t="shared" si="0"/>
        <v>83</v>
      </c>
    </row>
    <row r="44" spans="1:15" s="66" customFormat="1" ht="15" x14ac:dyDescent="0.25">
      <c r="B44" s="62" t="s">
        <v>41</v>
      </c>
      <c r="C44" s="49">
        <v>0</v>
      </c>
      <c r="D44" s="49">
        <v>30</v>
      </c>
      <c r="E44" s="49">
        <v>2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50">
        <v>0</v>
      </c>
      <c r="M44" s="49">
        <v>0</v>
      </c>
      <c r="N44" s="51">
        <v>0</v>
      </c>
      <c r="O44" s="65">
        <f t="shared" si="0"/>
        <v>32</v>
      </c>
    </row>
    <row r="45" spans="1:15" s="66" customFormat="1" ht="15" x14ac:dyDescent="0.25">
      <c r="B45" s="62" t="s">
        <v>46</v>
      </c>
      <c r="C45" s="49">
        <v>0</v>
      </c>
      <c r="D45" s="49">
        <v>0</v>
      </c>
      <c r="E45" s="49">
        <v>30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50">
        <v>0</v>
      </c>
      <c r="M45" s="49">
        <v>0</v>
      </c>
      <c r="N45" s="51">
        <v>0</v>
      </c>
      <c r="O45" s="65">
        <f t="shared" si="0"/>
        <v>30</v>
      </c>
    </row>
    <row r="46" spans="1:15" s="66" customFormat="1" ht="15.75" thickBot="1" x14ac:dyDescent="0.3">
      <c r="B46" s="62"/>
      <c r="C46" s="49"/>
      <c r="D46" s="49"/>
      <c r="E46" s="49"/>
      <c r="F46" s="49"/>
      <c r="G46" s="49"/>
      <c r="H46" s="49"/>
      <c r="I46" s="49"/>
      <c r="J46" s="49"/>
      <c r="K46" s="49"/>
      <c r="L46" s="50"/>
      <c r="M46" s="69"/>
      <c r="N46" s="64"/>
      <c r="O46" s="65"/>
    </row>
    <row r="47" spans="1:15" ht="15.75" thickBot="1" x14ac:dyDescent="0.3">
      <c r="B47" s="60" t="s">
        <v>81</v>
      </c>
      <c r="C47" s="70">
        <f t="shared" ref="C47:O47" si="1">SUM(C8:C45)</f>
        <v>20906</v>
      </c>
      <c r="D47" s="70">
        <f t="shared" si="1"/>
        <v>14324</v>
      </c>
      <c r="E47" s="70">
        <f t="shared" si="1"/>
        <v>24141</v>
      </c>
      <c r="F47" s="70">
        <f t="shared" si="1"/>
        <v>22333</v>
      </c>
      <c r="G47" s="70">
        <f t="shared" si="1"/>
        <v>26064</v>
      </c>
      <c r="H47" s="70">
        <f t="shared" si="1"/>
        <v>25169</v>
      </c>
      <c r="I47" s="70">
        <f t="shared" si="1"/>
        <v>41180</v>
      </c>
      <c r="J47" s="70">
        <f t="shared" si="1"/>
        <v>37575</v>
      </c>
      <c r="K47" s="70">
        <f t="shared" si="1"/>
        <v>39468</v>
      </c>
      <c r="L47" s="70">
        <f t="shared" si="1"/>
        <v>36089</v>
      </c>
      <c r="M47" s="71">
        <f t="shared" si="1"/>
        <v>42597.2</v>
      </c>
      <c r="N47" s="70">
        <f t="shared" si="1"/>
        <v>47840</v>
      </c>
      <c r="O47" s="70">
        <f t="shared" si="1"/>
        <v>377686.2</v>
      </c>
    </row>
    <row r="51" spans="15:15" ht="15" x14ac:dyDescent="0.25">
      <c r="O51" s="56"/>
    </row>
  </sheetData>
  <mergeCells count="3">
    <mergeCell ref="B2:O2"/>
    <mergeCell ref="B3:O3"/>
    <mergeCell ref="B4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showGridLines="0" topLeftCell="A25" workbookViewId="0">
      <selection activeCell="D18" sqref="D18"/>
    </sheetView>
  </sheetViews>
  <sheetFormatPr baseColWidth="10" defaultColWidth="9.140625" defaultRowHeight="15" x14ac:dyDescent="0.25"/>
  <cols>
    <col min="1" max="1" width="5.42578125" style="22" customWidth="1"/>
    <col min="2" max="2" width="36.7109375" style="22" bestFit="1" customWidth="1"/>
    <col min="3" max="10" width="9.85546875" style="22" customWidth="1"/>
    <col min="11" max="11" width="11.42578125" style="22" bestFit="1" customWidth="1"/>
    <col min="12" max="12" width="9.85546875" style="22" customWidth="1"/>
    <col min="13" max="13" width="11.140625" style="22" bestFit="1" customWidth="1"/>
    <col min="14" max="14" width="9.85546875" style="22" customWidth="1"/>
    <col min="15" max="15" width="10.5703125" style="22" bestFit="1" customWidth="1"/>
    <col min="16" max="16384" width="9.140625" style="22"/>
  </cols>
  <sheetData>
    <row r="2" spans="2:15" x14ac:dyDescent="0.25">
      <c r="B2" s="148" t="s">
        <v>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 spans="2:15" x14ac:dyDescent="0.25">
      <c r="B3" s="148" t="s">
        <v>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</row>
    <row r="4" spans="2:15" x14ac:dyDescent="0.25">
      <c r="B4" s="148" t="s">
        <v>76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</row>
    <row r="5" spans="2:15" ht="15.75" thickBot="1" x14ac:dyDescent="0.3">
      <c r="B5" s="24"/>
    </row>
    <row r="6" spans="2:15" ht="15.75" thickBot="1" x14ac:dyDescent="0.3">
      <c r="B6" s="14" t="s">
        <v>3</v>
      </c>
      <c r="C6" s="31" t="s">
        <v>4</v>
      </c>
      <c r="D6" s="31" t="s">
        <v>5</v>
      </c>
      <c r="E6" s="31" t="s">
        <v>6</v>
      </c>
      <c r="F6" s="31" t="s">
        <v>7</v>
      </c>
      <c r="G6" s="31" t="s">
        <v>8</v>
      </c>
      <c r="H6" s="31" t="s">
        <v>9</v>
      </c>
      <c r="I6" s="31" t="s">
        <v>10</v>
      </c>
      <c r="J6" s="31" t="s">
        <v>11</v>
      </c>
      <c r="K6" s="31" t="s">
        <v>12</v>
      </c>
      <c r="L6" s="31" t="s">
        <v>13</v>
      </c>
      <c r="M6" s="31" t="s">
        <v>14</v>
      </c>
      <c r="N6" s="37" t="s">
        <v>15</v>
      </c>
      <c r="O6" s="40" t="s">
        <v>79</v>
      </c>
    </row>
    <row r="7" spans="2:15" x14ac:dyDescent="0.25">
      <c r="B7" s="41" t="s">
        <v>49</v>
      </c>
      <c r="C7" s="27">
        <v>4339</v>
      </c>
      <c r="D7" s="27">
        <v>4289</v>
      </c>
      <c r="E7" s="27">
        <v>1917</v>
      </c>
      <c r="F7" s="27">
        <v>0</v>
      </c>
      <c r="G7" s="27">
        <v>0</v>
      </c>
      <c r="H7" s="27">
        <v>0</v>
      </c>
      <c r="I7" s="27">
        <v>0</v>
      </c>
      <c r="J7" s="27">
        <v>124</v>
      </c>
      <c r="K7" s="27">
        <v>137</v>
      </c>
      <c r="L7" s="27">
        <v>1081</v>
      </c>
      <c r="M7" s="27">
        <v>2120</v>
      </c>
      <c r="N7" s="42">
        <v>5333</v>
      </c>
      <c r="O7" s="43">
        <f t="shared" ref="O7:O50" si="0">SUM(C7:N7)</f>
        <v>19340</v>
      </c>
    </row>
    <row r="8" spans="2:15" x14ac:dyDescent="0.25">
      <c r="B8" s="41" t="s">
        <v>16</v>
      </c>
      <c r="C8" s="27">
        <v>3063</v>
      </c>
      <c r="D8" s="27">
        <v>3126</v>
      </c>
      <c r="E8" s="27">
        <v>1815</v>
      </c>
      <c r="F8" s="27">
        <v>46</v>
      </c>
      <c r="G8" s="27">
        <v>303</v>
      </c>
      <c r="H8" s="27">
        <v>353</v>
      </c>
      <c r="I8" s="27">
        <v>453</v>
      </c>
      <c r="J8" s="27">
        <v>795</v>
      </c>
      <c r="K8" s="27">
        <v>1650</v>
      </c>
      <c r="L8" s="27">
        <v>2614</v>
      </c>
      <c r="M8" s="27">
        <v>1310</v>
      </c>
      <c r="N8" s="42">
        <v>2634</v>
      </c>
      <c r="O8" s="44">
        <f t="shared" si="0"/>
        <v>18162</v>
      </c>
    </row>
    <row r="9" spans="2:15" x14ac:dyDescent="0.25">
      <c r="B9" s="41" t="s">
        <v>28</v>
      </c>
      <c r="C9" s="27">
        <v>2953</v>
      </c>
      <c r="D9" s="27">
        <v>2678</v>
      </c>
      <c r="E9" s="27">
        <v>1800</v>
      </c>
      <c r="F9" s="27">
        <v>177</v>
      </c>
      <c r="G9" s="27">
        <v>378</v>
      </c>
      <c r="H9" s="27">
        <v>646</v>
      </c>
      <c r="I9" s="27">
        <v>451</v>
      </c>
      <c r="J9" s="27">
        <v>944</v>
      </c>
      <c r="K9" s="27">
        <v>963</v>
      </c>
      <c r="L9" s="27">
        <v>1966</v>
      </c>
      <c r="M9" s="27">
        <v>1078</v>
      </c>
      <c r="N9" s="42">
        <v>1698</v>
      </c>
      <c r="O9" s="44">
        <f t="shared" si="0"/>
        <v>15732</v>
      </c>
    </row>
    <row r="10" spans="2:15" x14ac:dyDescent="0.25">
      <c r="B10" s="41" t="s">
        <v>19</v>
      </c>
      <c r="C10" s="27">
        <v>2264</v>
      </c>
      <c r="D10" s="27">
        <v>2498</v>
      </c>
      <c r="E10" s="27">
        <v>1150</v>
      </c>
      <c r="F10" s="27">
        <v>155</v>
      </c>
      <c r="G10" s="27">
        <v>310</v>
      </c>
      <c r="H10" s="27">
        <v>560</v>
      </c>
      <c r="I10" s="27">
        <v>404</v>
      </c>
      <c r="J10" s="27">
        <v>779</v>
      </c>
      <c r="K10" s="27">
        <v>529</v>
      </c>
      <c r="L10" s="27">
        <v>1153</v>
      </c>
      <c r="M10" s="27">
        <v>675</v>
      </c>
      <c r="N10" s="42">
        <v>893</v>
      </c>
      <c r="O10" s="44">
        <f t="shared" si="0"/>
        <v>11370</v>
      </c>
    </row>
    <row r="11" spans="2:15" x14ac:dyDescent="0.25">
      <c r="B11" s="41" t="s">
        <v>53</v>
      </c>
      <c r="C11" s="27">
        <v>3711</v>
      </c>
      <c r="D11" s="27">
        <v>1527</v>
      </c>
      <c r="E11" s="27">
        <v>1164</v>
      </c>
      <c r="F11" s="27">
        <v>0</v>
      </c>
      <c r="G11" s="27">
        <v>0</v>
      </c>
      <c r="H11" s="27">
        <v>0</v>
      </c>
      <c r="I11" s="27">
        <v>0</v>
      </c>
      <c r="J11" s="27">
        <v>432</v>
      </c>
      <c r="K11" s="27">
        <v>0</v>
      </c>
      <c r="L11" s="27">
        <v>600</v>
      </c>
      <c r="M11" s="27">
        <v>600</v>
      </c>
      <c r="N11" s="42">
        <v>1752</v>
      </c>
      <c r="O11" s="44">
        <f t="shared" si="0"/>
        <v>9786</v>
      </c>
    </row>
    <row r="12" spans="2:15" x14ac:dyDescent="0.25">
      <c r="B12" s="41" t="s">
        <v>17</v>
      </c>
      <c r="C12" s="27">
        <v>1989</v>
      </c>
      <c r="D12" s="27">
        <v>1813</v>
      </c>
      <c r="E12" s="27">
        <v>816</v>
      </c>
      <c r="F12" s="27">
        <v>158</v>
      </c>
      <c r="G12" s="27">
        <v>393</v>
      </c>
      <c r="H12" s="27">
        <v>541</v>
      </c>
      <c r="I12" s="27">
        <v>484</v>
      </c>
      <c r="J12" s="27">
        <v>426</v>
      </c>
      <c r="K12" s="27">
        <v>564</v>
      </c>
      <c r="L12" s="27">
        <v>667</v>
      </c>
      <c r="M12" s="27">
        <v>550</v>
      </c>
      <c r="N12" s="42">
        <v>820</v>
      </c>
      <c r="O12" s="44">
        <f t="shared" si="0"/>
        <v>9221</v>
      </c>
    </row>
    <row r="13" spans="2:15" x14ac:dyDescent="0.25">
      <c r="B13" s="41" t="s">
        <v>20</v>
      </c>
      <c r="C13" s="27">
        <v>1670</v>
      </c>
      <c r="D13" s="27">
        <v>1611</v>
      </c>
      <c r="E13" s="27">
        <v>644</v>
      </c>
      <c r="F13" s="27">
        <v>11</v>
      </c>
      <c r="G13" s="27">
        <v>7</v>
      </c>
      <c r="H13" s="27">
        <v>24</v>
      </c>
      <c r="I13" s="27">
        <v>51</v>
      </c>
      <c r="J13" s="27">
        <v>584</v>
      </c>
      <c r="K13" s="27">
        <v>834</v>
      </c>
      <c r="L13" s="27">
        <v>1297</v>
      </c>
      <c r="M13" s="27">
        <v>1233</v>
      </c>
      <c r="N13" s="42">
        <v>907</v>
      </c>
      <c r="O13" s="44">
        <f t="shared" si="0"/>
        <v>8873</v>
      </c>
    </row>
    <row r="14" spans="2:15" x14ac:dyDescent="0.25">
      <c r="B14" s="41" t="s">
        <v>51</v>
      </c>
      <c r="C14" s="27">
        <v>1817</v>
      </c>
      <c r="D14" s="27">
        <v>2170</v>
      </c>
      <c r="E14" s="27">
        <v>805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86</v>
      </c>
      <c r="L14" s="27">
        <v>519</v>
      </c>
      <c r="M14" s="27">
        <v>806</v>
      </c>
      <c r="N14" s="42">
        <v>1911</v>
      </c>
      <c r="O14" s="44">
        <f t="shared" si="0"/>
        <v>8114</v>
      </c>
    </row>
    <row r="15" spans="2:15" x14ac:dyDescent="0.25">
      <c r="B15" s="41" t="s">
        <v>22</v>
      </c>
      <c r="C15" s="27">
        <v>1149</v>
      </c>
      <c r="D15" s="27">
        <v>1388</v>
      </c>
      <c r="E15" s="27">
        <v>555</v>
      </c>
      <c r="F15" s="27">
        <v>190</v>
      </c>
      <c r="G15" s="27">
        <v>184</v>
      </c>
      <c r="H15" s="27">
        <v>234</v>
      </c>
      <c r="I15" s="27">
        <v>173</v>
      </c>
      <c r="J15" s="27">
        <v>857</v>
      </c>
      <c r="K15" s="27">
        <v>411</v>
      </c>
      <c r="L15" s="27">
        <v>904</v>
      </c>
      <c r="M15" s="27">
        <v>458</v>
      </c>
      <c r="N15" s="42">
        <v>435</v>
      </c>
      <c r="O15" s="44">
        <f t="shared" si="0"/>
        <v>6938</v>
      </c>
    </row>
    <row r="16" spans="2:15" x14ac:dyDescent="0.25">
      <c r="B16" s="41" t="s">
        <v>25</v>
      </c>
      <c r="C16" s="27">
        <v>1383</v>
      </c>
      <c r="D16" s="27">
        <v>1401</v>
      </c>
      <c r="E16" s="27">
        <v>808</v>
      </c>
      <c r="F16" s="27">
        <v>30</v>
      </c>
      <c r="G16" s="27">
        <v>334</v>
      </c>
      <c r="H16" s="27">
        <v>469</v>
      </c>
      <c r="I16" s="27">
        <v>274</v>
      </c>
      <c r="J16" s="27">
        <v>396</v>
      </c>
      <c r="K16" s="27">
        <v>266</v>
      </c>
      <c r="L16" s="27">
        <v>540</v>
      </c>
      <c r="M16" s="27">
        <v>274</v>
      </c>
      <c r="N16" s="42">
        <v>683</v>
      </c>
      <c r="O16" s="44">
        <f t="shared" si="0"/>
        <v>6858</v>
      </c>
    </row>
    <row r="17" spans="2:15" x14ac:dyDescent="0.25">
      <c r="B17" s="41" t="s">
        <v>18</v>
      </c>
      <c r="C17" s="27">
        <v>1201</v>
      </c>
      <c r="D17" s="27">
        <v>1185</v>
      </c>
      <c r="E17" s="27">
        <v>242</v>
      </c>
      <c r="F17" s="27">
        <v>0</v>
      </c>
      <c r="G17" s="27">
        <v>6</v>
      </c>
      <c r="H17" s="27">
        <v>23</v>
      </c>
      <c r="I17" s="27">
        <v>34</v>
      </c>
      <c r="J17" s="27">
        <v>511</v>
      </c>
      <c r="K17" s="27">
        <v>605</v>
      </c>
      <c r="L17" s="27">
        <v>1245</v>
      </c>
      <c r="M17" s="27">
        <v>157</v>
      </c>
      <c r="N17" s="42">
        <v>370</v>
      </c>
      <c r="O17" s="44">
        <f t="shared" si="0"/>
        <v>5579</v>
      </c>
    </row>
    <row r="18" spans="2:15" x14ac:dyDescent="0.25">
      <c r="B18" s="41" t="s">
        <v>21</v>
      </c>
      <c r="C18" s="27">
        <v>1151</v>
      </c>
      <c r="D18" s="27">
        <v>1018</v>
      </c>
      <c r="E18" s="27">
        <v>652</v>
      </c>
      <c r="F18" s="27">
        <v>72</v>
      </c>
      <c r="G18" s="27">
        <v>52</v>
      </c>
      <c r="H18" s="27">
        <v>223</v>
      </c>
      <c r="I18" s="27">
        <v>99</v>
      </c>
      <c r="J18" s="27">
        <v>326</v>
      </c>
      <c r="K18" s="27">
        <v>181</v>
      </c>
      <c r="L18" s="27">
        <v>550</v>
      </c>
      <c r="M18" s="27">
        <v>220</v>
      </c>
      <c r="N18" s="42">
        <v>551</v>
      </c>
      <c r="O18" s="44">
        <f t="shared" si="0"/>
        <v>5095</v>
      </c>
    </row>
    <row r="19" spans="2:15" x14ac:dyDescent="0.25">
      <c r="B19" s="41" t="s">
        <v>24</v>
      </c>
      <c r="C19" s="27">
        <v>813</v>
      </c>
      <c r="D19" s="27">
        <v>628</v>
      </c>
      <c r="E19" s="27">
        <v>519</v>
      </c>
      <c r="F19" s="27">
        <v>145</v>
      </c>
      <c r="G19" s="27">
        <v>117</v>
      </c>
      <c r="H19" s="27">
        <v>162</v>
      </c>
      <c r="I19" s="27">
        <v>220</v>
      </c>
      <c r="J19" s="27">
        <v>321</v>
      </c>
      <c r="K19" s="27">
        <v>439</v>
      </c>
      <c r="L19" s="27">
        <v>562</v>
      </c>
      <c r="M19" s="27">
        <v>293</v>
      </c>
      <c r="N19" s="42">
        <v>381</v>
      </c>
      <c r="O19" s="44">
        <f t="shared" si="0"/>
        <v>4600</v>
      </c>
    </row>
    <row r="20" spans="2:15" x14ac:dyDescent="0.25">
      <c r="B20" s="41" t="s">
        <v>26</v>
      </c>
      <c r="C20" s="27">
        <v>458</v>
      </c>
      <c r="D20" s="27">
        <v>476</v>
      </c>
      <c r="E20" s="27">
        <v>440</v>
      </c>
      <c r="F20" s="27">
        <v>30</v>
      </c>
      <c r="G20" s="27">
        <v>131</v>
      </c>
      <c r="H20" s="27">
        <v>324</v>
      </c>
      <c r="I20" s="27">
        <v>215</v>
      </c>
      <c r="J20" s="27">
        <v>247</v>
      </c>
      <c r="K20" s="27">
        <v>306</v>
      </c>
      <c r="L20" s="27">
        <v>429</v>
      </c>
      <c r="M20" s="27">
        <v>156</v>
      </c>
      <c r="N20" s="42">
        <v>322</v>
      </c>
      <c r="O20" s="44">
        <f t="shared" si="0"/>
        <v>3534</v>
      </c>
    </row>
    <row r="21" spans="2:15" x14ac:dyDescent="0.25">
      <c r="B21" s="41" t="s">
        <v>50</v>
      </c>
      <c r="C21" s="27">
        <v>378</v>
      </c>
      <c r="D21" s="27">
        <v>613</v>
      </c>
      <c r="E21" s="27">
        <v>150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56</v>
      </c>
      <c r="L21" s="27">
        <v>398</v>
      </c>
      <c r="M21" s="27">
        <v>736</v>
      </c>
      <c r="N21" s="42">
        <v>1200</v>
      </c>
      <c r="O21" s="44">
        <f t="shared" si="0"/>
        <v>3531</v>
      </c>
    </row>
    <row r="22" spans="2:15" s="35" customFormat="1" x14ac:dyDescent="0.25">
      <c r="B22" s="36" t="s">
        <v>94</v>
      </c>
      <c r="C22" s="27">
        <v>0</v>
      </c>
      <c r="D22" s="27">
        <v>262</v>
      </c>
      <c r="E22" s="27">
        <v>100</v>
      </c>
      <c r="F22" s="27">
        <v>0</v>
      </c>
      <c r="G22" s="27">
        <f>+(130)*1.9</f>
        <v>247</v>
      </c>
      <c r="H22" s="27">
        <f>+(150)*1.9</f>
        <v>285</v>
      </c>
      <c r="I22" s="27">
        <v>0</v>
      </c>
      <c r="J22" s="27">
        <f>+(200)*1.9</f>
        <v>380</v>
      </c>
      <c r="K22" s="27">
        <f>+(240)*1.9</f>
        <v>456</v>
      </c>
      <c r="L22" s="27">
        <v>0</v>
      </c>
      <c r="M22" s="27">
        <f>+(330)*1.9</f>
        <v>627</v>
      </c>
      <c r="N22" s="42">
        <f>+(300)*1.9</f>
        <v>570</v>
      </c>
      <c r="O22" s="27">
        <f t="shared" si="0"/>
        <v>2927</v>
      </c>
    </row>
    <row r="23" spans="2:15" x14ac:dyDescent="0.25">
      <c r="B23" s="41" t="s">
        <v>52</v>
      </c>
      <c r="C23" s="27">
        <v>1040</v>
      </c>
      <c r="D23" s="27">
        <v>1260</v>
      </c>
      <c r="E23" s="27">
        <v>505</v>
      </c>
      <c r="F23" s="27">
        <v>0</v>
      </c>
      <c r="G23" s="27">
        <v>0</v>
      </c>
      <c r="H23" s="27">
        <v>0</v>
      </c>
      <c r="I23" s="27">
        <v>0</v>
      </c>
      <c r="J23" s="27">
        <v>50</v>
      </c>
      <c r="K23" s="27">
        <v>11</v>
      </c>
      <c r="L23" s="27">
        <v>22</v>
      </c>
      <c r="M23" s="27">
        <v>0</v>
      </c>
      <c r="N23" s="42">
        <v>4</v>
      </c>
      <c r="O23" s="44">
        <f t="shared" si="0"/>
        <v>2892</v>
      </c>
    </row>
    <row r="24" spans="2:15" x14ac:dyDescent="0.25">
      <c r="B24" s="41" t="s">
        <v>23</v>
      </c>
      <c r="C24" s="27">
        <v>366</v>
      </c>
      <c r="D24" s="27">
        <v>355</v>
      </c>
      <c r="E24" s="27">
        <v>367</v>
      </c>
      <c r="F24" s="27">
        <v>120</v>
      </c>
      <c r="G24" s="27">
        <v>185</v>
      </c>
      <c r="H24" s="27">
        <v>348</v>
      </c>
      <c r="I24" s="27">
        <v>225</v>
      </c>
      <c r="J24" s="27">
        <v>197</v>
      </c>
      <c r="K24" s="27">
        <v>50</v>
      </c>
      <c r="L24" s="27">
        <v>236</v>
      </c>
      <c r="M24" s="27">
        <v>201</v>
      </c>
      <c r="N24" s="42">
        <v>128</v>
      </c>
      <c r="O24" s="44">
        <f t="shared" si="0"/>
        <v>2778</v>
      </c>
    </row>
    <row r="25" spans="2:15" x14ac:dyDescent="0.25">
      <c r="B25" s="41" t="s">
        <v>55</v>
      </c>
      <c r="C25" s="27">
        <v>650</v>
      </c>
      <c r="D25" s="27">
        <v>200</v>
      </c>
      <c r="E25" s="27">
        <v>50</v>
      </c>
      <c r="F25" s="27">
        <v>0</v>
      </c>
      <c r="G25" s="27">
        <v>0</v>
      </c>
      <c r="H25" s="27">
        <v>0</v>
      </c>
      <c r="I25" s="27">
        <v>0</v>
      </c>
      <c r="J25" s="27">
        <v>350</v>
      </c>
      <c r="K25" s="27">
        <v>500</v>
      </c>
      <c r="L25" s="27">
        <v>369</v>
      </c>
      <c r="M25" s="27">
        <v>216</v>
      </c>
      <c r="N25" s="42">
        <v>342</v>
      </c>
      <c r="O25" s="44">
        <f t="shared" si="0"/>
        <v>2677</v>
      </c>
    </row>
    <row r="26" spans="2:15" x14ac:dyDescent="0.25">
      <c r="B26" s="41" t="s">
        <v>42</v>
      </c>
      <c r="C26" s="27">
        <v>800</v>
      </c>
      <c r="D26" s="27">
        <v>250</v>
      </c>
      <c r="E26" s="27">
        <v>100</v>
      </c>
      <c r="F26" s="27">
        <v>0</v>
      </c>
      <c r="G26" s="27">
        <v>0</v>
      </c>
      <c r="H26" s="27">
        <v>0</v>
      </c>
      <c r="I26" s="27">
        <v>0</v>
      </c>
      <c r="J26" s="27">
        <v>200</v>
      </c>
      <c r="K26" s="27">
        <v>450</v>
      </c>
      <c r="L26" s="27">
        <v>264</v>
      </c>
      <c r="M26" s="27">
        <v>216</v>
      </c>
      <c r="N26" s="42">
        <v>306</v>
      </c>
      <c r="O26" s="44">
        <f t="shared" si="0"/>
        <v>2586</v>
      </c>
    </row>
    <row r="27" spans="2:15" x14ac:dyDescent="0.25">
      <c r="B27" s="41" t="s">
        <v>29</v>
      </c>
      <c r="C27" s="27">
        <v>401</v>
      </c>
      <c r="D27" s="27">
        <v>462</v>
      </c>
      <c r="E27" s="27">
        <v>265</v>
      </c>
      <c r="F27" s="27">
        <v>0</v>
      </c>
      <c r="G27" s="27">
        <v>0</v>
      </c>
      <c r="H27" s="27">
        <v>74</v>
      </c>
      <c r="I27" s="27">
        <v>75</v>
      </c>
      <c r="J27" s="27">
        <v>154</v>
      </c>
      <c r="K27" s="27">
        <v>284</v>
      </c>
      <c r="L27" s="27">
        <v>242</v>
      </c>
      <c r="M27" s="27">
        <v>141</v>
      </c>
      <c r="N27" s="42">
        <v>433</v>
      </c>
      <c r="O27" s="44">
        <f t="shared" si="0"/>
        <v>2531</v>
      </c>
    </row>
    <row r="28" spans="2:15" x14ac:dyDescent="0.25">
      <c r="B28" s="41" t="s">
        <v>31</v>
      </c>
      <c r="C28" s="27">
        <v>298</v>
      </c>
      <c r="D28" s="27">
        <v>179</v>
      </c>
      <c r="E28" s="27">
        <v>286</v>
      </c>
      <c r="F28" s="27">
        <v>98</v>
      </c>
      <c r="G28" s="27">
        <v>144</v>
      </c>
      <c r="H28" s="27">
        <v>329</v>
      </c>
      <c r="I28" s="27">
        <v>259</v>
      </c>
      <c r="J28" s="27">
        <v>147</v>
      </c>
      <c r="K28" s="27">
        <v>111</v>
      </c>
      <c r="L28" s="27">
        <v>88</v>
      </c>
      <c r="M28" s="27">
        <v>103</v>
      </c>
      <c r="N28" s="42">
        <v>37</v>
      </c>
      <c r="O28" s="44">
        <f t="shared" si="0"/>
        <v>2079</v>
      </c>
    </row>
    <row r="29" spans="2:15" x14ac:dyDescent="0.25">
      <c r="B29" s="41" t="s">
        <v>27</v>
      </c>
      <c r="C29" s="27">
        <v>402</v>
      </c>
      <c r="D29" s="27">
        <v>368</v>
      </c>
      <c r="E29" s="27">
        <v>234</v>
      </c>
      <c r="F29" s="27">
        <v>11</v>
      </c>
      <c r="G29" s="27">
        <v>23</v>
      </c>
      <c r="H29" s="27">
        <v>30</v>
      </c>
      <c r="I29" s="27">
        <v>30</v>
      </c>
      <c r="J29" s="27">
        <v>95</v>
      </c>
      <c r="K29" s="27">
        <v>45</v>
      </c>
      <c r="L29" s="27">
        <v>115</v>
      </c>
      <c r="M29" s="27">
        <v>91</v>
      </c>
      <c r="N29" s="42">
        <v>145</v>
      </c>
      <c r="O29" s="44">
        <f t="shared" si="0"/>
        <v>1589</v>
      </c>
    </row>
    <row r="30" spans="2:15" x14ac:dyDescent="0.25">
      <c r="B30" s="41" t="s">
        <v>30</v>
      </c>
      <c r="C30" s="27">
        <v>262</v>
      </c>
      <c r="D30" s="27">
        <v>337</v>
      </c>
      <c r="E30" s="27">
        <v>279</v>
      </c>
      <c r="F30" s="27">
        <v>0</v>
      </c>
      <c r="G30" s="27">
        <v>27</v>
      </c>
      <c r="H30" s="27">
        <v>5</v>
      </c>
      <c r="I30" s="27">
        <v>4</v>
      </c>
      <c r="J30" s="27">
        <v>7</v>
      </c>
      <c r="K30" s="27">
        <v>30</v>
      </c>
      <c r="L30" s="27">
        <v>68</v>
      </c>
      <c r="M30" s="27">
        <v>34</v>
      </c>
      <c r="N30" s="42">
        <v>87</v>
      </c>
      <c r="O30" s="44">
        <f t="shared" si="0"/>
        <v>1140</v>
      </c>
    </row>
    <row r="31" spans="2:15" x14ac:dyDescent="0.25">
      <c r="B31" s="41" t="s">
        <v>48</v>
      </c>
      <c r="C31" s="27">
        <v>200</v>
      </c>
      <c r="D31" s="27">
        <v>420</v>
      </c>
      <c r="E31" s="27">
        <v>298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42">
        <v>220</v>
      </c>
      <c r="O31" s="44">
        <f t="shared" si="0"/>
        <v>1138</v>
      </c>
    </row>
    <row r="32" spans="2:15" x14ac:dyDescent="0.25">
      <c r="B32" s="41" t="s">
        <v>34</v>
      </c>
      <c r="C32" s="27">
        <v>300</v>
      </c>
      <c r="D32" s="27">
        <v>100</v>
      </c>
      <c r="E32" s="27">
        <v>100</v>
      </c>
      <c r="F32" s="27">
        <v>0</v>
      </c>
      <c r="G32" s="27">
        <v>0</v>
      </c>
      <c r="H32" s="27">
        <v>0</v>
      </c>
      <c r="I32" s="27">
        <v>0</v>
      </c>
      <c r="J32" s="27">
        <v>100</v>
      </c>
      <c r="K32" s="27">
        <v>50</v>
      </c>
      <c r="L32" s="27">
        <v>216</v>
      </c>
      <c r="M32" s="27">
        <v>48</v>
      </c>
      <c r="N32" s="42">
        <v>210</v>
      </c>
      <c r="O32" s="44">
        <f t="shared" si="0"/>
        <v>1124</v>
      </c>
    </row>
    <row r="33" spans="2:15" x14ac:dyDescent="0.25">
      <c r="B33" s="41" t="s">
        <v>36</v>
      </c>
      <c r="C33" s="27">
        <v>200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250</v>
      </c>
      <c r="K33" s="27">
        <v>250</v>
      </c>
      <c r="L33" s="27">
        <v>0</v>
      </c>
      <c r="M33" s="27">
        <v>270</v>
      </c>
      <c r="N33" s="42">
        <v>150</v>
      </c>
      <c r="O33" s="44">
        <f t="shared" si="0"/>
        <v>1120</v>
      </c>
    </row>
    <row r="34" spans="2:15" x14ac:dyDescent="0.25">
      <c r="B34" s="41" t="s">
        <v>43</v>
      </c>
      <c r="C34" s="27">
        <v>250</v>
      </c>
      <c r="D34" s="27">
        <v>150</v>
      </c>
      <c r="E34" s="27">
        <v>100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264</v>
      </c>
      <c r="M34" s="27">
        <v>48</v>
      </c>
      <c r="N34" s="42">
        <v>204</v>
      </c>
      <c r="O34" s="44">
        <f t="shared" si="0"/>
        <v>1016</v>
      </c>
    </row>
    <row r="35" spans="2:15" x14ac:dyDescent="0.25">
      <c r="B35" s="41" t="s">
        <v>35</v>
      </c>
      <c r="C35" s="27">
        <v>250</v>
      </c>
      <c r="D35" s="27">
        <v>1</v>
      </c>
      <c r="E35" s="27">
        <v>100</v>
      </c>
      <c r="F35" s="27">
        <v>0</v>
      </c>
      <c r="G35" s="27">
        <v>0</v>
      </c>
      <c r="H35" s="27">
        <v>0</v>
      </c>
      <c r="I35" s="27">
        <v>0</v>
      </c>
      <c r="J35" s="27">
        <v>150</v>
      </c>
      <c r="K35" s="27">
        <v>50</v>
      </c>
      <c r="L35" s="27">
        <v>210</v>
      </c>
      <c r="M35" s="27">
        <v>54</v>
      </c>
      <c r="N35" s="42">
        <v>198</v>
      </c>
      <c r="O35" s="44">
        <f t="shared" si="0"/>
        <v>1013</v>
      </c>
    </row>
    <row r="36" spans="2:15" x14ac:dyDescent="0.25">
      <c r="B36" s="41" t="s">
        <v>37</v>
      </c>
      <c r="C36" s="27">
        <v>211</v>
      </c>
      <c r="D36" s="27">
        <v>129</v>
      </c>
      <c r="E36" s="27">
        <v>62</v>
      </c>
      <c r="F36" s="27">
        <v>0</v>
      </c>
      <c r="G36" s="27">
        <v>2</v>
      </c>
      <c r="H36" s="27">
        <v>34</v>
      </c>
      <c r="I36" s="27">
        <v>20</v>
      </c>
      <c r="J36" s="27">
        <v>32</v>
      </c>
      <c r="K36" s="27">
        <v>35</v>
      </c>
      <c r="L36" s="27">
        <v>78</v>
      </c>
      <c r="M36" s="27">
        <v>54</v>
      </c>
      <c r="N36" s="42">
        <v>152</v>
      </c>
      <c r="O36" s="44">
        <f t="shared" si="0"/>
        <v>809</v>
      </c>
    </row>
    <row r="37" spans="2:15" x14ac:dyDescent="0.25">
      <c r="B37" s="41" t="s">
        <v>63</v>
      </c>
      <c r="C37" s="27">
        <v>400</v>
      </c>
      <c r="D37" s="27">
        <v>250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42">
        <v>0</v>
      </c>
      <c r="O37" s="44">
        <f t="shared" si="0"/>
        <v>650</v>
      </c>
    </row>
    <row r="38" spans="2:15" x14ac:dyDescent="0.25">
      <c r="B38" s="41" t="s">
        <v>54</v>
      </c>
      <c r="C38" s="27">
        <v>100</v>
      </c>
      <c r="D38" s="27">
        <v>50</v>
      </c>
      <c r="E38" s="27">
        <v>50</v>
      </c>
      <c r="F38" s="27">
        <v>0</v>
      </c>
      <c r="G38" s="27">
        <v>0</v>
      </c>
      <c r="H38" s="27">
        <v>0</v>
      </c>
      <c r="I38" s="27">
        <v>0</v>
      </c>
      <c r="J38" s="27">
        <v>100</v>
      </c>
      <c r="K38" s="27">
        <v>50</v>
      </c>
      <c r="L38" s="27">
        <v>102</v>
      </c>
      <c r="M38" s="27">
        <v>0</v>
      </c>
      <c r="N38" s="42">
        <v>150</v>
      </c>
      <c r="O38" s="44">
        <f t="shared" si="0"/>
        <v>602</v>
      </c>
    </row>
    <row r="39" spans="2:15" x14ac:dyDescent="0.25">
      <c r="B39" s="41" t="s">
        <v>33</v>
      </c>
      <c r="C39" s="27">
        <v>150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150</v>
      </c>
      <c r="L39" s="27">
        <v>0</v>
      </c>
      <c r="M39" s="27">
        <v>0</v>
      </c>
      <c r="N39" s="42">
        <v>200</v>
      </c>
      <c r="O39" s="44">
        <f t="shared" si="0"/>
        <v>500</v>
      </c>
    </row>
    <row r="40" spans="2:15" x14ac:dyDescent="0.25">
      <c r="B40" s="41" t="s">
        <v>59</v>
      </c>
      <c r="C40" s="27">
        <v>131</v>
      </c>
      <c r="D40" s="27">
        <v>157</v>
      </c>
      <c r="E40" s="27">
        <v>58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42">
        <v>20</v>
      </c>
      <c r="O40" s="44">
        <f t="shared" si="0"/>
        <v>366</v>
      </c>
    </row>
    <row r="41" spans="2:15" x14ac:dyDescent="0.25">
      <c r="B41" s="41" t="s">
        <v>56</v>
      </c>
      <c r="C41" s="27">
        <v>100</v>
      </c>
      <c r="D41" s="27">
        <v>200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42">
        <v>0</v>
      </c>
      <c r="O41" s="44">
        <f t="shared" si="0"/>
        <v>300</v>
      </c>
    </row>
    <row r="42" spans="2:15" x14ac:dyDescent="0.25">
      <c r="B42" s="41" t="s">
        <v>58</v>
      </c>
      <c r="C42" s="27">
        <v>0</v>
      </c>
      <c r="D42" s="27">
        <v>150</v>
      </c>
      <c r="E42" s="27">
        <v>8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50</v>
      </c>
      <c r="L42" s="27">
        <v>0</v>
      </c>
      <c r="M42" s="27">
        <v>0</v>
      </c>
      <c r="N42" s="42">
        <v>60</v>
      </c>
      <c r="O42" s="44">
        <f t="shared" si="0"/>
        <v>268</v>
      </c>
    </row>
    <row r="43" spans="2:15" x14ac:dyDescent="0.25">
      <c r="B43" s="41" t="s">
        <v>45</v>
      </c>
      <c r="C43" s="27">
        <v>24</v>
      </c>
      <c r="D43" s="27">
        <v>84</v>
      </c>
      <c r="E43" s="27">
        <v>48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42">
        <v>0</v>
      </c>
      <c r="O43" s="44">
        <f t="shared" si="0"/>
        <v>156</v>
      </c>
    </row>
    <row r="44" spans="2:15" x14ac:dyDescent="0.25">
      <c r="B44" s="41" t="s">
        <v>60</v>
      </c>
      <c r="C44" s="27">
        <v>150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42">
        <v>0</v>
      </c>
      <c r="O44" s="44">
        <f t="shared" si="0"/>
        <v>150</v>
      </c>
    </row>
    <row r="45" spans="2:15" x14ac:dyDescent="0.25">
      <c r="B45" s="41" t="s">
        <v>44</v>
      </c>
      <c r="C45" s="27">
        <v>0</v>
      </c>
      <c r="D45" s="27">
        <v>100</v>
      </c>
      <c r="E45" s="27">
        <v>0</v>
      </c>
      <c r="F45" s="27">
        <v>0</v>
      </c>
      <c r="G45" s="27">
        <v>0</v>
      </c>
      <c r="H45" s="27">
        <v>22</v>
      </c>
      <c r="I45" s="27">
        <v>8</v>
      </c>
      <c r="J45" s="27">
        <v>0</v>
      </c>
      <c r="K45" s="27">
        <v>0</v>
      </c>
      <c r="L45" s="27">
        <v>0</v>
      </c>
      <c r="M45" s="27">
        <v>0</v>
      </c>
      <c r="N45" s="42">
        <v>0</v>
      </c>
      <c r="O45" s="44">
        <f t="shared" si="0"/>
        <v>130</v>
      </c>
    </row>
    <row r="46" spans="2:15" x14ac:dyDescent="0.25">
      <c r="B46" s="41" t="s">
        <v>40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100</v>
      </c>
      <c r="K46" s="27">
        <v>0</v>
      </c>
      <c r="L46" s="27">
        <v>0</v>
      </c>
      <c r="M46" s="27">
        <v>0</v>
      </c>
      <c r="N46" s="42">
        <v>0</v>
      </c>
      <c r="O46" s="44">
        <f t="shared" si="0"/>
        <v>100</v>
      </c>
    </row>
    <row r="47" spans="2:15" x14ac:dyDescent="0.25">
      <c r="B47" s="41" t="s">
        <v>61</v>
      </c>
      <c r="C47" s="27">
        <v>50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42">
        <v>48</v>
      </c>
      <c r="O47" s="44">
        <f t="shared" si="0"/>
        <v>98</v>
      </c>
    </row>
    <row r="48" spans="2:15" x14ac:dyDescent="0.25">
      <c r="B48" s="41" t="s">
        <v>32</v>
      </c>
      <c r="C48" s="27">
        <v>12</v>
      </c>
      <c r="D48" s="27">
        <v>1</v>
      </c>
      <c r="E48" s="27">
        <v>49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42">
        <v>0</v>
      </c>
      <c r="O48" s="44">
        <f t="shared" si="0"/>
        <v>62</v>
      </c>
    </row>
    <row r="49" spans="2:15" x14ac:dyDescent="0.25">
      <c r="B49" s="41" t="s">
        <v>57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50</v>
      </c>
      <c r="K49" s="27">
        <v>0</v>
      </c>
      <c r="L49" s="27">
        <v>0</v>
      </c>
      <c r="M49" s="27">
        <v>0</v>
      </c>
      <c r="N49" s="42">
        <v>0</v>
      </c>
      <c r="O49" s="44">
        <f t="shared" si="0"/>
        <v>50</v>
      </c>
    </row>
    <row r="50" spans="2:15" ht="15.75" thickBot="1" x14ac:dyDescent="0.3">
      <c r="B50" s="45" t="s">
        <v>62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20</v>
      </c>
      <c r="L50" s="46">
        <v>0</v>
      </c>
      <c r="M50" s="46">
        <v>0</v>
      </c>
      <c r="N50" s="47">
        <v>5</v>
      </c>
      <c r="O50" s="48">
        <f t="shared" si="0"/>
        <v>25</v>
      </c>
    </row>
    <row r="51" spans="2:15" ht="15.75" thickBot="1" x14ac:dyDescent="0.3">
      <c r="B51" s="45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7"/>
      <c r="O51" s="48"/>
    </row>
    <row r="52" spans="2:15" ht="15.75" thickBot="1" x14ac:dyDescent="0.3">
      <c r="B52" s="29"/>
      <c r="C52" s="19">
        <f t="shared" ref="C52:O52" si="1">SUM(C7:C50)</f>
        <v>35086</v>
      </c>
      <c r="D52" s="19">
        <f t="shared" si="1"/>
        <v>31886</v>
      </c>
      <c r="E52" s="19">
        <f t="shared" si="1"/>
        <v>16536</v>
      </c>
      <c r="F52" s="19">
        <f t="shared" si="1"/>
        <v>1243</v>
      </c>
      <c r="G52" s="19">
        <f t="shared" si="1"/>
        <v>2843</v>
      </c>
      <c r="H52" s="19">
        <f t="shared" si="1"/>
        <v>4686</v>
      </c>
      <c r="I52" s="19">
        <f t="shared" si="1"/>
        <v>3479</v>
      </c>
      <c r="J52" s="19">
        <f t="shared" si="1"/>
        <v>9104</v>
      </c>
      <c r="K52" s="19">
        <f t="shared" si="1"/>
        <v>9619</v>
      </c>
      <c r="L52" s="19">
        <f t="shared" si="1"/>
        <v>16799</v>
      </c>
      <c r="M52" s="19">
        <f t="shared" si="1"/>
        <v>12769</v>
      </c>
      <c r="N52" s="19">
        <f t="shared" si="1"/>
        <v>23559</v>
      </c>
      <c r="O52" s="19">
        <f t="shared" si="1"/>
        <v>167609</v>
      </c>
    </row>
  </sheetData>
  <mergeCells count="3">
    <mergeCell ref="B2:O2"/>
    <mergeCell ref="B3:O3"/>
    <mergeCell ref="B4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4"/>
  <sheetViews>
    <sheetView showGridLines="0" topLeftCell="A25" workbookViewId="0">
      <selection activeCell="C13" sqref="C13"/>
    </sheetView>
  </sheetViews>
  <sheetFormatPr baseColWidth="10" defaultColWidth="9.140625" defaultRowHeight="15" x14ac:dyDescent="0.25"/>
  <cols>
    <col min="1" max="1" width="4.140625" style="22" customWidth="1"/>
    <col min="2" max="2" width="36.7109375" style="22" bestFit="1" customWidth="1"/>
    <col min="3" max="10" width="10.28515625" style="22" customWidth="1"/>
    <col min="11" max="11" width="11.42578125" style="22" bestFit="1" customWidth="1"/>
    <col min="12" max="12" width="10.28515625" style="22" customWidth="1"/>
    <col min="13" max="13" width="11" style="22" bestFit="1" customWidth="1"/>
    <col min="14" max="14" width="10.28515625" style="22" customWidth="1"/>
    <col min="15" max="16384" width="9.140625" style="22"/>
  </cols>
  <sheetData>
    <row r="2" spans="2:15" x14ac:dyDescent="0.25">
      <c r="B2" s="148" t="s">
        <v>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 spans="2:15" x14ac:dyDescent="0.25">
      <c r="B3" s="148" t="s">
        <v>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</row>
    <row r="4" spans="2:15" x14ac:dyDescent="0.25">
      <c r="B4" s="148" t="s">
        <v>75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</row>
    <row r="5" spans="2:15" ht="15.75" thickBot="1" x14ac:dyDescent="0.3">
      <c r="B5" s="24"/>
    </row>
    <row r="6" spans="2:15" ht="15.75" thickBot="1" x14ac:dyDescent="0.3">
      <c r="B6" s="31" t="s">
        <v>3</v>
      </c>
      <c r="C6" s="31" t="s">
        <v>4</v>
      </c>
      <c r="D6" s="31" t="s">
        <v>5</v>
      </c>
      <c r="E6" s="31" t="s">
        <v>6</v>
      </c>
      <c r="F6" s="31" t="s">
        <v>7</v>
      </c>
      <c r="G6" s="31" t="s">
        <v>8</v>
      </c>
      <c r="H6" s="31" t="s">
        <v>9</v>
      </c>
      <c r="I6" s="31" t="s">
        <v>10</v>
      </c>
      <c r="J6" s="31" t="s">
        <v>11</v>
      </c>
      <c r="K6" s="31" t="s">
        <v>12</v>
      </c>
      <c r="L6" s="31" t="s">
        <v>13</v>
      </c>
      <c r="M6" s="31" t="s">
        <v>14</v>
      </c>
      <c r="N6" s="31" t="s">
        <v>15</v>
      </c>
      <c r="O6" s="37" t="s">
        <v>79</v>
      </c>
    </row>
    <row r="7" spans="2:15" x14ac:dyDescent="0.25">
      <c r="B7" s="26" t="s">
        <v>49</v>
      </c>
      <c r="C7" s="27">
        <v>4314</v>
      </c>
      <c r="D7" s="27">
        <v>4533</v>
      </c>
      <c r="E7" s="27">
        <v>3723</v>
      </c>
      <c r="F7" s="27">
        <v>5400</v>
      </c>
      <c r="G7" s="27">
        <v>4613</v>
      </c>
      <c r="H7" s="27">
        <v>5506</v>
      </c>
      <c r="I7" s="27">
        <v>5951</v>
      </c>
      <c r="J7" s="27">
        <v>5373</v>
      </c>
      <c r="K7" s="27">
        <v>5422</v>
      </c>
      <c r="L7" s="27">
        <v>5519</v>
      </c>
      <c r="M7" s="27">
        <v>5150</v>
      </c>
      <c r="N7" s="27">
        <v>6974</v>
      </c>
      <c r="O7" s="33">
        <f t="shared" ref="O7:O52" si="0">SUM(C7:N7)</f>
        <v>62478</v>
      </c>
    </row>
    <row r="8" spans="2:15" x14ac:dyDescent="0.25">
      <c r="B8" s="26" t="s">
        <v>16</v>
      </c>
      <c r="C8" s="27">
        <v>3248</v>
      </c>
      <c r="D8" s="27">
        <v>3652</v>
      </c>
      <c r="E8" s="27">
        <v>3718</v>
      </c>
      <c r="F8" s="27">
        <v>3022</v>
      </c>
      <c r="G8" s="27">
        <v>3741</v>
      </c>
      <c r="H8" s="27">
        <v>3365</v>
      </c>
      <c r="I8" s="27">
        <v>3830</v>
      </c>
      <c r="J8" s="27">
        <v>3851</v>
      </c>
      <c r="K8" s="27">
        <v>3473</v>
      </c>
      <c r="L8" s="27">
        <v>2752</v>
      </c>
      <c r="M8" s="27">
        <v>3266</v>
      </c>
      <c r="N8" s="27">
        <v>3262</v>
      </c>
      <c r="O8" s="33">
        <f t="shared" si="0"/>
        <v>41180</v>
      </c>
    </row>
    <row r="9" spans="2:15" x14ac:dyDescent="0.25">
      <c r="B9" s="26" t="s">
        <v>53</v>
      </c>
      <c r="C9" s="27">
        <v>4442</v>
      </c>
      <c r="D9" s="27">
        <v>3506</v>
      </c>
      <c r="E9" s="27">
        <v>1852</v>
      </c>
      <c r="F9" s="27">
        <v>2696</v>
      </c>
      <c r="G9" s="27">
        <v>4427</v>
      </c>
      <c r="H9" s="27">
        <v>3113</v>
      </c>
      <c r="I9" s="27">
        <v>3570</v>
      </c>
      <c r="J9" s="27">
        <v>4194</v>
      </c>
      <c r="K9" s="27">
        <v>3612</v>
      </c>
      <c r="L9" s="27">
        <v>1568</v>
      </c>
      <c r="M9" s="27">
        <v>4019</v>
      </c>
      <c r="N9" s="27">
        <v>3771</v>
      </c>
      <c r="O9" s="33">
        <f t="shared" si="0"/>
        <v>40770</v>
      </c>
    </row>
    <row r="10" spans="2:15" x14ac:dyDescent="0.25">
      <c r="B10" s="26" t="s">
        <v>28</v>
      </c>
      <c r="C10" s="27">
        <v>2863</v>
      </c>
      <c r="D10" s="27">
        <v>2665</v>
      </c>
      <c r="E10" s="27">
        <v>3137</v>
      </c>
      <c r="F10" s="27">
        <v>2791</v>
      </c>
      <c r="G10" s="27">
        <v>3167</v>
      </c>
      <c r="H10" s="27">
        <v>3081</v>
      </c>
      <c r="I10" s="27">
        <v>3662</v>
      </c>
      <c r="J10" s="27">
        <v>3677</v>
      </c>
      <c r="K10" s="27">
        <v>3102</v>
      </c>
      <c r="L10" s="27">
        <v>2210</v>
      </c>
      <c r="M10" s="27">
        <v>2568</v>
      </c>
      <c r="N10" s="27">
        <v>2642</v>
      </c>
      <c r="O10" s="33">
        <f t="shared" si="0"/>
        <v>35565</v>
      </c>
    </row>
    <row r="11" spans="2:15" x14ac:dyDescent="0.25">
      <c r="B11" s="26" t="s">
        <v>19</v>
      </c>
      <c r="C11" s="27">
        <v>2656</v>
      </c>
      <c r="D11" s="27">
        <v>2220</v>
      </c>
      <c r="E11" s="27">
        <v>3008</v>
      </c>
      <c r="F11" s="27">
        <v>2414</v>
      </c>
      <c r="G11" s="27">
        <v>2641</v>
      </c>
      <c r="H11" s="27">
        <v>2857</v>
      </c>
      <c r="I11" s="27">
        <v>2113</v>
      </c>
      <c r="J11" s="27">
        <v>2743</v>
      </c>
      <c r="K11" s="27">
        <v>2053</v>
      </c>
      <c r="L11" s="27">
        <v>2082</v>
      </c>
      <c r="M11" s="27">
        <v>1956</v>
      </c>
      <c r="N11" s="27">
        <v>2336</v>
      </c>
      <c r="O11" s="33">
        <f t="shared" si="0"/>
        <v>29079</v>
      </c>
    </row>
    <row r="12" spans="2:15" x14ac:dyDescent="0.25">
      <c r="B12" s="26" t="s">
        <v>51</v>
      </c>
      <c r="C12" s="27">
        <v>1634</v>
      </c>
      <c r="D12" s="27">
        <v>1975</v>
      </c>
      <c r="E12" s="27">
        <v>1811</v>
      </c>
      <c r="F12" s="27">
        <v>2460</v>
      </c>
      <c r="G12" s="27">
        <v>2128</v>
      </c>
      <c r="H12" s="27">
        <v>2178</v>
      </c>
      <c r="I12" s="27">
        <v>2454</v>
      </c>
      <c r="J12" s="27">
        <v>2103</v>
      </c>
      <c r="K12" s="27">
        <v>2545</v>
      </c>
      <c r="L12" s="27">
        <v>2114</v>
      </c>
      <c r="M12" s="27">
        <v>2287</v>
      </c>
      <c r="N12" s="27">
        <v>2812</v>
      </c>
      <c r="O12" s="33">
        <f t="shared" si="0"/>
        <v>26501</v>
      </c>
    </row>
    <row r="13" spans="2:15" x14ac:dyDescent="0.25">
      <c r="B13" s="26" t="s">
        <v>17</v>
      </c>
      <c r="C13" s="27">
        <v>2269</v>
      </c>
      <c r="D13" s="27">
        <v>1845</v>
      </c>
      <c r="E13" s="27">
        <v>2643</v>
      </c>
      <c r="F13" s="27">
        <v>1719</v>
      </c>
      <c r="G13" s="27">
        <v>2299</v>
      </c>
      <c r="H13" s="27">
        <v>2266</v>
      </c>
      <c r="I13" s="27">
        <v>2094</v>
      </c>
      <c r="J13" s="27">
        <v>1889</v>
      </c>
      <c r="K13" s="27">
        <v>2014</v>
      </c>
      <c r="L13" s="27">
        <v>1821</v>
      </c>
      <c r="M13" s="27">
        <v>1751</v>
      </c>
      <c r="N13" s="27">
        <v>1683</v>
      </c>
      <c r="O13" s="33">
        <f t="shared" si="0"/>
        <v>24293</v>
      </c>
    </row>
    <row r="14" spans="2:15" x14ac:dyDescent="0.25">
      <c r="B14" s="26" t="s">
        <v>20</v>
      </c>
      <c r="C14" s="27">
        <v>1343</v>
      </c>
      <c r="D14" s="27">
        <v>1413</v>
      </c>
      <c r="E14" s="27">
        <v>1633</v>
      </c>
      <c r="F14" s="27">
        <v>1294</v>
      </c>
      <c r="G14" s="27">
        <v>1485</v>
      </c>
      <c r="H14" s="27">
        <v>1749</v>
      </c>
      <c r="I14" s="27">
        <v>1792</v>
      </c>
      <c r="J14" s="27">
        <v>1780</v>
      </c>
      <c r="K14" s="27">
        <v>1757</v>
      </c>
      <c r="L14" s="27">
        <v>1154</v>
      </c>
      <c r="M14" s="27">
        <v>1529</v>
      </c>
      <c r="N14" s="27">
        <v>1419</v>
      </c>
      <c r="O14" s="33">
        <f t="shared" si="0"/>
        <v>18348</v>
      </c>
    </row>
    <row r="15" spans="2:15" x14ac:dyDescent="0.25">
      <c r="B15" s="26" t="s">
        <v>52</v>
      </c>
      <c r="C15" s="27">
        <v>958</v>
      </c>
      <c r="D15" s="27">
        <v>1340</v>
      </c>
      <c r="E15" s="27">
        <v>1121</v>
      </c>
      <c r="F15" s="27">
        <v>1683</v>
      </c>
      <c r="G15" s="27">
        <v>1459</v>
      </c>
      <c r="H15" s="27">
        <v>1467</v>
      </c>
      <c r="I15" s="27">
        <v>1665</v>
      </c>
      <c r="J15" s="27">
        <v>1403</v>
      </c>
      <c r="K15" s="27">
        <v>1560</v>
      </c>
      <c r="L15" s="27">
        <v>1217</v>
      </c>
      <c r="M15" s="27">
        <v>1230</v>
      </c>
      <c r="N15" s="27">
        <v>1945</v>
      </c>
      <c r="O15" s="33">
        <f t="shared" si="0"/>
        <v>17048</v>
      </c>
    </row>
    <row r="16" spans="2:15" x14ac:dyDescent="0.25">
      <c r="B16" s="26" t="s">
        <v>25</v>
      </c>
      <c r="C16" s="27">
        <v>1460</v>
      </c>
      <c r="D16" s="27">
        <v>1092</v>
      </c>
      <c r="E16" s="27">
        <v>1488</v>
      </c>
      <c r="F16" s="27">
        <v>1316</v>
      </c>
      <c r="G16" s="27">
        <v>1658</v>
      </c>
      <c r="H16" s="27">
        <v>1505</v>
      </c>
      <c r="I16" s="27">
        <v>1798</v>
      </c>
      <c r="J16" s="27">
        <v>1355</v>
      </c>
      <c r="K16" s="27">
        <v>1762</v>
      </c>
      <c r="L16" s="27">
        <v>1044</v>
      </c>
      <c r="M16" s="27">
        <v>1235</v>
      </c>
      <c r="N16" s="27">
        <v>1142</v>
      </c>
      <c r="O16" s="33">
        <f t="shared" si="0"/>
        <v>16855</v>
      </c>
    </row>
    <row r="17" spans="2:15" x14ac:dyDescent="0.25">
      <c r="B17" s="26" t="s">
        <v>22</v>
      </c>
      <c r="C17" s="27">
        <v>1779</v>
      </c>
      <c r="D17" s="27">
        <v>994</v>
      </c>
      <c r="E17" s="27">
        <v>1142</v>
      </c>
      <c r="F17" s="27">
        <v>947</v>
      </c>
      <c r="G17" s="27">
        <v>1222</v>
      </c>
      <c r="H17" s="27">
        <v>1258</v>
      </c>
      <c r="I17" s="27">
        <v>1098</v>
      </c>
      <c r="J17" s="27">
        <v>1331</v>
      </c>
      <c r="K17" s="27">
        <v>1021</v>
      </c>
      <c r="L17" s="27">
        <v>945</v>
      </c>
      <c r="M17" s="27">
        <v>980</v>
      </c>
      <c r="N17" s="27">
        <v>1090</v>
      </c>
      <c r="O17" s="33">
        <f t="shared" si="0"/>
        <v>13807</v>
      </c>
    </row>
    <row r="18" spans="2:15" x14ac:dyDescent="0.25">
      <c r="B18" s="26" t="s">
        <v>18</v>
      </c>
      <c r="C18" s="27">
        <v>705</v>
      </c>
      <c r="D18" s="27">
        <v>432</v>
      </c>
      <c r="E18" s="27">
        <v>1213</v>
      </c>
      <c r="F18" s="27">
        <v>1340</v>
      </c>
      <c r="G18" s="27">
        <v>1246</v>
      </c>
      <c r="H18" s="27">
        <v>1193</v>
      </c>
      <c r="I18" s="27">
        <v>1350</v>
      </c>
      <c r="J18" s="27">
        <v>1059</v>
      </c>
      <c r="K18" s="27">
        <v>1107</v>
      </c>
      <c r="L18" s="27">
        <v>897</v>
      </c>
      <c r="M18" s="27">
        <v>661</v>
      </c>
      <c r="N18" s="27">
        <v>1020</v>
      </c>
      <c r="O18" s="33">
        <f t="shared" si="0"/>
        <v>12223</v>
      </c>
    </row>
    <row r="19" spans="2:15" x14ac:dyDescent="0.25">
      <c r="B19" s="26" t="s">
        <v>21</v>
      </c>
      <c r="C19" s="27">
        <v>1221</v>
      </c>
      <c r="D19" s="27">
        <v>1266</v>
      </c>
      <c r="E19" s="27">
        <v>941</v>
      </c>
      <c r="F19" s="27">
        <v>201</v>
      </c>
      <c r="G19" s="27">
        <v>682</v>
      </c>
      <c r="H19" s="27">
        <v>1122</v>
      </c>
      <c r="I19" s="27">
        <v>1392</v>
      </c>
      <c r="J19" s="27">
        <v>1311</v>
      </c>
      <c r="K19" s="27">
        <v>954</v>
      </c>
      <c r="L19" s="27">
        <v>824</v>
      </c>
      <c r="M19" s="27">
        <v>962</v>
      </c>
      <c r="N19" s="27">
        <v>1091</v>
      </c>
      <c r="O19" s="33">
        <f t="shared" si="0"/>
        <v>11967</v>
      </c>
    </row>
    <row r="20" spans="2:15" x14ac:dyDescent="0.25">
      <c r="B20" s="26" t="s">
        <v>24</v>
      </c>
      <c r="C20" s="27">
        <v>956</v>
      </c>
      <c r="D20" s="27">
        <v>835</v>
      </c>
      <c r="E20" s="27">
        <v>1180</v>
      </c>
      <c r="F20" s="27">
        <v>995</v>
      </c>
      <c r="G20" s="27">
        <v>906</v>
      </c>
      <c r="H20" s="27">
        <v>909</v>
      </c>
      <c r="I20" s="27">
        <v>861</v>
      </c>
      <c r="J20" s="27">
        <v>928</v>
      </c>
      <c r="K20" s="27">
        <v>889</v>
      </c>
      <c r="L20" s="27">
        <v>619</v>
      </c>
      <c r="M20" s="27">
        <v>538</v>
      </c>
      <c r="N20" s="27">
        <v>616</v>
      </c>
      <c r="O20" s="33">
        <f t="shared" si="0"/>
        <v>10232</v>
      </c>
    </row>
    <row r="21" spans="2:15" s="35" customFormat="1" x14ac:dyDescent="0.25">
      <c r="B21" s="36" t="s">
        <v>94</v>
      </c>
      <c r="C21" s="27">
        <f>+(500)*1.9</f>
        <v>950</v>
      </c>
      <c r="D21" s="27">
        <v>0</v>
      </c>
      <c r="E21" s="27">
        <f>+(500)*1.9</f>
        <v>950</v>
      </c>
      <c r="F21" s="27">
        <f>+(500)*1.9</f>
        <v>950</v>
      </c>
      <c r="G21" s="27">
        <f>+(420)*1.9</f>
        <v>798</v>
      </c>
      <c r="H21" s="27">
        <f>+(80)*1.9</f>
        <v>152</v>
      </c>
      <c r="I21" s="27">
        <f>+(500)*1.9</f>
        <v>950</v>
      </c>
      <c r="J21" s="27">
        <f>+(548)*1.9</f>
        <v>1041.2</v>
      </c>
      <c r="K21" s="27">
        <f>+(1400)*1.9</f>
        <v>2660</v>
      </c>
      <c r="L21" s="27">
        <f>+(400)*1.9</f>
        <v>760</v>
      </c>
      <c r="M21" s="27">
        <v>0</v>
      </c>
      <c r="N21" s="27">
        <v>600</v>
      </c>
      <c r="O21" s="34">
        <f t="shared" si="0"/>
        <v>9811.2000000000007</v>
      </c>
    </row>
    <row r="22" spans="2:15" x14ac:dyDescent="0.25">
      <c r="B22" s="26" t="s">
        <v>26</v>
      </c>
      <c r="C22" s="27">
        <v>408</v>
      </c>
      <c r="D22" s="27">
        <v>402</v>
      </c>
      <c r="E22" s="27">
        <v>793</v>
      </c>
      <c r="F22" s="27">
        <v>614</v>
      </c>
      <c r="G22" s="27">
        <v>703</v>
      </c>
      <c r="H22" s="27">
        <v>732</v>
      </c>
      <c r="I22" s="27">
        <v>630</v>
      </c>
      <c r="J22" s="27">
        <v>732</v>
      </c>
      <c r="K22" s="27">
        <v>711</v>
      </c>
      <c r="L22" s="27">
        <v>437</v>
      </c>
      <c r="M22" s="27">
        <v>429</v>
      </c>
      <c r="N22" s="27">
        <v>679</v>
      </c>
      <c r="O22" s="33">
        <f t="shared" si="0"/>
        <v>7270</v>
      </c>
    </row>
    <row r="23" spans="2:15" x14ac:dyDescent="0.25">
      <c r="B23" s="26" t="s">
        <v>42</v>
      </c>
      <c r="C23" s="27">
        <v>600</v>
      </c>
      <c r="D23" s="27">
        <v>300</v>
      </c>
      <c r="E23" s="27">
        <v>850</v>
      </c>
      <c r="F23" s="27">
        <v>750</v>
      </c>
      <c r="G23" s="27">
        <v>600</v>
      </c>
      <c r="H23" s="27">
        <v>550</v>
      </c>
      <c r="I23" s="27">
        <v>1000</v>
      </c>
      <c r="J23" s="27">
        <v>400</v>
      </c>
      <c r="K23" s="27">
        <v>800</v>
      </c>
      <c r="L23" s="27">
        <v>400</v>
      </c>
      <c r="M23" s="27">
        <v>250</v>
      </c>
      <c r="N23" s="27">
        <v>401</v>
      </c>
      <c r="O23" s="33">
        <f t="shared" si="0"/>
        <v>6901</v>
      </c>
    </row>
    <row r="24" spans="2:15" x14ac:dyDescent="0.25">
      <c r="B24" s="26" t="s">
        <v>23</v>
      </c>
      <c r="C24" s="27">
        <v>535</v>
      </c>
      <c r="D24" s="27">
        <v>462</v>
      </c>
      <c r="E24" s="27">
        <v>762</v>
      </c>
      <c r="F24" s="27">
        <v>467</v>
      </c>
      <c r="G24" s="27">
        <v>583</v>
      </c>
      <c r="H24" s="27">
        <v>604</v>
      </c>
      <c r="I24" s="27">
        <v>432</v>
      </c>
      <c r="J24" s="27">
        <v>649</v>
      </c>
      <c r="K24" s="27">
        <v>620</v>
      </c>
      <c r="L24" s="27">
        <v>345</v>
      </c>
      <c r="M24" s="27">
        <v>289</v>
      </c>
      <c r="N24" s="27">
        <v>352</v>
      </c>
      <c r="O24" s="33">
        <f t="shared" si="0"/>
        <v>6100</v>
      </c>
    </row>
    <row r="25" spans="2:15" x14ac:dyDescent="0.25">
      <c r="B25" s="26" t="s">
        <v>29</v>
      </c>
      <c r="C25" s="27">
        <v>346</v>
      </c>
      <c r="D25" s="27">
        <v>341</v>
      </c>
      <c r="E25" s="27">
        <v>399</v>
      </c>
      <c r="F25" s="27">
        <v>512</v>
      </c>
      <c r="G25" s="27">
        <v>494</v>
      </c>
      <c r="H25" s="27">
        <v>518</v>
      </c>
      <c r="I25" s="27">
        <v>508</v>
      </c>
      <c r="J25" s="27">
        <v>493</v>
      </c>
      <c r="K25" s="27">
        <v>580</v>
      </c>
      <c r="L25" s="27">
        <v>469</v>
      </c>
      <c r="M25" s="27">
        <v>450</v>
      </c>
      <c r="N25" s="27">
        <v>653</v>
      </c>
      <c r="O25" s="33">
        <f t="shared" si="0"/>
        <v>5763</v>
      </c>
    </row>
    <row r="26" spans="2:15" x14ac:dyDescent="0.25">
      <c r="B26" s="26" t="s">
        <v>50</v>
      </c>
      <c r="C26" s="27">
        <v>225</v>
      </c>
      <c r="D26" s="27">
        <v>372</v>
      </c>
      <c r="E26" s="27">
        <v>367</v>
      </c>
      <c r="F26" s="27">
        <v>476</v>
      </c>
      <c r="G26" s="27">
        <v>454</v>
      </c>
      <c r="H26" s="27">
        <v>468</v>
      </c>
      <c r="I26" s="27">
        <v>456</v>
      </c>
      <c r="J26" s="27">
        <v>407</v>
      </c>
      <c r="K26" s="27">
        <v>503</v>
      </c>
      <c r="L26" s="27">
        <v>588</v>
      </c>
      <c r="M26" s="27">
        <v>669</v>
      </c>
      <c r="N26" s="27">
        <v>505</v>
      </c>
      <c r="O26" s="33">
        <f t="shared" si="0"/>
        <v>5490</v>
      </c>
    </row>
    <row r="27" spans="2:15" x14ac:dyDescent="0.25">
      <c r="B27" s="26" t="s">
        <v>63</v>
      </c>
      <c r="C27" s="27">
        <v>0</v>
      </c>
      <c r="D27" s="27">
        <v>250</v>
      </c>
      <c r="E27" s="27">
        <v>900</v>
      </c>
      <c r="F27" s="27">
        <v>400</v>
      </c>
      <c r="G27" s="27">
        <v>650</v>
      </c>
      <c r="H27" s="27">
        <v>550</v>
      </c>
      <c r="I27" s="27">
        <v>400</v>
      </c>
      <c r="J27" s="27">
        <v>600</v>
      </c>
      <c r="K27" s="27">
        <v>600</v>
      </c>
      <c r="L27" s="27">
        <v>450</v>
      </c>
      <c r="M27" s="27">
        <v>100</v>
      </c>
      <c r="N27" s="27">
        <v>400</v>
      </c>
      <c r="O27" s="33">
        <f t="shared" si="0"/>
        <v>5300</v>
      </c>
    </row>
    <row r="28" spans="2:15" x14ac:dyDescent="0.25">
      <c r="B28" s="26" t="s">
        <v>55</v>
      </c>
      <c r="C28" s="27">
        <v>600</v>
      </c>
      <c r="D28" s="27">
        <v>300</v>
      </c>
      <c r="E28" s="27">
        <v>400</v>
      </c>
      <c r="F28" s="27">
        <v>400</v>
      </c>
      <c r="G28" s="27">
        <v>300</v>
      </c>
      <c r="H28" s="27">
        <v>500</v>
      </c>
      <c r="I28" s="27">
        <v>450</v>
      </c>
      <c r="J28" s="27">
        <v>500</v>
      </c>
      <c r="K28" s="27">
        <v>400</v>
      </c>
      <c r="L28" s="27">
        <v>400</v>
      </c>
      <c r="M28" s="27">
        <v>300</v>
      </c>
      <c r="N28" s="27">
        <v>600</v>
      </c>
      <c r="O28" s="33">
        <f t="shared" si="0"/>
        <v>5150</v>
      </c>
    </row>
    <row r="29" spans="2:15" x14ac:dyDescent="0.25">
      <c r="B29" s="26" t="s">
        <v>27</v>
      </c>
      <c r="C29" s="27">
        <v>195</v>
      </c>
      <c r="D29" s="27">
        <v>367</v>
      </c>
      <c r="E29" s="27">
        <v>404</v>
      </c>
      <c r="F29" s="27">
        <v>369</v>
      </c>
      <c r="G29" s="27">
        <v>448</v>
      </c>
      <c r="H29" s="27">
        <v>433</v>
      </c>
      <c r="I29" s="27">
        <v>464</v>
      </c>
      <c r="J29" s="27">
        <v>424</v>
      </c>
      <c r="K29" s="27">
        <v>391</v>
      </c>
      <c r="L29" s="27">
        <v>439</v>
      </c>
      <c r="M29" s="27">
        <v>395</v>
      </c>
      <c r="N29" s="27">
        <v>395</v>
      </c>
      <c r="O29" s="33">
        <f t="shared" si="0"/>
        <v>4724</v>
      </c>
    </row>
    <row r="30" spans="2:15" x14ac:dyDescent="0.25">
      <c r="B30" s="26" t="s">
        <v>36</v>
      </c>
      <c r="C30" s="27">
        <v>100</v>
      </c>
      <c r="D30" s="27">
        <v>300</v>
      </c>
      <c r="E30" s="27">
        <v>800</v>
      </c>
      <c r="F30" s="27">
        <v>400</v>
      </c>
      <c r="G30" s="27">
        <v>300</v>
      </c>
      <c r="H30" s="27">
        <v>200</v>
      </c>
      <c r="I30" s="27">
        <v>400</v>
      </c>
      <c r="J30" s="27">
        <v>250</v>
      </c>
      <c r="K30" s="27">
        <v>250</v>
      </c>
      <c r="L30" s="27">
        <v>444</v>
      </c>
      <c r="M30" s="27">
        <v>201</v>
      </c>
      <c r="N30" s="27">
        <v>450</v>
      </c>
      <c r="O30" s="33">
        <f t="shared" si="0"/>
        <v>4095</v>
      </c>
    </row>
    <row r="31" spans="2:15" x14ac:dyDescent="0.25">
      <c r="B31" s="26" t="s">
        <v>48</v>
      </c>
      <c r="C31" s="27">
        <v>0</v>
      </c>
      <c r="D31" s="27">
        <v>0</v>
      </c>
      <c r="E31" s="27">
        <v>450</v>
      </c>
      <c r="F31" s="27">
        <v>300</v>
      </c>
      <c r="G31" s="27">
        <v>400</v>
      </c>
      <c r="H31" s="27">
        <v>550</v>
      </c>
      <c r="I31" s="27">
        <v>600</v>
      </c>
      <c r="J31" s="27">
        <v>300</v>
      </c>
      <c r="K31" s="27">
        <v>320</v>
      </c>
      <c r="L31" s="27">
        <v>150</v>
      </c>
      <c r="M31" s="27">
        <v>450</v>
      </c>
      <c r="N31" s="27">
        <v>490</v>
      </c>
      <c r="O31" s="33">
        <f t="shared" si="0"/>
        <v>4010</v>
      </c>
    </row>
    <row r="32" spans="2:15" x14ac:dyDescent="0.25">
      <c r="B32" s="26" t="s">
        <v>30</v>
      </c>
      <c r="C32" s="27">
        <v>162</v>
      </c>
      <c r="D32" s="27">
        <v>210</v>
      </c>
      <c r="E32" s="27">
        <v>298</v>
      </c>
      <c r="F32" s="27">
        <v>268</v>
      </c>
      <c r="G32" s="27">
        <v>351</v>
      </c>
      <c r="H32" s="27">
        <v>527</v>
      </c>
      <c r="I32" s="27">
        <v>337</v>
      </c>
      <c r="J32" s="27">
        <v>514</v>
      </c>
      <c r="K32" s="27">
        <v>490</v>
      </c>
      <c r="L32" s="27">
        <v>294</v>
      </c>
      <c r="M32" s="27">
        <v>56</v>
      </c>
      <c r="N32" s="27">
        <v>232</v>
      </c>
      <c r="O32" s="33">
        <f t="shared" si="0"/>
        <v>3739</v>
      </c>
    </row>
    <row r="33" spans="2:15" x14ac:dyDescent="0.25">
      <c r="B33" s="26" t="s">
        <v>31</v>
      </c>
      <c r="C33" s="27">
        <v>280</v>
      </c>
      <c r="D33" s="27">
        <v>103</v>
      </c>
      <c r="E33" s="27">
        <v>281</v>
      </c>
      <c r="F33" s="27">
        <v>257</v>
      </c>
      <c r="G33" s="27">
        <v>382</v>
      </c>
      <c r="H33" s="27">
        <v>405</v>
      </c>
      <c r="I33" s="27">
        <v>241</v>
      </c>
      <c r="J33" s="27">
        <v>455</v>
      </c>
      <c r="K33" s="27">
        <v>501</v>
      </c>
      <c r="L33" s="27">
        <v>300</v>
      </c>
      <c r="M33" s="27">
        <v>194</v>
      </c>
      <c r="N33" s="27">
        <v>146</v>
      </c>
      <c r="O33" s="33">
        <f t="shared" si="0"/>
        <v>3545</v>
      </c>
    </row>
    <row r="34" spans="2:15" x14ac:dyDescent="0.25">
      <c r="B34" s="26" t="s">
        <v>37</v>
      </c>
      <c r="C34" s="27">
        <v>230</v>
      </c>
      <c r="D34" s="27">
        <v>153</v>
      </c>
      <c r="E34" s="27">
        <v>251</v>
      </c>
      <c r="F34" s="27">
        <v>225</v>
      </c>
      <c r="G34" s="27">
        <v>195</v>
      </c>
      <c r="H34" s="27">
        <v>188</v>
      </c>
      <c r="I34" s="27">
        <v>217</v>
      </c>
      <c r="J34" s="27">
        <v>274</v>
      </c>
      <c r="K34" s="27">
        <v>217</v>
      </c>
      <c r="L34" s="27">
        <v>219</v>
      </c>
      <c r="M34" s="27">
        <v>193</v>
      </c>
      <c r="N34" s="27">
        <v>218</v>
      </c>
      <c r="O34" s="33">
        <f t="shared" si="0"/>
        <v>2580</v>
      </c>
    </row>
    <row r="35" spans="2:15" x14ac:dyDescent="0.25">
      <c r="B35" s="26" t="s">
        <v>59</v>
      </c>
      <c r="C35" s="27">
        <v>196</v>
      </c>
      <c r="D35" s="27">
        <v>164</v>
      </c>
      <c r="E35" s="27">
        <v>71</v>
      </c>
      <c r="F35" s="27">
        <v>238</v>
      </c>
      <c r="G35" s="27">
        <v>228</v>
      </c>
      <c r="H35" s="27">
        <v>132</v>
      </c>
      <c r="I35" s="27">
        <v>270</v>
      </c>
      <c r="J35" s="27">
        <v>187</v>
      </c>
      <c r="K35" s="27">
        <v>207</v>
      </c>
      <c r="L35" s="27">
        <v>218</v>
      </c>
      <c r="M35" s="27">
        <v>177</v>
      </c>
      <c r="N35" s="27">
        <v>263</v>
      </c>
      <c r="O35" s="33">
        <f t="shared" si="0"/>
        <v>2351</v>
      </c>
    </row>
    <row r="36" spans="2:15" x14ac:dyDescent="0.25">
      <c r="B36" s="26" t="s">
        <v>35</v>
      </c>
      <c r="C36" s="27">
        <v>302</v>
      </c>
      <c r="D36" s="27">
        <v>100</v>
      </c>
      <c r="E36" s="27">
        <v>450</v>
      </c>
      <c r="F36" s="27">
        <v>202</v>
      </c>
      <c r="G36" s="27">
        <v>150</v>
      </c>
      <c r="H36" s="27">
        <v>158</v>
      </c>
      <c r="I36" s="27">
        <v>101</v>
      </c>
      <c r="J36" s="27">
        <v>254</v>
      </c>
      <c r="K36" s="27">
        <v>150</v>
      </c>
      <c r="L36" s="27">
        <v>150</v>
      </c>
      <c r="M36" s="27">
        <v>0</v>
      </c>
      <c r="N36" s="27">
        <v>150</v>
      </c>
      <c r="O36" s="33">
        <f t="shared" si="0"/>
        <v>2167</v>
      </c>
    </row>
    <row r="37" spans="2:15" x14ac:dyDescent="0.25">
      <c r="B37" s="26" t="s">
        <v>34</v>
      </c>
      <c r="C37" s="27">
        <v>100</v>
      </c>
      <c r="D37" s="27">
        <v>100</v>
      </c>
      <c r="E37" s="27">
        <v>300</v>
      </c>
      <c r="F37" s="27">
        <v>200</v>
      </c>
      <c r="G37" s="27">
        <v>150</v>
      </c>
      <c r="H37" s="27">
        <v>200</v>
      </c>
      <c r="I37" s="27">
        <v>250</v>
      </c>
      <c r="J37" s="27">
        <v>150</v>
      </c>
      <c r="K37" s="27">
        <v>250</v>
      </c>
      <c r="L37" s="27">
        <v>150</v>
      </c>
      <c r="M37" s="27">
        <v>150</v>
      </c>
      <c r="N37" s="27">
        <v>50</v>
      </c>
      <c r="O37" s="33">
        <f t="shared" si="0"/>
        <v>2050</v>
      </c>
    </row>
    <row r="38" spans="2:15" x14ac:dyDescent="0.25">
      <c r="B38" s="26" t="s">
        <v>40</v>
      </c>
      <c r="C38" s="27">
        <v>100</v>
      </c>
      <c r="D38" s="27">
        <v>50</v>
      </c>
      <c r="E38" s="27">
        <v>350</v>
      </c>
      <c r="F38" s="27">
        <v>150</v>
      </c>
      <c r="G38" s="27">
        <v>300</v>
      </c>
      <c r="H38" s="27">
        <v>100</v>
      </c>
      <c r="I38" s="27">
        <v>0</v>
      </c>
      <c r="J38" s="27">
        <v>200</v>
      </c>
      <c r="K38" s="27">
        <v>150</v>
      </c>
      <c r="L38" s="27">
        <v>100</v>
      </c>
      <c r="M38" s="27">
        <v>0</v>
      </c>
      <c r="N38" s="27">
        <v>100</v>
      </c>
      <c r="O38" s="33">
        <f t="shared" si="0"/>
        <v>1600</v>
      </c>
    </row>
    <row r="39" spans="2:15" x14ac:dyDescent="0.25">
      <c r="B39" s="26" t="s">
        <v>33</v>
      </c>
      <c r="C39" s="27">
        <v>150</v>
      </c>
      <c r="D39" s="27">
        <v>150</v>
      </c>
      <c r="E39" s="27">
        <v>200</v>
      </c>
      <c r="F39" s="27">
        <v>150</v>
      </c>
      <c r="G39" s="27">
        <v>100</v>
      </c>
      <c r="H39" s="27">
        <v>0</v>
      </c>
      <c r="I39" s="27">
        <v>200</v>
      </c>
      <c r="J39" s="27">
        <v>200</v>
      </c>
      <c r="K39" s="27">
        <v>0</v>
      </c>
      <c r="L39" s="27">
        <v>300</v>
      </c>
      <c r="M39" s="27">
        <v>0</v>
      </c>
      <c r="N39" s="27">
        <v>150</v>
      </c>
      <c r="O39" s="33">
        <f t="shared" si="0"/>
        <v>1600</v>
      </c>
    </row>
    <row r="40" spans="2:15" x14ac:dyDescent="0.25">
      <c r="B40" s="26" t="s">
        <v>54</v>
      </c>
      <c r="C40" s="27">
        <v>250</v>
      </c>
      <c r="D40" s="27">
        <v>100</v>
      </c>
      <c r="E40" s="27">
        <v>400</v>
      </c>
      <c r="F40" s="27">
        <v>50</v>
      </c>
      <c r="G40" s="27">
        <v>200</v>
      </c>
      <c r="H40" s="27">
        <v>150</v>
      </c>
      <c r="I40" s="27">
        <v>0</v>
      </c>
      <c r="J40" s="27">
        <v>200</v>
      </c>
      <c r="K40" s="27">
        <v>100</v>
      </c>
      <c r="L40" s="27">
        <v>0</v>
      </c>
      <c r="M40" s="27">
        <v>50</v>
      </c>
      <c r="N40" s="27">
        <v>50</v>
      </c>
      <c r="O40" s="33">
        <f t="shared" si="0"/>
        <v>1550</v>
      </c>
    </row>
    <row r="41" spans="2:15" x14ac:dyDescent="0.25">
      <c r="B41" s="26" t="s">
        <v>56</v>
      </c>
      <c r="C41" s="27">
        <v>150</v>
      </c>
      <c r="D41" s="27">
        <v>50</v>
      </c>
      <c r="E41" s="27">
        <v>100</v>
      </c>
      <c r="F41" s="27">
        <v>100</v>
      </c>
      <c r="G41" s="27">
        <v>150</v>
      </c>
      <c r="H41" s="27">
        <v>150</v>
      </c>
      <c r="I41" s="27">
        <v>150</v>
      </c>
      <c r="J41" s="27">
        <v>50</v>
      </c>
      <c r="K41" s="27">
        <v>100</v>
      </c>
      <c r="L41" s="27">
        <v>150</v>
      </c>
      <c r="M41" s="27">
        <v>150</v>
      </c>
      <c r="N41" s="27">
        <v>150</v>
      </c>
      <c r="O41" s="33">
        <f t="shared" si="0"/>
        <v>1450</v>
      </c>
    </row>
    <row r="42" spans="2:15" x14ac:dyDescent="0.25">
      <c r="B42" s="26" t="s">
        <v>60</v>
      </c>
      <c r="C42" s="27">
        <v>100</v>
      </c>
      <c r="D42" s="27">
        <v>0</v>
      </c>
      <c r="E42" s="27">
        <v>0</v>
      </c>
      <c r="F42" s="27">
        <v>200</v>
      </c>
      <c r="G42" s="27">
        <v>100</v>
      </c>
      <c r="H42" s="27">
        <v>100</v>
      </c>
      <c r="I42" s="27">
        <v>0</v>
      </c>
      <c r="J42" s="27">
        <v>150</v>
      </c>
      <c r="K42" s="27">
        <v>100</v>
      </c>
      <c r="L42" s="27">
        <v>250</v>
      </c>
      <c r="M42" s="27">
        <v>50</v>
      </c>
      <c r="N42" s="27">
        <v>150</v>
      </c>
      <c r="O42" s="33">
        <f t="shared" si="0"/>
        <v>1200</v>
      </c>
    </row>
    <row r="43" spans="2:15" x14ac:dyDescent="0.25">
      <c r="B43" s="26" t="s">
        <v>61</v>
      </c>
      <c r="C43" s="27">
        <v>300</v>
      </c>
      <c r="D43" s="27">
        <v>0</v>
      </c>
      <c r="E43" s="27">
        <v>300</v>
      </c>
      <c r="F43" s="27">
        <v>100</v>
      </c>
      <c r="G43" s="27">
        <v>250</v>
      </c>
      <c r="H43" s="27">
        <v>150</v>
      </c>
      <c r="I43" s="27">
        <v>0</v>
      </c>
      <c r="J43" s="27">
        <v>0</v>
      </c>
      <c r="K43" s="27">
        <v>50</v>
      </c>
      <c r="L43" s="27">
        <v>0</v>
      </c>
      <c r="M43" s="27">
        <v>0</v>
      </c>
      <c r="N43" s="27">
        <v>0</v>
      </c>
      <c r="O43" s="33">
        <f t="shared" si="0"/>
        <v>1150</v>
      </c>
    </row>
    <row r="44" spans="2:15" x14ac:dyDescent="0.25">
      <c r="B44" s="26" t="s">
        <v>43</v>
      </c>
      <c r="C44" s="27">
        <v>0</v>
      </c>
      <c r="D44" s="27">
        <v>50</v>
      </c>
      <c r="E44" s="27">
        <v>0</v>
      </c>
      <c r="F44" s="27">
        <v>150</v>
      </c>
      <c r="G44" s="27">
        <v>51</v>
      </c>
      <c r="H44" s="27">
        <v>160</v>
      </c>
      <c r="I44" s="27">
        <v>100</v>
      </c>
      <c r="J44" s="27">
        <v>50</v>
      </c>
      <c r="K44" s="27">
        <v>200</v>
      </c>
      <c r="L44" s="27">
        <v>100</v>
      </c>
      <c r="M44" s="27">
        <v>150</v>
      </c>
      <c r="N44" s="27">
        <v>0</v>
      </c>
      <c r="O44" s="33">
        <f t="shared" si="0"/>
        <v>1011</v>
      </c>
    </row>
    <row r="45" spans="2:15" x14ac:dyDescent="0.25">
      <c r="B45" s="26" t="s">
        <v>32</v>
      </c>
      <c r="C45" s="27">
        <v>70</v>
      </c>
      <c r="D45" s="27">
        <v>25</v>
      </c>
      <c r="E45" s="27">
        <v>77</v>
      </c>
      <c r="F45" s="27">
        <v>77</v>
      </c>
      <c r="G45" s="27">
        <v>102</v>
      </c>
      <c r="H45" s="27">
        <v>90</v>
      </c>
      <c r="I45" s="27">
        <v>0</v>
      </c>
      <c r="J45" s="27">
        <v>157</v>
      </c>
      <c r="K45" s="27">
        <v>37</v>
      </c>
      <c r="L45" s="27">
        <v>4</v>
      </c>
      <c r="M45" s="27">
        <v>132</v>
      </c>
      <c r="N45" s="27">
        <v>194</v>
      </c>
      <c r="O45" s="33">
        <f t="shared" si="0"/>
        <v>965</v>
      </c>
    </row>
    <row r="46" spans="2:15" x14ac:dyDescent="0.25">
      <c r="B46" s="26" t="s">
        <v>44</v>
      </c>
      <c r="C46" s="27">
        <v>50</v>
      </c>
      <c r="D46" s="27">
        <v>50</v>
      </c>
      <c r="E46" s="27">
        <v>200</v>
      </c>
      <c r="F46" s="27">
        <v>0</v>
      </c>
      <c r="G46" s="27">
        <v>100</v>
      </c>
      <c r="H46" s="27">
        <v>50</v>
      </c>
      <c r="I46" s="27">
        <v>0</v>
      </c>
      <c r="J46" s="27">
        <v>150</v>
      </c>
      <c r="K46" s="27">
        <v>0</v>
      </c>
      <c r="L46" s="27">
        <v>150</v>
      </c>
      <c r="M46" s="27">
        <v>0</v>
      </c>
      <c r="N46" s="27">
        <v>100</v>
      </c>
      <c r="O46" s="33">
        <f t="shared" si="0"/>
        <v>850</v>
      </c>
    </row>
    <row r="47" spans="2:15" x14ac:dyDescent="0.25">
      <c r="B47" s="26" t="s">
        <v>58</v>
      </c>
      <c r="C47" s="27">
        <v>50</v>
      </c>
      <c r="D47" s="27">
        <v>50</v>
      </c>
      <c r="E47" s="27">
        <v>200</v>
      </c>
      <c r="F47" s="27">
        <v>0</v>
      </c>
      <c r="G47" s="27">
        <v>100</v>
      </c>
      <c r="H47" s="27">
        <v>100</v>
      </c>
      <c r="I47" s="27">
        <v>0</v>
      </c>
      <c r="J47" s="27">
        <v>100</v>
      </c>
      <c r="K47" s="27">
        <v>100</v>
      </c>
      <c r="L47" s="27">
        <v>0</v>
      </c>
      <c r="M47" s="27">
        <v>150</v>
      </c>
      <c r="N47" s="27">
        <v>0</v>
      </c>
      <c r="O47" s="33">
        <f t="shared" si="0"/>
        <v>850</v>
      </c>
    </row>
    <row r="48" spans="2:15" x14ac:dyDescent="0.25">
      <c r="B48" s="26" t="s">
        <v>45</v>
      </c>
      <c r="C48" s="27">
        <v>0</v>
      </c>
      <c r="D48" s="27">
        <v>0</v>
      </c>
      <c r="E48" s="27">
        <v>30</v>
      </c>
      <c r="F48" s="27">
        <v>48</v>
      </c>
      <c r="G48" s="27">
        <v>30</v>
      </c>
      <c r="H48" s="27">
        <v>30</v>
      </c>
      <c r="I48" s="27">
        <v>30</v>
      </c>
      <c r="J48" s="27">
        <v>40</v>
      </c>
      <c r="K48" s="27">
        <v>0</v>
      </c>
      <c r="L48" s="27">
        <v>0</v>
      </c>
      <c r="M48" s="27">
        <v>90</v>
      </c>
      <c r="N48" s="27">
        <v>120</v>
      </c>
      <c r="O48" s="33">
        <f t="shared" si="0"/>
        <v>418</v>
      </c>
    </row>
    <row r="49" spans="2:15" x14ac:dyDescent="0.25">
      <c r="B49" s="26" t="s">
        <v>57</v>
      </c>
      <c r="C49" s="27">
        <v>0</v>
      </c>
      <c r="D49" s="27">
        <v>50</v>
      </c>
      <c r="E49" s="27">
        <v>50</v>
      </c>
      <c r="F49" s="27">
        <v>50</v>
      </c>
      <c r="G49" s="27">
        <v>50</v>
      </c>
      <c r="H49" s="27">
        <v>0</v>
      </c>
      <c r="I49" s="27">
        <v>100</v>
      </c>
      <c r="J49" s="27">
        <v>0</v>
      </c>
      <c r="K49" s="27">
        <v>0</v>
      </c>
      <c r="L49" s="27">
        <v>100</v>
      </c>
      <c r="M49" s="27">
        <v>0</v>
      </c>
      <c r="N49" s="27">
        <v>0</v>
      </c>
      <c r="O49" s="33">
        <f t="shared" si="0"/>
        <v>400</v>
      </c>
    </row>
    <row r="50" spans="2:15" x14ac:dyDescent="0.25">
      <c r="B50" s="26" t="s">
        <v>46</v>
      </c>
      <c r="C50" s="27">
        <v>5</v>
      </c>
      <c r="D50" s="27">
        <v>60</v>
      </c>
      <c r="E50" s="27">
        <v>58</v>
      </c>
      <c r="F50" s="27">
        <v>0</v>
      </c>
      <c r="G50" s="27">
        <v>20</v>
      </c>
      <c r="H50" s="27">
        <v>30</v>
      </c>
      <c r="I50" s="27">
        <v>30</v>
      </c>
      <c r="J50" s="27">
        <v>0</v>
      </c>
      <c r="K50" s="27">
        <v>63</v>
      </c>
      <c r="L50" s="27">
        <v>1</v>
      </c>
      <c r="M50" s="27">
        <v>20</v>
      </c>
      <c r="N50" s="27">
        <v>30</v>
      </c>
      <c r="O50" s="33">
        <f t="shared" si="0"/>
        <v>317</v>
      </c>
    </row>
    <row r="51" spans="2:15" x14ac:dyDescent="0.25">
      <c r="B51" s="26" t="s">
        <v>62</v>
      </c>
      <c r="C51" s="27">
        <v>36</v>
      </c>
      <c r="D51" s="27">
        <v>0</v>
      </c>
      <c r="E51" s="27">
        <v>0</v>
      </c>
      <c r="F51" s="27">
        <v>36</v>
      </c>
      <c r="G51" s="27">
        <v>0</v>
      </c>
      <c r="H51" s="27">
        <v>0</v>
      </c>
      <c r="I51" s="27">
        <v>36</v>
      </c>
      <c r="J51" s="27">
        <v>0</v>
      </c>
      <c r="K51" s="27">
        <v>36</v>
      </c>
      <c r="L51" s="27">
        <v>0</v>
      </c>
      <c r="M51" s="27">
        <v>0</v>
      </c>
      <c r="N51" s="27">
        <v>36</v>
      </c>
      <c r="O51" s="33">
        <f t="shared" si="0"/>
        <v>180</v>
      </c>
    </row>
    <row r="52" spans="2:15" x14ac:dyDescent="0.25">
      <c r="B52" s="26" t="s">
        <v>64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36</v>
      </c>
      <c r="I52" s="27">
        <v>36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33">
        <f t="shared" si="0"/>
        <v>72</v>
      </c>
    </row>
    <row r="53" spans="2:15" ht="15.75" thickBot="1" x14ac:dyDescent="0.3">
      <c r="B53" s="26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9"/>
      <c r="O53" s="33"/>
    </row>
    <row r="54" spans="2:15" ht="15.75" thickBot="1" x14ac:dyDescent="0.3">
      <c r="B54" s="29"/>
      <c r="C54" s="10">
        <f>SUM(C7:C52)</f>
        <v>36338</v>
      </c>
      <c r="D54" s="10">
        <f t="shared" ref="D54:O54" si="1">SUM(D7:D52)</f>
        <v>32327</v>
      </c>
      <c r="E54" s="10">
        <f t="shared" si="1"/>
        <v>39301</v>
      </c>
      <c r="F54" s="10">
        <f t="shared" si="1"/>
        <v>36417</v>
      </c>
      <c r="G54" s="10">
        <f t="shared" si="1"/>
        <v>40413</v>
      </c>
      <c r="H54" s="10">
        <f t="shared" si="1"/>
        <v>39582</v>
      </c>
      <c r="I54" s="10">
        <f t="shared" si="1"/>
        <v>42018</v>
      </c>
      <c r="J54" s="10">
        <f t="shared" si="1"/>
        <v>41924.199999999997</v>
      </c>
      <c r="K54" s="10">
        <f t="shared" si="1"/>
        <v>41857</v>
      </c>
      <c r="L54" s="10">
        <f t="shared" si="1"/>
        <v>32134</v>
      </c>
      <c r="M54" s="10">
        <f t="shared" si="1"/>
        <v>33227</v>
      </c>
      <c r="N54" s="10">
        <f t="shared" si="1"/>
        <v>39467</v>
      </c>
      <c r="O54" s="18">
        <f t="shared" si="1"/>
        <v>455005.2</v>
      </c>
    </row>
  </sheetData>
  <mergeCells count="3">
    <mergeCell ref="B2:O2"/>
    <mergeCell ref="B3:O3"/>
    <mergeCell ref="B4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"/>
  <sheetViews>
    <sheetView showGridLines="0" topLeftCell="A25" workbookViewId="0">
      <selection activeCell="F59" sqref="F59"/>
    </sheetView>
  </sheetViews>
  <sheetFormatPr baseColWidth="10" defaultColWidth="9.140625" defaultRowHeight="15" x14ac:dyDescent="0.25"/>
  <cols>
    <col min="1" max="1" width="4.140625" style="22" customWidth="1"/>
    <col min="2" max="2" width="36.7109375" style="22" bestFit="1" customWidth="1"/>
    <col min="3" max="10" width="10.5703125" style="22" customWidth="1"/>
    <col min="11" max="11" width="11.42578125" style="22" bestFit="1" customWidth="1"/>
    <col min="12" max="14" width="10.5703125" style="22" customWidth="1"/>
    <col min="15" max="16384" width="9.140625" style="22"/>
  </cols>
  <sheetData>
    <row r="2" spans="1:16" x14ac:dyDescent="0.25">
      <c r="B2" s="148" t="s">
        <v>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 spans="1:16" x14ac:dyDescent="0.25">
      <c r="B3" s="148" t="s">
        <v>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</row>
    <row r="4" spans="1:16" x14ac:dyDescent="0.25">
      <c r="B4" s="148" t="s">
        <v>74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</row>
    <row r="5" spans="1:16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6" ht="15.75" thickBot="1" x14ac:dyDescent="0.3">
      <c r="A6" s="24"/>
      <c r="B6" s="30" t="s">
        <v>3</v>
      </c>
      <c r="C6" s="31" t="s">
        <v>4</v>
      </c>
      <c r="D6" s="31" t="s">
        <v>5</v>
      </c>
      <c r="E6" s="31" t="s">
        <v>6</v>
      </c>
      <c r="F6" s="31" t="s">
        <v>7</v>
      </c>
      <c r="G6" s="31" t="s">
        <v>8</v>
      </c>
      <c r="H6" s="31" t="s">
        <v>9</v>
      </c>
      <c r="I6" s="31" t="s">
        <v>10</v>
      </c>
      <c r="J6" s="31" t="s">
        <v>11</v>
      </c>
      <c r="K6" s="31" t="s">
        <v>12</v>
      </c>
      <c r="L6" s="31" t="s">
        <v>13</v>
      </c>
      <c r="M6" s="31" t="s">
        <v>14</v>
      </c>
      <c r="N6" s="31" t="s">
        <v>15</v>
      </c>
      <c r="O6" s="32" t="s">
        <v>79</v>
      </c>
    </row>
    <row r="7" spans="1:16" x14ac:dyDescent="0.25">
      <c r="A7" s="25"/>
      <c r="B7" s="26" t="s">
        <v>16</v>
      </c>
      <c r="C7" s="27">
        <v>8759</v>
      </c>
      <c r="D7" s="27">
        <v>7108</v>
      </c>
      <c r="E7" s="27">
        <v>8678</v>
      </c>
      <c r="F7" s="27">
        <v>7516</v>
      </c>
      <c r="G7" s="27">
        <v>9709</v>
      </c>
      <c r="H7" s="27">
        <v>10219</v>
      </c>
      <c r="I7" s="27">
        <v>3790</v>
      </c>
      <c r="J7" s="27">
        <v>3583</v>
      </c>
      <c r="K7" s="27">
        <v>4134</v>
      </c>
      <c r="L7" s="27">
        <v>3556</v>
      </c>
      <c r="M7" s="27">
        <v>3096</v>
      </c>
      <c r="N7" s="27">
        <v>3796</v>
      </c>
      <c r="O7" s="33">
        <f t="shared" ref="O7:O51" si="0">SUM(C7:N7)</f>
        <v>73944</v>
      </c>
    </row>
    <row r="8" spans="1:16" x14ac:dyDescent="0.25">
      <c r="A8" s="25"/>
      <c r="B8" s="26" t="s">
        <v>20</v>
      </c>
      <c r="C8" s="27">
        <v>3981</v>
      </c>
      <c r="D8" s="27">
        <v>4368</v>
      </c>
      <c r="E8" s="27">
        <v>2329</v>
      </c>
      <c r="F8" s="27">
        <v>2408</v>
      </c>
      <c r="G8" s="27">
        <v>3353</v>
      </c>
      <c r="H8" s="27">
        <v>6474</v>
      </c>
      <c r="I8" s="27">
        <v>1617</v>
      </c>
      <c r="J8" s="27">
        <v>1578</v>
      </c>
      <c r="K8" s="27">
        <v>1676</v>
      </c>
      <c r="L8" s="27">
        <v>5488</v>
      </c>
      <c r="M8" s="27">
        <v>1076</v>
      </c>
      <c r="N8" s="27">
        <v>1509</v>
      </c>
      <c r="O8" s="33">
        <f t="shared" si="0"/>
        <v>35857</v>
      </c>
    </row>
    <row r="9" spans="1:16" x14ac:dyDescent="0.25">
      <c r="A9" s="25"/>
      <c r="B9" s="26" t="s">
        <v>28</v>
      </c>
      <c r="C9" s="27">
        <v>2756</v>
      </c>
      <c r="D9" s="27">
        <v>2516</v>
      </c>
      <c r="E9" s="27">
        <v>3193</v>
      </c>
      <c r="F9" s="27">
        <v>2978</v>
      </c>
      <c r="G9" s="27">
        <v>3185</v>
      </c>
      <c r="H9" s="27">
        <v>3570</v>
      </c>
      <c r="I9" s="27">
        <v>3057</v>
      </c>
      <c r="J9" s="27">
        <v>2909</v>
      </c>
      <c r="K9" s="27">
        <v>2782</v>
      </c>
      <c r="L9" s="27">
        <v>2680</v>
      </c>
      <c r="M9" s="27">
        <v>2749</v>
      </c>
      <c r="N9" s="27">
        <v>2639</v>
      </c>
      <c r="O9" s="33">
        <f t="shared" si="0"/>
        <v>35014</v>
      </c>
    </row>
    <row r="10" spans="1:16" x14ac:dyDescent="0.25">
      <c r="A10" s="25"/>
      <c r="B10" s="26" t="s">
        <v>49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5560</v>
      </c>
      <c r="J10" s="27">
        <v>4495</v>
      </c>
      <c r="K10" s="27">
        <v>5423</v>
      </c>
      <c r="L10" s="27">
        <v>5111</v>
      </c>
      <c r="M10" s="27">
        <v>4954</v>
      </c>
      <c r="N10" s="27">
        <v>7014</v>
      </c>
      <c r="O10" s="33">
        <f t="shared" si="0"/>
        <v>32557</v>
      </c>
    </row>
    <row r="11" spans="1:16" x14ac:dyDescent="0.25">
      <c r="A11" s="25"/>
      <c r="B11" s="26" t="s">
        <v>17</v>
      </c>
      <c r="C11" s="27">
        <v>3183</v>
      </c>
      <c r="D11" s="27">
        <v>2820</v>
      </c>
      <c r="E11" s="27">
        <v>3137</v>
      </c>
      <c r="F11" s="27">
        <v>2195</v>
      </c>
      <c r="G11" s="27">
        <v>3468</v>
      </c>
      <c r="H11" s="27">
        <v>3719</v>
      </c>
      <c r="I11" s="27">
        <v>2164</v>
      </c>
      <c r="J11" s="27">
        <v>2070</v>
      </c>
      <c r="K11" s="27">
        <v>2184</v>
      </c>
      <c r="L11" s="27">
        <v>1998</v>
      </c>
      <c r="M11" s="27">
        <v>2132</v>
      </c>
      <c r="N11" s="27">
        <v>1914</v>
      </c>
      <c r="O11" s="33">
        <f t="shared" si="0"/>
        <v>30984</v>
      </c>
    </row>
    <row r="12" spans="1:16" x14ac:dyDescent="0.25">
      <c r="A12" s="25"/>
      <c r="B12" s="26" t="s">
        <v>19</v>
      </c>
      <c r="C12" s="27">
        <v>2906</v>
      </c>
      <c r="D12" s="27">
        <v>1968</v>
      </c>
      <c r="E12" s="27">
        <v>1818</v>
      </c>
      <c r="F12" s="27">
        <v>2732</v>
      </c>
      <c r="G12" s="27">
        <v>2653</v>
      </c>
      <c r="H12" s="27">
        <v>2524</v>
      </c>
      <c r="I12" s="27">
        <v>3555</v>
      </c>
      <c r="J12" s="27">
        <v>2533</v>
      </c>
      <c r="K12" s="27">
        <v>2988</v>
      </c>
      <c r="L12" s="27">
        <v>2240</v>
      </c>
      <c r="M12" s="27">
        <v>2266</v>
      </c>
      <c r="N12" s="27">
        <v>2376</v>
      </c>
      <c r="O12" s="33">
        <f t="shared" si="0"/>
        <v>30559</v>
      </c>
    </row>
    <row r="13" spans="1:16" x14ac:dyDescent="0.25">
      <c r="A13" s="25"/>
      <c r="B13" s="26" t="s">
        <v>18</v>
      </c>
      <c r="C13" s="27">
        <v>2715</v>
      </c>
      <c r="D13" s="27">
        <v>2436</v>
      </c>
      <c r="E13" s="27">
        <v>2549</v>
      </c>
      <c r="F13" s="27">
        <v>2597</v>
      </c>
      <c r="G13" s="27">
        <v>2838</v>
      </c>
      <c r="H13" s="27">
        <v>3363</v>
      </c>
      <c r="I13" s="27">
        <v>729</v>
      </c>
      <c r="J13" s="27">
        <v>716</v>
      </c>
      <c r="K13" s="27">
        <v>1778</v>
      </c>
      <c r="L13" s="27">
        <v>273</v>
      </c>
      <c r="M13" s="27">
        <v>431</v>
      </c>
      <c r="N13" s="27">
        <v>411</v>
      </c>
      <c r="O13" s="33">
        <f t="shared" si="0"/>
        <v>20836</v>
      </c>
    </row>
    <row r="14" spans="1:16" x14ac:dyDescent="0.25">
      <c r="A14" s="25"/>
      <c r="B14" s="26" t="s">
        <v>22</v>
      </c>
      <c r="C14" s="27">
        <v>1976</v>
      </c>
      <c r="D14" s="27">
        <v>1355</v>
      </c>
      <c r="E14" s="27">
        <v>1307</v>
      </c>
      <c r="F14" s="27">
        <v>2057</v>
      </c>
      <c r="G14" s="27">
        <v>1854</v>
      </c>
      <c r="H14" s="27">
        <v>1774</v>
      </c>
      <c r="I14" s="27">
        <v>2409</v>
      </c>
      <c r="J14" s="27">
        <v>1713</v>
      </c>
      <c r="K14" s="27">
        <v>1547</v>
      </c>
      <c r="L14" s="27">
        <v>1562</v>
      </c>
      <c r="M14" s="27">
        <v>1713</v>
      </c>
      <c r="N14" s="27">
        <v>1319</v>
      </c>
      <c r="O14" s="33">
        <f t="shared" si="0"/>
        <v>20586</v>
      </c>
    </row>
    <row r="15" spans="1:16" x14ac:dyDescent="0.25">
      <c r="A15" s="25"/>
      <c r="B15" s="26" t="s">
        <v>53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4264</v>
      </c>
      <c r="J15" s="27">
        <v>4272</v>
      </c>
      <c r="K15" s="27">
        <v>3444</v>
      </c>
      <c r="L15" s="27">
        <v>3604</v>
      </c>
      <c r="M15" s="27">
        <v>1106</v>
      </c>
      <c r="N15" s="27">
        <v>2694</v>
      </c>
      <c r="O15" s="33">
        <f t="shared" si="0"/>
        <v>19384</v>
      </c>
    </row>
    <row r="16" spans="1:16" x14ac:dyDescent="0.25">
      <c r="A16" s="25"/>
      <c r="B16" s="26" t="s">
        <v>25</v>
      </c>
      <c r="C16" s="27">
        <v>1200</v>
      </c>
      <c r="D16" s="27">
        <v>1207</v>
      </c>
      <c r="E16" s="27">
        <v>1341</v>
      </c>
      <c r="F16" s="27">
        <v>1503</v>
      </c>
      <c r="G16" s="27">
        <v>1719</v>
      </c>
      <c r="H16" s="27">
        <v>1585</v>
      </c>
      <c r="I16" s="27">
        <v>2000</v>
      </c>
      <c r="J16" s="27">
        <v>1608</v>
      </c>
      <c r="K16" s="27">
        <v>2282</v>
      </c>
      <c r="L16" s="27">
        <v>981</v>
      </c>
      <c r="M16" s="27">
        <v>1469</v>
      </c>
      <c r="N16" s="27">
        <v>1149</v>
      </c>
      <c r="O16" s="33">
        <f t="shared" si="0"/>
        <v>18044</v>
      </c>
    </row>
    <row r="17" spans="1:15" x14ac:dyDescent="0.25">
      <c r="A17" s="25"/>
      <c r="B17" s="26" t="s">
        <v>51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2304</v>
      </c>
      <c r="J17" s="27">
        <v>1949</v>
      </c>
      <c r="K17" s="27">
        <v>2253</v>
      </c>
      <c r="L17" s="27">
        <v>2261</v>
      </c>
      <c r="M17" s="27">
        <v>2269</v>
      </c>
      <c r="N17" s="27">
        <v>2961</v>
      </c>
      <c r="O17" s="33">
        <f t="shared" si="0"/>
        <v>13997</v>
      </c>
    </row>
    <row r="18" spans="1:15" x14ac:dyDescent="0.25">
      <c r="A18" s="25"/>
      <c r="B18" s="26" t="s">
        <v>24</v>
      </c>
      <c r="C18" s="27">
        <v>931</v>
      </c>
      <c r="D18" s="27">
        <v>803</v>
      </c>
      <c r="E18" s="27">
        <v>1230</v>
      </c>
      <c r="F18" s="27">
        <v>1328</v>
      </c>
      <c r="G18" s="27">
        <v>1337</v>
      </c>
      <c r="H18" s="27">
        <v>1181</v>
      </c>
      <c r="I18" s="27">
        <v>1180</v>
      </c>
      <c r="J18" s="27">
        <v>999</v>
      </c>
      <c r="K18" s="27">
        <v>985</v>
      </c>
      <c r="L18" s="27">
        <v>934</v>
      </c>
      <c r="M18" s="27">
        <v>1127</v>
      </c>
      <c r="N18" s="27">
        <v>748</v>
      </c>
      <c r="O18" s="33">
        <f t="shared" si="0"/>
        <v>12783</v>
      </c>
    </row>
    <row r="19" spans="1:15" x14ac:dyDescent="0.25">
      <c r="A19" s="25"/>
      <c r="B19" s="26" t="s">
        <v>21</v>
      </c>
      <c r="C19" s="27">
        <v>858</v>
      </c>
      <c r="D19" s="27">
        <v>298</v>
      </c>
      <c r="E19" s="27">
        <v>735</v>
      </c>
      <c r="F19" s="27">
        <v>536</v>
      </c>
      <c r="G19" s="27">
        <v>676</v>
      </c>
      <c r="H19" s="27">
        <v>2570</v>
      </c>
      <c r="I19" s="27">
        <v>1026</v>
      </c>
      <c r="J19" s="27">
        <v>1113</v>
      </c>
      <c r="K19" s="27">
        <v>1013</v>
      </c>
      <c r="L19" s="27">
        <v>1077</v>
      </c>
      <c r="M19" s="27">
        <v>1042</v>
      </c>
      <c r="N19" s="27">
        <v>928</v>
      </c>
      <c r="O19" s="33">
        <f t="shared" si="0"/>
        <v>11872</v>
      </c>
    </row>
    <row r="20" spans="1:15" x14ac:dyDescent="0.25">
      <c r="A20" s="25"/>
      <c r="B20" s="26" t="s">
        <v>52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1868</v>
      </c>
      <c r="J20" s="27">
        <v>1371</v>
      </c>
      <c r="K20" s="27">
        <v>1597</v>
      </c>
      <c r="L20" s="27">
        <v>1634</v>
      </c>
      <c r="M20" s="27">
        <v>1243</v>
      </c>
      <c r="N20" s="27">
        <v>2011</v>
      </c>
      <c r="O20" s="33">
        <f t="shared" si="0"/>
        <v>9724</v>
      </c>
    </row>
    <row r="21" spans="1:15" x14ac:dyDescent="0.25">
      <c r="A21" s="25"/>
      <c r="B21" s="26" t="s">
        <v>26</v>
      </c>
      <c r="C21" s="27">
        <v>560</v>
      </c>
      <c r="D21" s="27">
        <v>436</v>
      </c>
      <c r="E21" s="27">
        <v>617</v>
      </c>
      <c r="F21" s="27">
        <v>764</v>
      </c>
      <c r="G21" s="27">
        <v>709</v>
      </c>
      <c r="H21" s="27">
        <v>707</v>
      </c>
      <c r="I21" s="27">
        <v>478</v>
      </c>
      <c r="J21" s="27">
        <v>533</v>
      </c>
      <c r="K21" s="27">
        <v>608</v>
      </c>
      <c r="L21" s="27">
        <v>495</v>
      </c>
      <c r="M21" s="27">
        <v>418</v>
      </c>
      <c r="N21" s="27">
        <v>471</v>
      </c>
      <c r="O21" s="33">
        <f t="shared" si="0"/>
        <v>6796</v>
      </c>
    </row>
    <row r="22" spans="1:15" x14ac:dyDescent="0.25">
      <c r="A22" s="25"/>
      <c r="B22" s="26" t="s">
        <v>23</v>
      </c>
      <c r="C22" s="27">
        <v>264</v>
      </c>
      <c r="D22" s="27">
        <v>262</v>
      </c>
      <c r="E22" s="27">
        <v>425</v>
      </c>
      <c r="F22" s="27">
        <v>638</v>
      </c>
      <c r="G22" s="27">
        <v>593</v>
      </c>
      <c r="H22" s="27">
        <v>657</v>
      </c>
      <c r="I22" s="27">
        <v>553</v>
      </c>
      <c r="J22" s="27">
        <v>486</v>
      </c>
      <c r="K22" s="27">
        <v>663</v>
      </c>
      <c r="L22" s="27">
        <v>519</v>
      </c>
      <c r="M22" s="27">
        <v>391</v>
      </c>
      <c r="N22" s="27">
        <v>353</v>
      </c>
      <c r="O22" s="33">
        <f t="shared" si="0"/>
        <v>5804</v>
      </c>
    </row>
    <row r="23" spans="1:15" x14ac:dyDescent="0.25">
      <c r="A23" s="25"/>
      <c r="B23" s="26" t="s">
        <v>29</v>
      </c>
      <c r="C23" s="27">
        <v>519</v>
      </c>
      <c r="D23" s="27">
        <v>451</v>
      </c>
      <c r="E23" s="27">
        <v>625</v>
      </c>
      <c r="F23" s="27">
        <v>465</v>
      </c>
      <c r="G23" s="27">
        <v>463</v>
      </c>
      <c r="H23" s="27">
        <v>559</v>
      </c>
      <c r="I23" s="27">
        <v>442</v>
      </c>
      <c r="J23" s="27">
        <v>424</v>
      </c>
      <c r="K23" s="27">
        <v>383</v>
      </c>
      <c r="L23" s="27">
        <v>377</v>
      </c>
      <c r="M23" s="27">
        <v>388</v>
      </c>
      <c r="N23" s="27">
        <v>502</v>
      </c>
      <c r="O23" s="33">
        <f t="shared" si="0"/>
        <v>5598</v>
      </c>
    </row>
    <row r="24" spans="1:15" x14ac:dyDescent="0.25">
      <c r="A24" s="25"/>
      <c r="B24" s="26" t="s">
        <v>42</v>
      </c>
      <c r="C24" s="27">
        <v>403</v>
      </c>
      <c r="D24" s="27">
        <v>400</v>
      </c>
      <c r="E24" s="27">
        <v>900</v>
      </c>
      <c r="F24" s="27">
        <v>584</v>
      </c>
      <c r="G24" s="27">
        <v>5</v>
      </c>
      <c r="H24" s="27">
        <v>0</v>
      </c>
      <c r="I24" s="27">
        <v>500</v>
      </c>
      <c r="J24" s="27">
        <v>0</v>
      </c>
      <c r="K24" s="27">
        <v>350</v>
      </c>
      <c r="L24" s="27">
        <v>200</v>
      </c>
      <c r="M24" s="27">
        <v>400</v>
      </c>
      <c r="N24" s="27">
        <v>450</v>
      </c>
      <c r="O24" s="33">
        <f t="shared" si="0"/>
        <v>4192</v>
      </c>
    </row>
    <row r="25" spans="1:15" x14ac:dyDescent="0.25">
      <c r="A25" s="25"/>
      <c r="B25" s="26" t="s">
        <v>30</v>
      </c>
      <c r="C25" s="27">
        <v>257</v>
      </c>
      <c r="D25" s="27">
        <v>145</v>
      </c>
      <c r="E25" s="27">
        <v>238</v>
      </c>
      <c r="F25" s="27">
        <v>173</v>
      </c>
      <c r="G25" s="27">
        <v>638</v>
      </c>
      <c r="H25" s="27">
        <v>679</v>
      </c>
      <c r="I25" s="27">
        <v>353</v>
      </c>
      <c r="J25" s="27">
        <v>186</v>
      </c>
      <c r="K25" s="27">
        <v>305</v>
      </c>
      <c r="L25" s="27">
        <v>220</v>
      </c>
      <c r="M25" s="27">
        <v>306</v>
      </c>
      <c r="N25" s="27">
        <v>204</v>
      </c>
      <c r="O25" s="33">
        <f t="shared" si="0"/>
        <v>3704</v>
      </c>
    </row>
    <row r="26" spans="1:15" x14ac:dyDescent="0.25">
      <c r="A26" s="25"/>
      <c r="B26" s="26" t="s">
        <v>31</v>
      </c>
      <c r="C26" s="27">
        <v>418</v>
      </c>
      <c r="D26" s="27">
        <v>72</v>
      </c>
      <c r="E26" s="27">
        <v>388</v>
      </c>
      <c r="F26" s="27">
        <v>259</v>
      </c>
      <c r="G26" s="27">
        <v>382</v>
      </c>
      <c r="H26" s="27">
        <v>302</v>
      </c>
      <c r="I26" s="27">
        <v>214</v>
      </c>
      <c r="J26" s="27">
        <v>247</v>
      </c>
      <c r="K26" s="27">
        <v>360</v>
      </c>
      <c r="L26" s="27">
        <v>187</v>
      </c>
      <c r="M26" s="27">
        <v>266</v>
      </c>
      <c r="N26" s="27">
        <v>183</v>
      </c>
      <c r="O26" s="33">
        <f t="shared" si="0"/>
        <v>3278</v>
      </c>
    </row>
    <row r="27" spans="1:15" x14ac:dyDescent="0.25">
      <c r="A27" s="25"/>
      <c r="B27" s="26" t="s">
        <v>37</v>
      </c>
      <c r="C27" s="27">
        <v>257</v>
      </c>
      <c r="D27" s="27">
        <v>245</v>
      </c>
      <c r="E27" s="27">
        <v>321</v>
      </c>
      <c r="F27" s="27">
        <v>209</v>
      </c>
      <c r="G27" s="27">
        <v>250</v>
      </c>
      <c r="H27" s="27">
        <v>298</v>
      </c>
      <c r="I27" s="27">
        <v>241</v>
      </c>
      <c r="J27" s="27">
        <v>198</v>
      </c>
      <c r="K27" s="27">
        <v>236</v>
      </c>
      <c r="L27" s="27">
        <v>234</v>
      </c>
      <c r="M27" s="27">
        <v>279</v>
      </c>
      <c r="N27" s="27">
        <v>294</v>
      </c>
      <c r="O27" s="33">
        <f t="shared" si="0"/>
        <v>3062</v>
      </c>
    </row>
    <row r="28" spans="1:15" x14ac:dyDescent="0.25">
      <c r="A28" s="25"/>
      <c r="B28" s="26" t="s">
        <v>27</v>
      </c>
      <c r="C28" s="27">
        <v>219</v>
      </c>
      <c r="D28" s="27">
        <v>164</v>
      </c>
      <c r="E28" s="27">
        <v>126</v>
      </c>
      <c r="F28" s="27">
        <v>191</v>
      </c>
      <c r="G28" s="27">
        <v>348</v>
      </c>
      <c r="H28" s="27">
        <v>357</v>
      </c>
      <c r="I28" s="27">
        <v>261</v>
      </c>
      <c r="J28" s="27">
        <v>347</v>
      </c>
      <c r="K28" s="27">
        <v>258</v>
      </c>
      <c r="L28" s="27">
        <v>273</v>
      </c>
      <c r="M28" s="27">
        <v>288</v>
      </c>
      <c r="N28" s="27">
        <v>203</v>
      </c>
      <c r="O28" s="33">
        <f t="shared" si="0"/>
        <v>3035</v>
      </c>
    </row>
    <row r="29" spans="1:15" x14ac:dyDescent="0.25">
      <c r="A29" s="25"/>
      <c r="B29" s="26" t="s">
        <v>55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850</v>
      </c>
      <c r="J29" s="27">
        <v>300</v>
      </c>
      <c r="K29" s="27">
        <v>200</v>
      </c>
      <c r="L29" s="27">
        <v>350</v>
      </c>
      <c r="M29" s="27">
        <v>700</v>
      </c>
      <c r="N29" s="27">
        <v>450</v>
      </c>
      <c r="O29" s="33">
        <f t="shared" si="0"/>
        <v>2850</v>
      </c>
    </row>
    <row r="30" spans="1:15" x14ac:dyDescent="0.25">
      <c r="A30" s="25"/>
      <c r="B30" s="26" t="s">
        <v>50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275</v>
      </c>
      <c r="J30" s="27">
        <v>442</v>
      </c>
      <c r="K30" s="27">
        <v>294</v>
      </c>
      <c r="L30" s="27">
        <v>459</v>
      </c>
      <c r="M30" s="27">
        <v>668</v>
      </c>
      <c r="N30" s="27">
        <v>492</v>
      </c>
      <c r="O30" s="33">
        <f t="shared" si="0"/>
        <v>2630</v>
      </c>
    </row>
    <row r="31" spans="1:15" x14ac:dyDescent="0.25">
      <c r="A31" s="25"/>
      <c r="B31" s="26" t="s">
        <v>36</v>
      </c>
      <c r="C31" s="27">
        <v>156</v>
      </c>
      <c r="D31" s="27">
        <v>100</v>
      </c>
      <c r="E31" s="27">
        <v>252</v>
      </c>
      <c r="F31" s="27">
        <v>205</v>
      </c>
      <c r="G31" s="27">
        <v>0</v>
      </c>
      <c r="H31" s="27">
        <v>10</v>
      </c>
      <c r="I31" s="27">
        <v>200</v>
      </c>
      <c r="J31" s="27">
        <v>150</v>
      </c>
      <c r="K31" s="27">
        <v>150</v>
      </c>
      <c r="L31" s="27">
        <v>100</v>
      </c>
      <c r="M31" s="27">
        <v>450</v>
      </c>
      <c r="N31" s="27">
        <v>500</v>
      </c>
      <c r="O31" s="33">
        <f t="shared" si="0"/>
        <v>2273</v>
      </c>
    </row>
    <row r="32" spans="1:15" x14ac:dyDescent="0.25">
      <c r="A32" s="25"/>
      <c r="B32" s="26" t="s">
        <v>34</v>
      </c>
      <c r="C32" s="27">
        <v>160</v>
      </c>
      <c r="D32" s="27">
        <v>200</v>
      </c>
      <c r="E32" s="27">
        <v>450</v>
      </c>
      <c r="F32" s="27">
        <v>200</v>
      </c>
      <c r="G32" s="27">
        <v>0</v>
      </c>
      <c r="H32" s="27">
        <v>0</v>
      </c>
      <c r="I32" s="27">
        <v>200</v>
      </c>
      <c r="J32" s="27">
        <v>100</v>
      </c>
      <c r="K32" s="27">
        <v>200</v>
      </c>
      <c r="L32" s="27">
        <v>150</v>
      </c>
      <c r="M32" s="27">
        <v>150</v>
      </c>
      <c r="N32" s="27">
        <v>150</v>
      </c>
      <c r="O32" s="33">
        <f t="shared" si="0"/>
        <v>1960</v>
      </c>
    </row>
    <row r="33" spans="1:15" s="35" customFormat="1" x14ac:dyDescent="0.25">
      <c r="A33" s="25"/>
      <c r="B33" s="36" t="s">
        <v>94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f>+(672)*1.9</f>
        <v>1276.8</v>
      </c>
      <c r="M33" s="27">
        <f>+(252)*1.9</f>
        <v>478.79999999999995</v>
      </c>
      <c r="N33" s="27">
        <v>0</v>
      </c>
      <c r="O33" s="34">
        <f t="shared" si="0"/>
        <v>1755.6</v>
      </c>
    </row>
    <row r="34" spans="1:15" x14ac:dyDescent="0.25">
      <c r="A34" s="25"/>
      <c r="B34" s="26" t="s">
        <v>35</v>
      </c>
      <c r="C34" s="27">
        <v>105</v>
      </c>
      <c r="D34" s="27">
        <v>163</v>
      </c>
      <c r="E34" s="27">
        <v>205</v>
      </c>
      <c r="F34" s="27">
        <v>152</v>
      </c>
      <c r="G34" s="27">
        <v>4</v>
      </c>
      <c r="H34" s="27">
        <v>0</v>
      </c>
      <c r="I34" s="27">
        <v>150</v>
      </c>
      <c r="J34" s="27">
        <v>50</v>
      </c>
      <c r="K34" s="27">
        <v>100</v>
      </c>
      <c r="L34" s="27">
        <v>154</v>
      </c>
      <c r="M34" s="27">
        <v>100</v>
      </c>
      <c r="N34" s="27">
        <v>300</v>
      </c>
      <c r="O34" s="33">
        <f t="shared" si="0"/>
        <v>1483</v>
      </c>
    </row>
    <row r="35" spans="1:15" x14ac:dyDescent="0.25">
      <c r="A35" s="25"/>
      <c r="B35" s="26" t="s">
        <v>48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7</v>
      </c>
      <c r="I35" s="27">
        <v>270</v>
      </c>
      <c r="J35" s="27">
        <v>200</v>
      </c>
      <c r="K35" s="27">
        <v>240</v>
      </c>
      <c r="L35" s="27">
        <v>50</v>
      </c>
      <c r="M35" s="27">
        <v>200</v>
      </c>
      <c r="N35" s="27">
        <v>350</v>
      </c>
      <c r="O35" s="33">
        <f t="shared" si="0"/>
        <v>1317</v>
      </c>
    </row>
    <row r="36" spans="1:15" x14ac:dyDescent="0.25">
      <c r="A36" s="25"/>
      <c r="B36" s="26" t="s">
        <v>59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235</v>
      </c>
      <c r="J36" s="27">
        <v>193</v>
      </c>
      <c r="K36" s="27">
        <v>197</v>
      </c>
      <c r="L36" s="27">
        <v>182</v>
      </c>
      <c r="M36" s="27">
        <v>173</v>
      </c>
      <c r="N36" s="27">
        <v>253</v>
      </c>
      <c r="O36" s="33">
        <f t="shared" si="0"/>
        <v>1233</v>
      </c>
    </row>
    <row r="37" spans="1:15" x14ac:dyDescent="0.25">
      <c r="A37" s="25"/>
      <c r="B37" s="26" t="s">
        <v>43</v>
      </c>
      <c r="C37" s="27">
        <v>101</v>
      </c>
      <c r="D37" s="27">
        <v>85</v>
      </c>
      <c r="E37" s="27">
        <v>250</v>
      </c>
      <c r="F37" s="27">
        <v>60</v>
      </c>
      <c r="G37" s="27">
        <v>8</v>
      </c>
      <c r="H37" s="27">
        <v>0</v>
      </c>
      <c r="I37" s="27">
        <v>100</v>
      </c>
      <c r="J37" s="27">
        <v>50</v>
      </c>
      <c r="K37" s="27">
        <v>100</v>
      </c>
      <c r="L37" s="27">
        <v>100</v>
      </c>
      <c r="M37" s="27">
        <v>150</v>
      </c>
      <c r="N37" s="27">
        <v>100</v>
      </c>
      <c r="O37" s="33">
        <f t="shared" si="0"/>
        <v>1104</v>
      </c>
    </row>
    <row r="38" spans="1:15" x14ac:dyDescent="0.25">
      <c r="A38" s="25"/>
      <c r="B38" s="26" t="s">
        <v>44</v>
      </c>
      <c r="C38" s="27">
        <v>150</v>
      </c>
      <c r="D38" s="27">
        <v>50</v>
      </c>
      <c r="E38" s="27">
        <v>250</v>
      </c>
      <c r="F38" s="27">
        <v>150</v>
      </c>
      <c r="G38" s="27">
        <v>2</v>
      </c>
      <c r="H38" s="27">
        <v>1</v>
      </c>
      <c r="I38" s="27">
        <v>100</v>
      </c>
      <c r="J38" s="27">
        <v>50</v>
      </c>
      <c r="K38" s="27">
        <v>150</v>
      </c>
      <c r="L38" s="27">
        <v>100</v>
      </c>
      <c r="M38" s="27">
        <v>50</v>
      </c>
      <c r="N38" s="27">
        <v>50</v>
      </c>
      <c r="O38" s="33">
        <f t="shared" si="0"/>
        <v>1103</v>
      </c>
    </row>
    <row r="39" spans="1:15" x14ac:dyDescent="0.25">
      <c r="A39" s="25"/>
      <c r="B39" s="26" t="s">
        <v>40</v>
      </c>
      <c r="C39" s="27">
        <v>100</v>
      </c>
      <c r="D39" s="27">
        <v>50</v>
      </c>
      <c r="E39" s="27">
        <v>50</v>
      </c>
      <c r="F39" s="27">
        <v>0</v>
      </c>
      <c r="G39" s="27">
        <v>0</v>
      </c>
      <c r="H39" s="27">
        <v>0</v>
      </c>
      <c r="I39" s="27">
        <v>50</v>
      </c>
      <c r="J39" s="27">
        <v>50</v>
      </c>
      <c r="K39" s="27">
        <v>50</v>
      </c>
      <c r="L39" s="27">
        <v>50</v>
      </c>
      <c r="M39" s="27">
        <v>50</v>
      </c>
      <c r="N39" s="27">
        <v>250</v>
      </c>
      <c r="O39" s="33">
        <f t="shared" si="0"/>
        <v>700</v>
      </c>
    </row>
    <row r="40" spans="1:15" x14ac:dyDescent="0.25">
      <c r="A40" s="25"/>
      <c r="B40" s="26" t="s">
        <v>46</v>
      </c>
      <c r="C40" s="27">
        <v>60</v>
      </c>
      <c r="D40" s="27">
        <v>0</v>
      </c>
      <c r="E40" s="27">
        <v>90</v>
      </c>
      <c r="F40" s="27">
        <v>90</v>
      </c>
      <c r="G40" s="27">
        <v>0</v>
      </c>
      <c r="H40" s="27">
        <v>90</v>
      </c>
      <c r="I40" s="27">
        <v>0</v>
      </c>
      <c r="J40" s="27">
        <v>56</v>
      </c>
      <c r="K40" s="27">
        <v>36</v>
      </c>
      <c r="L40" s="27">
        <v>31</v>
      </c>
      <c r="M40" s="27">
        <v>60</v>
      </c>
      <c r="N40" s="27">
        <v>30</v>
      </c>
      <c r="O40" s="33">
        <f t="shared" si="0"/>
        <v>543</v>
      </c>
    </row>
    <row r="41" spans="1:15" x14ac:dyDescent="0.25">
      <c r="A41" s="25"/>
      <c r="B41" s="26" t="s">
        <v>32</v>
      </c>
      <c r="C41" s="27">
        <v>12</v>
      </c>
      <c r="D41" s="27">
        <v>0</v>
      </c>
      <c r="E41" s="27">
        <v>53</v>
      </c>
      <c r="F41" s="27">
        <v>9</v>
      </c>
      <c r="G41" s="27">
        <v>29</v>
      </c>
      <c r="H41" s="27">
        <v>38</v>
      </c>
      <c r="I41" s="27">
        <v>86</v>
      </c>
      <c r="J41" s="27">
        <v>51</v>
      </c>
      <c r="K41" s="27">
        <v>62</v>
      </c>
      <c r="L41" s="27">
        <v>50</v>
      </c>
      <c r="M41" s="27">
        <v>1</v>
      </c>
      <c r="N41" s="27">
        <v>12</v>
      </c>
      <c r="O41" s="33">
        <f t="shared" si="0"/>
        <v>403</v>
      </c>
    </row>
    <row r="42" spans="1:15" x14ac:dyDescent="0.25">
      <c r="A42" s="25"/>
      <c r="B42" s="26" t="s">
        <v>56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200</v>
      </c>
      <c r="J42" s="27">
        <v>0</v>
      </c>
      <c r="K42" s="27">
        <v>0</v>
      </c>
      <c r="L42" s="27">
        <v>0</v>
      </c>
      <c r="M42" s="27">
        <v>0</v>
      </c>
      <c r="N42" s="27">
        <v>200</v>
      </c>
      <c r="O42" s="33">
        <f t="shared" si="0"/>
        <v>400</v>
      </c>
    </row>
    <row r="43" spans="1:15" x14ac:dyDescent="0.25">
      <c r="A43" s="25"/>
      <c r="B43" s="26" t="s">
        <v>58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100</v>
      </c>
      <c r="J43" s="27">
        <v>50</v>
      </c>
      <c r="K43" s="27">
        <v>0</v>
      </c>
      <c r="L43" s="27">
        <v>150</v>
      </c>
      <c r="M43" s="27">
        <v>50</v>
      </c>
      <c r="N43" s="27">
        <v>50</v>
      </c>
      <c r="O43" s="33">
        <f t="shared" si="0"/>
        <v>400</v>
      </c>
    </row>
    <row r="44" spans="1:15" x14ac:dyDescent="0.25">
      <c r="A44" s="25"/>
      <c r="B44" s="26" t="s">
        <v>33</v>
      </c>
      <c r="C44" s="27">
        <v>278</v>
      </c>
      <c r="D44" s="27">
        <v>0</v>
      </c>
      <c r="E44" s="27">
        <v>0</v>
      </c>
      <c r="F44" s="27">
        <v>0</v>
      </c>
      <c r="G44" s="27">
        <v>0</v>
      </c>
      <c r="H44" s="27">
        <v>33</v>
      </c>
      <c r="I44" s="27">
        <v>0</v>
      </c>
      <c r="J44" s="27">
        <v>0</v>
      </c>
      <c r="K44" s="27">
        <v>50</v>
      </c>
      <c r="L44" s="27">
        <v>0</v>
      </c>
      <c r="M44" s="27">
        <v>0</v>
      </c>
      <c r="N44" s="27">
        <v>0</v>
      </c>
      <c r="O44" s="33">
        <f t="shared" si="0"/>
        <v>361</v>
      </c>
    </row>
    <row r="45" spans="1:15" x14ac:dyDescent="0.25">
      <c r="A45" s="25"/>
      <c r="B45" s="26" t="s">
        <v>54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50</v>
      </c>
      <c r="J45" s="27">
        <v>50</v>
      </c>
      <c r="K45" s="27">
        <v>50</v>
      </c>
      <c r="L45" s="27">
        <v>50</v>
      </c>
      <c r="M45" s="27">
        <v>0</v>
      </c>
      <c r="N45" s="27">
        <v>150</v>
      </c>
      <c r="O45" s="33">
        <f t="shared" si="0"/>
        <v>350</v>
      </c>
    </row>
    <row r="46" spans="1:15" x14ac:dyDescent="0.25">
      <c r="A46" s="25"/>
      <c r="B46" s="26" t="s">
        <v>61</v>
      </c>
      <c r="C46" s="27">
        <v>0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50</v>
      </c>
      <c r="L46" s="27">
        <v>50</v>
      </c>
      <c r="M46" s="27">
        <v>0</v>
      </c>
      <c r="N46" s="27">
        <v>150</v>
      </c>
      <c r="O46" s="33">
        <f t="shared" si="0"/>
        <v>250</v>
      </c>
    </row>
    <row r="47" spans="1:15" x14ac:dyDescent="0.25">
      <c r="A47" s="25"/>
      <c r="B47" s="26" t="s">
        <v>57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50</v>
      </c>
      <c r="J47" s="27">
        <v>0</v>
      </c>
      <c r="K47" s="27">
        <v>50</v>
      </c>
      <c r="L47" s="27">
        <v>50</v>
      </c>
      <c r="M47" s="27">
        <v>0</v>
      </c>
      <c r="N47" s="27">
        <v>50</v>
      </c>
      <c r="O47" s="33">
        <f t="shared" si="0"/>
        <v>200</v>
      </c>
    </row>
    <row r="48" spans="1:15" x14ac:dyDescent="0.25">
      <c r="A48" s="25"/>
      <c r="B48" s="26" t="s">
        <v>45</v>
      </c>
      <c r="C48" s="27">
        <v>20</v>
      </c>
      <c r="D48" s="27">
        <v>0</v>
      </c>
      <c r="E48" s="27">
        <v>40</v>
      </c>
      <c r="F48" s="27">
        <v>0</v>
      </c>
      <c r="G48" s="27">
        <v>0</v>
      </c>
      <c r="H48" s="27">
        <v>25</v>
      </c>
      <c r="I48" s="27">
        <v>40</v>
      </c>
      <c r="J48" s="27">
        <v>0</v>
      </c>
      <c r="K48" s="27">
        <v>30</v>
      </c>
      <c r="L48" s="27">
        <v>0</v>
      </c>
      <c r="M48" s="27">
        <v>0</v>
      </c>
      <c r="N48" s="27">
        <v>20</v>
      </c>
      <c r="O48" s="33">
        <f t="shared" si="0"/>
        <v>175</v>
      </c>
    </row>
    <row r="49" spans="1:15" x14ac:dyDescent="0.25">
      <c r="A49" s="25"/>
      <c r="B49" s="26" t="s">
        <v>60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2</v>
      </c>
      <c r="K49" s="27">
        <v>0</v>
      </c>
      <c r="L49" s="27">
        <v>0</v>
      </c>
      <c r="M49" s="27">
        <v>0</v>
      </c>
      <c r="N49" s="27">
        <v>102</v>
      </c>
      <c r="O49" s="33">
        <f t="shared" si="0"/>
        <v>104</v>
      </c>
    </row>
    <row r="50" spans="1:15" x14ac:dyDescent="0.25">
      <c r="A50" s="25"/>
      <c r="B50" s="26" t="s">
        <v>47</v>
      </c>
      <c r="C50" s="27">
        <v>22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33">
        <f t="shared" si="0"/>
        <v>22</v>
      </c>
    </row>
    <row r="51" spans="1:15" x14ac:dyDescent="0.25">
      <c r="A51" s="25"/>
      <c r="B51" s="26" t="s">
        <v>38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15</v>
      </c>
      <c r="O51" s="33">
        <f t="shared" si="0"/>
        <v>15</v>
      </c>
    </row>
    <row r="52" spans="1:15" ht="15.75" thickBot="1" x14ac:dyDescent="0.3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33"/>
    </row>
    <row r="53" spans="1:15" ht="15.75" thickBot="1" x14ac:dyDescent="0.3">
      <c r="B53" s="29"/>
      <c r="C53" s="10">
        <f t="shared" ref="C53:O53" si="1">SUM(C7:C51)</f>
        <v>33326</v>
      </c>
      <c r="D53" s="10">
        <f t="shared" si="1"/>
        <v>27702</v>
      </c>
      <c r="E53" s="10">
        <f t="shared" si="1"/>
        <v>31597</v>
      </c>
      <c r="F53" s="10">
        <f t="shared" si="1"/>
        <v>29999</v>
      </c>
      <c r="G53" s="10">
        <f t="shared" si="1"/>
        <v>34223</v>
      </c>
      <c r="H53" s="10">
        <f t="shared" si="1"/>
        <v>40742</v>
      </c>
      <c r="I53" s="10">
        <f t="shared" si="1"/>
        <v>41521</v>
      </c>
      <c r="J53" s="10">
        <f t="shared" si="1"/>
        <v>35124</v>
      </c>
      <c r="K53" s="10">
        <f t="shared" si="1"/>
        <v>39258</v>
      </c>
      <c r="L53" s="10">
        <f t="shared" si="1"/>
        <v>39256.800000000003</v>
      </c>
      <c r="M53" s="10">
        <f t="shared" si="1"/>
        <v>32689.8</v>
      </c>
      <c r="N53" s="10">
        <f t="shared" si="1"/>
        <v>37803</v>
      </c>
      <c r="O53" s="18">
        <f t="shared" si="1"/>
        <v>423241.6</v>
      </c>
    </row>
  </sheetData>
  <mergeCells count="3">
    <mergeCell ref="B2:O2"/>
    <mergeCell ref="B3:P3"/>
    <mergeCell ref="B4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showGridLines="0" topLeftCell="A13" workbookViewId="0">
      <selection activeCell="C7" sqref="C7"/>
    </sheetView>
  </sheetViews>
  <sheetFormatPr baseColWidth="10" defaultColWidth="9.140625" defaultRowHeight="15" x14ac:dyDescent="0.25"/>
  <cols>
    <col min="1" max="1" width="4.85546875" style="22" customWidth="1"/>
    <col min="2" max="2" width="30" style="22" bestFit="1" customWidth="1"/>
    <col min="3" max="10" width="10.28515625" style="22" customWidth="1"/>
    <col min="11" max="11" width="11.42578125" style="22" bestFit="1" customWidth="1"/>
    <col min="12" max="12" width="10.28515625" style="22" customWidth="1"/>
    <col min="13" max="13" width="11" style="22" bestFit="1" customWidth="1"/>
    <col min="14" max="14" width="10.28515625" style="22" customWidth="1"/>
    <col min="15" max="15" width="11.5703125" style="22" bestFit="1" customWidth="1"/>
    <col min="16" max="16384" width="9.140625" style="22"/>
  </cols>
  <sheetData>
    <row r="2" spans="1:15" x14ac:dyDescent="0.25">
      <c r="B2" s="148" t="s">
        <v>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 spans="1:15" x14ac:dyDescent="0.25">
      <c r="B3" s="148" t="s">
        <v>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</row>
    <row r="4" spans="1:15" x14ac:dyDescent="0.25">
      <c r="B4" s="148" t="s">
        <v>2</v>
      </c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</row>
    <row r="5" spans="1:15" ht="15.75" thickBot="1" x14ac:dyDescent="0.3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ht="15.75" thickBot="1" x14ac:dyDescent="0.3">
      <c r="A6" s="24"/>
      <c r="B6" s="16" t="s">
        <v>3</v>
      </c>
      <c r="C6" s="17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17" t="s">
        <v>11</v>
      </c>
      <c r="K6" s="17" t="s">
        <v>12</v>
      </c>
      <c r="L6" s="17" t="s">
        <v>13</v>
      </c>
      <c r="M6" s="17" t="s">
        <v>14</v>
      </c>
      <c r="N6" s="17" t="s">
        <v>15</v>
      </c>
      <c r="O6" s="4" t="s">
        <v>79</v>
      </c>
    </row>
    <row r="7" spans="1:15" x14ac:dyDescent="0.25">
      <c r="A7" s="25"/>
      <c r="B7" s="26" t="s">
        <v>16</v>
      </c>
      <c r="C7" s="27">
        <v>7514</v>
      </c>
      <c r="D7" s="27">
        <v>7638</v>
      </c>
      <c r="E7" s="27">
        <v>7939</v>
      </c>
      <c r="F7" s="27">
        <v>7446</v>
      </c>
      <c r="G7" s="27">
        <v>9838</v>
      </c>
      <c r="H7" s="27">
        <v>8899</v>
      </c>
      <c r="I7" s="27">
        <v>8561</v>
      </c>
      <c r="J7" s="27">
        <v>9755</v>
      </c>
      <c r="K7" s="27">
        <v>8285</v>
      </c>
      <c r="L7" s="27">
        <v>8912</v>
      </c>
      <c r="M7" s="27">
        <v>8033</v>
      </c>
      <c r="N7" s="27">
        <v>7881</v>
      </c>
      <c r="O7" s="28">
        <f t="shared" ref="O7:O38" si="0">SUM(C7:N7)</f>
        <v>100701</v>
      </c>
    </row>
    <row r="8" spans="1:15" x14ac:dyDescent="0.25">
      <c r="A8" s="25"/>
      <c r="B8" s="26" t="s">
        <v>20</v>
      </c>
      <c r="C8" s="27">
        <v>6558</v>
      </c>
      <c r="D8" s="27">
        <v>417</v>
      </c>
      <c r="E8" s="27">
        <v>3386</v>
      </c>
      <c r="F8" s="27">
        <v>3060</v>
      </c>
      <c r="G8" s="27">
        <v>5142</v>
      </c>
      <c r="H8" s="27">
        <v>4388</v>
      </c>
      <c r="I8" s="27">
        <v>5215</v>
      </c>
      <c r="J8" s="27">
        <v>4151</v>
      </c>
      <c r="K8" s="27">
        <v>2938</v>
      </c>
      <c r="L8" s="27">
        <v>2701</v>
      </c>
      <c r="M8" s="27">
        <v>4912</v>
      </c>
      <c r="N8" s="27">
        <v>2146</v>
      </c>
      <c r="O8" s="28">
        <f t="shared" si="0"/>
        <v>45014</v>
      </c>
    </row>
    <row r="9" spans="1:15" x14ac:dyDescent="0.25">
      <c r="A9" s="25"/>
      <c r="B9" s="26" t="s">
        <v>17</v>
      </c>
      <c r="C9" s="27">
        <v>3041</v>
      </c>
      <c r="D9" s="27">
        <v>2943</v>
      </c>
      <c r="E9" s="27">
        <v>3262</v>
      </c>
      <c r="F9" s="27">
        <v>3103</v>
      </c>
      <c r="G9" s="27">
        <v>3828</v>
      </c>
      <c r="H9" s="27">
        <v>4105</v>
      </c>
      <c r="I9" s="27">
        <v>3336</v>
      </c>
      <c r="J9" s="27">
        <v>3396</v>
      </c>
      <c r="K9" s="27">
        <v>3308</v>
      </c>
      <c r="L9" s="27">
        <v>3380</v>
      </c>
      <c r="M9" s="27">
        <v>3177</v>
      </c>
      <c r="N9" s="27">
        <v>2776</v>
      </c>
      <c r="O9" s="28">
        <f t="shared" si="0"/>
        <v>39655</v>
      </c>
    </row>
    <row r="10" spans="1:15" x14ac:dyDescent="0.25">
      <c r="A10" s="25"/>
      <c r="B10" s="26" t="s">
        <v>18</v>
      </c>
      <c r="C10" s="27">
        <v>2483</v>
      </c>
      <c r="D10" s="27">
        <v>2397</v>
      </c>
      <c r="E10" s="27">
        <v>2941</v>
      </c>
      <c r="F10" s="27">
        <v>2465</v>
      </c>
      <c r="G10" s="27">
        <v>3409</v>
      </c>
      <c r="H10" s="27">
        <v>3285</v>
      </c>
      <c r="I10" s="27">
        <v>2615</v>
      </c>
      <c r="J10" s="27">
        <v>3091</v>
      </c>
      <c r="K10" s="27">
        <v>3004</v>
      </c>
      <c r="L10" s="27">
        <v>3443</v>
      </c>
      <c r="M10" s="27">
        <v>2595</v>
      </c>
      <c r="N10" s="27">
        <v>2985</v>
      </c>
      <c r="O10" s="28">
        <f t="shared" si="0"/>
        <v>34713</v>
      </c>
    </row>
    <row r="11" spans="1:15" x14ac:dyDescent="0.25">
      <c r="A11" s="25"/>
      <c r="B11" s="26" t="s">
        <v>19</v>
      </c>
      <c r="C11" s="27">
        <v>2448</v>
      </c>
      <c r="D11" s="27">
        <v>2597</v>
      </c>
      <c r="E11" s="27">
        <v>2991</v>
      </c>
      <c r="F11" s="27">
        <v>2648</v>
      </c>
      <c r="G11" s="27">
        <v>3120</v>
      </c>
      <c r="H11" s="27">
        <v>3301</v>
      </c>
      <c r="I11" s="27">
        <v>2871</v>
      </c>
      <c r="J11" s="27">
        <v>3331</v>
      </c>
      <c r="K11" s="27">
        <v>2834</v>
      </c>
      <c r="L11" s="27">
        <v>3700</v>
      </c>
      <c r="M11" s="27">
        <v>2159</v>
      </c>
      <c r="N11" s="27">
        <v>2528</v>
      </c>
      <c r="O11" s="28">
        <f t="shared" si="0"/>
        <v>34528</v>
      </c>
    </row>
    <row r="12" spans="1:15" x14ac:dyDescent="0.25">
      <c r="A12" s="25"/>
      <c r="B12" s="26" t="s">
        <v>28</v>
      </c>
      <c r="C12" s="27">
        <v>948</v>
      </c>
      <c r="D12" s="27">
        <v>1215</v>
      </c>
      <c r="E12" s="27">
        <v>2266</v>
      </c>
      <c r="F12" s="27">
        <v>2777</v>
      </c>
      <c r="G12" s="27">
        <v>3459</v>
      </c>
      <c r="H12" s="27">
        <v>3392</v>
      </c>
      <c r="I12" s="27">
        <v>3138</v>
      </c>
      <c r="J12" s="27">
        <v>3113</v>
      </c>
      <c r="K12" s="27">
        <v>3180</v>
      </c>
      <c r="L12" s="27">
        <v>3674</v>
      </c>
      <c r="M12" s="27">
        <v>2722</v>
      </c>
      <c r="N12" s="27">
        <v>2834</v>
      </c>
      <c r="O12" s="28">
        <f t="shared" si="0"/>
        <v>32718</v>
      </c>
    </row>
    <row r="13" spans="1:15" x14ac:dyDescent="0.25">
      <c r="A13" s="25"/>
      <c r="B13" s="26" t="s">
        <v>22</v>
      </c>
      <c r="C13" s="27">
        <v>2120</v>
      </c>
      <c r="D13" s="27">
        <v>2050</v>
      </c>
      <c r="E13" s="27">
        <v>2253</v>
      </c>
      <c r="F13" s="27">
        <v>1804</v>
      </c>
      <c r="G13" s="27">
        <v>2165</v>
      </c>
      <c r="H13" s="27">
        <v>2032</v>
      </c>
      <c r="I13" s="27">
        <v>2068</v>
      </c>
      <c r="J13" s="27">
        <v>1730</v>
      </c>
      <c r="K13" s="27">
        <v>2002</v>
      </c>
      <c r="L13" s="27">
        <v>2602</v>
      </c>
      <c r="M13" s="27">
        <v>1606</v>
      </c>
      <c r="N13" s="27">
        <v>1373</v>
      </c>
      <c r="O13" s="28">
        <f t="shared" si="0"/>
        <v>23805</v>
      </c>
    </row>
    <row r="14" spans="1:15" x14ac:dyDescent="0.25">
      <c r="A14" s="25"/>
      <c r="B14" s="26" t="s">
        <v>21</v>
      </c>
      <c r="C14" s="27">
        <v>1339</v>
      </c>
      <c r="D14" s="27">
        <v>1457</v>
      </c>
      <c r="E14" s="27">
        <v>1738</v>
      </c>
      <c r="F14" s="27">
        <v>1365</v>
      </c>
      <c r="G14" s="27">
        <v>1507</v>
      </c>
      <c r="H14" s="27">
        <v>1583</v>
      </c>
      <c r="I14" s="27">
        <v>1298</v>
      </c>
      <c r="J14" s="27">
        <v>1176</v>
      </c>
      <c r="K14" s="27">
        <v>1460</v>
      </c>
      <c r="L14" s="27">
        <v>1775</v>
      </c>
      <c r="M14" s="27">
        <v>988</v>
      </c>
      <c r="N14" s="27">
        <v>1171</v>
      </c>
      <c r="O14" s="28">
        <f t="shared" si="0"/>
        <v>16857</v>
      </c>
    </row>
    <row r="15" spans="1:15" x14ac:dyDescent="0.25">
      <c r="A15" s="25"/>
      <c r="B15" s="26" t="s">
        <v>25</v>
      </c>
      <c r="C15" s="27">
        <v>1246</v>
      </c>
      <c r="D15" s="27">
        <v>1498</v>
      </c>
      <c r="E15" s="27">
        <v>1657</v>
      </c>
      <c r="F15" s="27">
        <v>1286</v>
      </c>
      <c r="G15" s="27">
        <v>1648</v>
      </c>
      <c r="H15" s="27">
        <v>1326</v>
      </c>
      <c r="I15" s="27">
        <v>1431</v>
      </c>
      <c r="J15" s="27">
        <v>1199</v>
      </c>
      <c r="K15" s="27">
        <v>1206</v>
      </c>
      <c r="L15" s="27">
        <v>1824</v>
      </c>
      <c r="M15" s="27">
        <v>995</v>
      </c>
      <c r="N15" s="27">
        <v>843</v>
      </c>
      <c r="O15" s="28">
        <f t="shared" si="0"/>
        <v>16159</v>
      </c>
    </row>
    <row r="16" spans="1:15" x14ac:dyDescent="0.25">
      <c r="A16" s="25"/>
      <c r="B16" s="26" t="s">
        <v>24</v>
      </c>
      <c r="C16" s="27">
        <v>1109</v>
      </c>
      <c r="D16" s="27">
        <v>1131</v>
      </c>
      <c r="E16" s="27">
        <v>1252</v>
      </c>
      <c r="F16" s="27">
        <v>1123</v>
      </c>
      <c r="G16" s="27">
        <v>1080</v>
      </c>
      <c r="H16" s="27">
        <v>1428</v>
      </c>
      <c r="I16" s="27">
        <v>1128</v>
      </c>
      <c r="J16" s="27">
        <v>1305</v>
      </c>
      <c r="K16" s="27">
        <v>1110</v>
      </c>
      <c r="L16" s="27">
        <v>1404</v>
      </c>
      <c r="M16" s="27">
        <v>984</v>
      </c>
      <c r="N16" s="27">
        <v>782</v>
      </c>
      <c r="O16" s="28">
        <f t="shared" si="0"/>
        <v>13836</v>
      </c>
    </row>
    <row r="17" spans="1:15" x14ac:dyDescent="0.25">
      <c r="A17" s="25"/>
      <c r="B17" s="26" t="s">
        <v>26</v>
      </c>
      <c r="C17" s="27">
        <v>330</v>
      </c>
      <c r="D17" s="27">
        <v>494</v>
      </c>
      <c r="E17" s="27">
        <v>410</v>
      </c>
      <c r="F17" s="27">
        <v>328</v>
      </c>
      <c r="G17" s="27">
        <v>581</v>
      </c>
      <c r="H17" s="27">
        <v>754</v>
      </c>
      <c r="I17" s="27">
        <v>557</v>
      </c>
      <c r="J17" s="27">
        <v>781</v>
      </c>
      <c r="K17" s="27">
        <v>450</v>
      </c>
      <c r="L17" s="27">
        <v>508</v>
      </c>
      <c r="M17" s="27">
        <v>449</v>
      </c>
      <c r="N17" s="27">
        <v>363</v>
      </c>
      <c r="O17" s="28">
        <f t="shared" si="0"/>
        <v>6005</v>
      </c>
    </row>
    <row r="18" spans="1:15" x14ac:dyDescent="0.25">
      <c r="A18" s="25"/>
      <c r="B18" s="26" t="s">
        <v>29</v>
      </c>
      <c r="C18" s="27">
        <v>14</v>
      </c>
      <c r="D18" s="27">
        <v>55</v>
      </c>
      <c r="E18" s="27">
        <v>70</v>
      </c>
      <c r="F18" s="27">
        <v>39</v>
      </c>
      <c r="G18" s="27">
        <v>211</v>
      </c>
      <c r="H18" s="27">
        <v>424</v>
      </c>
      <c r="I18" s="27">
        <v>477</v>
      </c>
      <c r="J18" s="27">
        <v>616</v>
      </c>
      <c r="K18" s="27">
        <v>530</v>
      </c>
      <c r="L18" s="27">
        <v>543</v>
      </c>
      <c r="M18" s="27">
        <v>652</v>
      </c>
      <c r="N18" s="27">
        <v>451</v>
      </c>
      <c r="O18" s="28">
        <f t="shared" si="0"/>
        <v>4082</v>
      </c>
    </row>
    <row r="19" spans="1:15" x14ac:dyDescent="0.25">
      <c r="A19" s="25"/>
      <c r="B19" s="26" t="s">
        <v>30</v>
      </c>
      <c r="C19" s="27">
        <v>311</v>
      </c>
      <c r="D19" s="27">
        <v>480</v>
      </c>
      <c r="E19" s="27">
        <v>556</v>
      </c>
      <c r="F19" s="27">
        <v>504</v>
      </c>
      <c r="G19" s="27">
        <v>321</v>
      </c>
      <c r="H19" s="27">
        <v>124</v>
      </c>
      <c r="I19" s="27">
        <v>201</v>
      </c>
      <c r="J19" s="27">
        <v>333</v>
      </c>
      <c r="K19" s="27">
        <v>216</v>
      </c>
      <c r="L19" s="27">
        <v>291</v>
      </c>
      <c r="M19" s="27">
        <v>311</v>
      </c>
      <c r="N19" s="27">
        <v>202</v>
      </c>
      <c r="O19" s="28">
        <f t="shared" si="0"/>
        <v>3850</v>
      </c>
    </row>
    <row r="20" spans="1:15" x14ac:dyDescent="0.25">
      <c r="A20" s="25"/>
      <c r="B20" s="26" t="s">
        <v>23</v>
      </c>
      <c r="C20" s="27">
        <v>239</v>
      </c>
      <c r="D20" s="27">
        <v>249</v>
      </c>
      <c r="E20" s="27">
        <v>313</v>
      </c>
      <c r="F20" s="27">
        <v>221</v>
      </c>
      <c r="G20" s="27">
        <v>295</v>
      </c>
      <c r="H20" s="27">
        <v>288</v>
      </c>
      <c r="I20" s="27">
        <v>373</v>
      </c>
      <c r="J20" s="27">
        <v>385</v>
      </c>
      <c r="K20" s="27">
        <v>242</v>
      </c>
      <c r="L20" s="27">
        <v>314</v>
      </c>
      <c r="M20" s="27">
        <v>204</v>
      </c>
      <c r="N20" s="27">
        <v>183</v>
      </c>
      <c r="O20" s="28">
        <f t="shared" si="0"/>
        <v>3306</v>
      </c>
    </row>
    <row r="21" spans="1:15" x14ac:dyDescent="0.25">
      <c r="A21" s="25"/>
      <c r="B21" s="26" t="s">
        <v>27</v>
      </c>
      <c r="C21" s="27">
        <v>296</v>
      </c>
      <c r="D21" s="27">
        <v>289</v>
      </c>
      <c r="E21" s="27">
        <v>299</v>
      </c>
      <c r="F21" s="27">
        <v>223</v>
      </c>
      <c r="G21" s="27">
        <v>291</v>
      </c>
      <c r="H21" s="27">
        <v>339</v>
      </c>
      <c r="I21" s="27">
        <v>304</v>
      </c>
      <c r="J21" s="27">
        <v>251</v>
      </c>
      <c r="K21" s="27">
        <v>194</v>
      </c>
      <c r="L21" s="27">
        <v>266</v>
      </c>
      <c r="M21" s="27">
        <v>237</v>
      </c>
      <c r="N21" s="27">
        <v>184</v>
      </c>
      <c r="O21" s="28">
        <f t="shared" si="0"/>
        <v>3173</v>
      </c>
    </row>
    <row r="22" spans="1:15" x14ac:dyDescent="0.25">
      <c r="A22" s="25"/>
      <c r="B22" s="26" t="s">
        <v>31</v>
      </c>
      <c r="C22" s="27">
        <v>78</v>
      </c>
      <c r="D22" s="27">
        <v>306</v>
      </c>
      <c r="E22" s="27">
        <v>333</v>
      </c>
      <c r="F22" s="27">
        <v>247</v>
      </c>
      <c r="G22" s="27">
        <v>207</v>
      </c>
      <c r="H22" s="27">
        <v>217</v>
      </c>
      <c r="I22" s="27">
        <v>221</v>
      </c>
      <c r="J22" s="27">
        <v>194</v>
      </c>
      <c r="K22" s="27">
        <v>189</v>
      </c>
      <c r="L22" s="27">
        <v>165</v>
      </c>
      <c r="M22" s="27">
        <v>340</v>
      </c>
      <c r="N22" s="27">
        <v>142</v>
      </c>
      <c r="O22" s="28">
        <f t="shared" si="0"/>
        <v>2639</v>
      </c>
    </row>
    <row r="23" spans="1:15" x14ac:dyDescent="0.25">
      <c r="A23" s="25"/>
      <c r="B23" s="26" t="s">
        <v>37</v>
      </c>
      <c r="C23" s="27">
        <v>0</v>
      </c>
      <c r="D23" s="27">
        <v>668</v>
      </c>
      <c r="E23" s="27">
        <v>30</v>
      </c>
      <c r="F23" s="27">
        <v>1</v>
      </c>
      <c r="G23" s="27">
        <v>80</v>
      </c>
      <c r="H23" s="27">
        <v>65</v>
      </c>
      <c r="I23" s="27">
        <v>193</v>
      </c>
      <c r="J23" s="27">
        <v>152</v>
      </c>
      <c r="K23" s="27">
        <v>174</v>
      </c>
      <c r="L23" s="27">
        <v>257</v>
      </c>
      <c r="M23" s="27">
        <v>198</v>
      </c>
      <c r="N23" s="27">
        <v>225</v>
      </c>
      <c r="O23" s="28">
        <f t="shared" si="0"/>
        <v>2043</v>
      </c>
    </row>
    <row r="24" spans="1:15" x14ac:dyDescent="0.25">
      <c r="A24" s="25"/>
      <c r="B24" s="26" t="s">
        <v>42</v>
      </c>
      <c r="C24" s="27">
        <v>350</v>
      </c>
      <c r="D24" s="27">
        <v>200</v>
      </c>
      <c r="E24" s="27">
        <v>0</v>
      </c>
      <c r="F24" s="27">
        <v>0</v>
      </c>
      <c r="G24" s="27">
        <v>100</v>
      </c>
      <c r="H24" s="27">
        <v>150</v>
      </c>
      <c r="I24" s="27">
        <v>300</v>
      </c>
      <c r="J24" s="27">
        <v>0</v>
      </c>
      <c r="K24" s="27">
        <v>0</v>
      </c>
      <c r="L24" s="27">
        <v>0</v>
      </c>
      <c r="M24" s="27">
        <v>0</v>
      </c>
      <c r="N24" s="27">
        <v>100</v>
      </c>
      <c r="O24" s="28">
        <f t="shared" si="0"/>
        <v>1200</v>
      </c>
    </row>
    <row r="25" spans="1:15" x14ac:dyDescent="0.25">
      <c r="A25" s="25"/>
      <c r="B25" s="26" t="s">
        <v>34</v>
      </c>
      <c r="C25" s="27">
        <v>150</v>
      </c>
      <c r="D25" s="27">
        <v>0</v>
      </c>
      <c r="E25" s="27">
        <v>101</v>
      </c>
      <c r="F25" s="27">
        <v>150</v>
      </c>
      <c r="G25" s="27">
        <v>100</v>
      </c>
      <c r="H25" s="27">
        <v>258</v>
      </c>
      <c r="I25" s="27">
        <v>101</v>
      </c>
      <c r="J25" s="27">
        <v>0</v>
      </c>
      <c r="K25" s="27">
        <v>1</v>
      </c>
      <c r="L25" s="27">
        <v>0</v>
      </c>
      <c r="M25" s="27">
        <v>0</v>
      </c>
      <c r="N25" s="27">
        <v>50</v>
      </c>
      <c r="O25" s="28">
        <f t="shared" si="0"/>
        <v>911</v>
      </c>
    </row>
    <row r="26" spans="1:15" x14ac:dyDescent="0.25">
      <c r="A26" s="25"/>
      <c r="B26" s="26" t="s">
        <v>35</v>
      </c>
      <c r="C26" s="27">
        <v>150</v>
      </c>
      <c r="D26" s="27">
        <v>50</v>
      </c>
      <c r="E26" s="27">
        <v>201</v>
      </c>
      <c r="F26" s="27">
        <v>150</v>
      </c>
      <c r="G26" s="27">
        <v>100</v>
      </c>
      <c r="H26" s="27">
        <v>150</v>
      </c>
      <c r="I26" s="27">
        <v>50</v>
      </c>
      <c r="J26" s="27">
        <v>0</v>
      </c>
      <c r="K26" s="27">
        <v>2</v>
      </c>
      <c r="L26" s="27">
        <v>0</v>
      </c>
      <c r="M26" s="27">
        <v>0</v>
      </c>
      <c r="N26" s="27">
        <v>50</v>
      </c>
      <c r="O26" s="28">
        <f t="shared" si="0"/>
        <v>903</v>
      </c>
    </row>
    <row r="27" spans="1:15" x14ac:dyDescent="0.25">
      <c r="A27" s="25"/>
      <c r="B27" s="26" t="s">
        <v>33</v>
      </c>
      <c r="C27" s="27">
        <v>200</v>
      </c>
      <c r="D27" s="27">
        <v>42</v>
      </c>
      <c r="E27" s="27">
        <v>306</v>
      </c>
      <c r="F27" s="27">
        <v>0</v>
      </c>
      <c r="G27" s="27">
        <v>40</v>
      </c>
      <c r="H27" s="27">
        <v>7</v>
      </c>
      <c r="I27" s="27">
        <v>220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8">
        <f t="shared" si="0"/>
        <v>815</v>
      </c>
    </row>
    <row r="28" spans="1:15" x14ac:dyDescent="0.25">
      <c r="A28" s="25"/>
      <c r="B28" s="26" t="s">
        <v>36</v>
      </c>
      <c r="C28" s="27">
        <v>0</v>
      </c>
      <c r="D28" s="27">
        <v>100</v>
      </c>
      <c r="E28" s="27">
        <v>51</v>
      </c>
      <c r="F28" s="27">
        <v>100</v>
      </c>
      <c r="G28" s="27">
        <v>50</v>
      </c>
      <c r="H28" s="27">
        <v>50</v>
      </c>
      <c r="I28" s="27">
        <v>50</v>
      </c>
      <c r="J28" s="27">
        <v>0</v>
      </c>
      <c r="K28" s="27">
        <v>0</v>
      </c>
      <c r="L28" s="27">
        <v>0</v>
      </c>
      <c r="M28" s="27">
        <v>0</v>
      </c>
      <c r="N28" s="27">
        <v>50</v>
      </c>
      <c r="O28" s="28">
        <f t="shared" si="0"/>
        <v>451</v>
      </c>
    </row>
    <row r="29" spans="1:15" x14ac:dyDescent="0.25">
      <c r="A29" s="25"/>
      <c r="B29" s="26" t="s">
        <v>44</v>
      </c>
      <c r="C29" s="27">
        <v>150</v>
      </c>
      <c r="D29" s="27">
        <v>0</v>
      </c>
      <c r="E29" s="27">
        <v>0</v>
      </c>
      <c r="F29" s="27">
        <v>0</v>
      </c>
      <c r="G29" s="27">
        <v>0</v>
      </c>
      <c r="H29" s="27">
        <v>150</v>
      </c>
      <c r="I29" s="27">
        <v>0</v>
      </c>
      <c r="J29" s="27">
        <v>0</v>
      </c>
      <c r="K29" s="27">
        <v>4</v>
      </c>
      <c r="L29" s="27">
        <v>0</v>
      </c>
      <c r="M29" s="27">
        <v>0</v>
      </c>
      <c r="N29" s="27">
        <v>100</v>
      </c>
      <c r="O29" s="28">
        <f t="shared" si="0"/>
        <v>404</v>
      </c>
    </row>
    <row r="30" spans="1:15" x14ac:dyDescent="0.25">
      <c r="A30" s="25"/>
      <c r="B30" s="26" t="s">
        <v>32</v>
      </c>
      <c r="C30" s="27">
        <v>0</v>
      </c>
      <c r="D30" s="27">
        <v>14</v>
      </c>
      <c r="E30" s="27">
        <v>48</v>
      </c>
      <c r="F30" s="27">
        <v>103</v>
      </c>
      <c r="G30" s="27">
        <v>47</v>
      </c>
      <c r="H30" s="27">
        <v>0</v>
      </c>
      <c r="I30" s="27">
        <v>72</v>
      </c>
      <c r="J30" s="27">
        <v>2</v>
      </c>
      <c r="K30" s="27">
        <v>24</v>
      </c>
      <c r="L30" s="27">
        <v>12</v>
      </c>
      <c r="M30" s="27">
        <v>4</v>
      </c>
      <c r="N30" s="27">
        <v>12</v>
      </c>
      <c r="O30" s="28">
        <f t="shared" si="0"/>
        <v>338</v>
      </c>
    </row>
    <row r="31" spans="1:15" x14ac:dyDescent="0.25">
      <c r="A31" s="25"/>
      <c r="B31" s="26" t="s">
        <v>43</v>
      </c>
      <c r="C31" s="27">
        <v>50</v>
      </c>
      <c r="D31" s="27">
        <v>50</v>
      </c>
      <c r="E31" s="27">
        <v>0</v>
      </c>
      <c r="F31" s="27">
        <v>0</v>
      </c>
      <c r="G31" s="27">
        <v>0</v>
      </c>
      <c r="H31" s="27">
        <v>150</v>
      </c>
      <c r="I31" s="27">
        <v>16</v>
      </c>
      <c r="J31" s="27">
        <v>0</v>
      </c>
      <c r="K31" s="27">
        <v>0</v>
      </c>
      <c r="L31" s="27">
        <v>0</v>
      </c>
      <c r="M31" s="27">
        <v>0</v>
      </c>
      <c r="N31" s="27">
        <v>50</v>
      </c>
      <c r="O31" s="28">
        <f t="shared" si="0"/>
        <v>316</v>
      </c>
    </row>
    <row r="32" spans="1:15" x14ac:dyDescent="0.25">
      <c r="A32" s="25"/>
      <c r="B32" s="26" t="s">
        <v>40</v>
      </c>
      <c r="C32" s="27">
        <v>102</v>
      </c>
      <c r="D32" s="27">
        <v>50</v>
      </c>
      <c r="E32" s="27">
        <v>0</v>
      </c>
      <c r="F32" s="27">
        <v>50</v>
      </c>
      <c r="G32" s="27">
        <v>50</v>
      </c>
      <c r="H32" s="27">
        <v>3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50</v>
      </c>
      <c r="O32" s="28">
        <f t="shared" si="0"/>
        <v>305</v>
      </c>
    </row>
    <row r="33" spans="1:15" x14ac:dyDescent="0.25">
      <c r="A33" s="25"/>
      <c r="B33" s="26" t="s">
        <v>46</v>
      </c>
      <c r="C33" s="27">
        <v>0</v>
      </c>
      <c r="D33" s="27">
        <v>60</v>
      </c>
      <c r="E33" s="27">
        <v>0</v>
      </c>
      <c r="F33" s="27">
        <v>0</v>
      </c>
      <c r="G33" s="27">
        <v>30</v>
      </c>
      <c r="H33" s="27">
        <v>30</v>
      </c>
      <c r="I33" s="27">
        <v>30</v>
      </c>
      <c r="J33" s="27">
        <v>60</v>
      </c>
      <c r="K33" s="27">
        <v>0</v>
      </c>
      <c r="L33" s="27">
        <v>27</v>
      </c>
      <c r="M33" s="27">
        <v>60</v>
      </c>
      <c r="N33" s="27">
        <v>0</v>
      </c>
      <c r="O33" s="28">
        <f t="shared" si="0"/>
        <v>297</v>
      </c>
    </row>
    <row r="34" spans="1:15" x14ac:dyDescent="0.25">
      <c r="A34" s="25"/>
      <c r="B34" s="26" t="s">
        <v>39</v>
      </c>
      <c r="C34" s="27">
        <v>0</v>
      </c>
      <c r="D34" s="27">
        <v>10</v>
      </c>
      <c r="E34" s="27">
        <v>48</v>
      </c>
      <c r="F34" s="27">
        <v>0</v>
      </c>
      <c r="G34" s="27">
        <v>48</v>
      </c>
      <c r="H34" s="27">
        <v>16</v>
      </c>
      <c r="I34" s="27">
        <v>92</v>
      </c>
      <c r="J34" s="27">
        <v>23</v>
      </c>
      <c r="K34" s="27">
        <v>9</v>
      </c>
      <c r="L34" s="27">
        <v>8</v>
      </c>
      <c r="M34" s="27">
        <v>0</v>
      </c>
      <c r="N34" s="27">
        <v>0</v>
      </c>
      <c r="O34" s="28">
        <f t="shared" si="0"/>
        <v>254</v>
      </c>
    </row>
    <row r="35" spans="1:15" x14ac:dyDescent="0.25">
      <c r="A35" s="25"/>
      <c r="B35" s="26" t="s">
        <v>45</v>
      </c>
      <c r="C35" s="27">
        <v>50</v>
      </c>
      <c r="D35" s="27">
        <v>20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20</v>
      </c>
      <c r="M35" s="27">
        <v>0</v>
      </c>
      <c r="N35" s="27">
        <v>0</v>
      </c>
      <c r="O35" s="28">
        <f t="shared" si="0"/>
        <v>90</v>
      </c>
    </row>
    <row r="36" spans="1:15" x14ac:dyDescent="0.25">
      <c r="A36" s="25"/>
      <c r="B36" s="26" t="s">
        <v>47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6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50</v>
      </c>
      <c r="O36" s="28">
        <f t="shared" si="0"/>
        <v>56</v>
      </c>
    </row>
    <row r="37" spans="1:15" x14ac:dyDescent="0.25">
      <c r="A37" s="25"/>
      <c r="B37" s="26" t="s">
        <v>38</v>
      </c>
      <c r="C37" s="27">
        <v>15</v>
      </c>
      <c r="D37" s="27">
        <v>0</v>
      </c>
      <c r="E37" s="27">
        <v>20</v>
      </c>
      <c r="F37" s="27">
        <v>0</v>
      </c>
      <c r="G37" s="27">
        <v>0</v>
      </c>
      <c r="H37" s="27">
        <v>0</v>
      </c>
      <c r="I37" s="27">
        <v>0</v>
      </c>
      <c r="J37" s="27">
        <v>8</v>
      </c>
      <c r="K37" s="27">
        <v>0</v>
      </c>
      <c r="L37" s="27">
        <v>0</v>
      </c>
      <c r="M37" s="27">
        <v>0</v>
      </c>
      <c r="N37" s="27">
        <v>0</v>
      </c>
      <c r="O37" s="28">
        <f t="shared" si="0"/>
        <v>43</v>
      </c>
    </row>
    <row r="38" spans="1:15" x14ac:dyDescent="0.25">
      <c r="A38" s="25"/>
      <c r="B38" s="26" t="s">
        <v>41</v>
      </c>
      <c r="C38" s="27">
        <v>15</v>
      </c>
      <c r="D38" s="27">
        <v>0</v>
      </c>
      <c r="E38" s="27">
        <v>0</v>
      </c>
      <c r="F38" s="27">
        <v>0</v>
      </c>
      <c r="G38" s="27">
        <v>1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8">
        <f t="shared" si="0"/>
        <v>16</v>
      </c>
    </row>
    <row r="39" spans="1:15" ht="15.75" thickBot="1" x14ac:dyDescent="0.3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/>
    </row>
    <row r="40" spans="1:15" ht="15.75" thickBot="1" x14ac:dyDescent="0.3">
      <c r="B40" s="29"/>
      <c r="C40" s="10">
        <f>SUM(C7:C38)</f>
        <v>31306</v>
      </c>
      <c r="D40" s="10">
        <f t="shared" ref="D40:O40" si="1">SUM(D7:D38)</f>
        <v>26480</v>
      </c>
      <c r="E40" s="10">
        <f t="shared" si="1"/>
        <v>32471</v>
      </c>
      <c r="F40" s="10">
        <f t="shared" si="1"/>
        <v>29193</v>
      </c>
      <c r="G40" s="10">
        <f t="shared" si="1"/>
        <v>37748</v>
      </c>
      <c r="H40" s="10">
        <f t="shared" si="1"/>
        <v>36920</v>
      </c>
      <c r="I40" s="10">
        <f t="shared" si="1"/>
        <v>34918</v>
      </c>
      <c r="J40" s="10">
        <f t="shared" si="1"/>
        <v>35052</v>
      </c>
      <c r="K40" s="10">
        <f t="shared" si="1"/>
        <v>31362</v>
      </c>
      <c r="L40" s="10">
        <f t="shared" si="1"/>
        <v>35826</v>
      </c>
      <c r="M40" s="10">
        <f t="shared" si="1"/>
        <v>30626</v>
      </c>
      <c r="N40" s="10">
        <f t="shared" si="1"/>
        <v>27581</v>
      </c>
      <c r="O40" s="10">
        <f t="shared" si="1"/>
        <v>389483</v>
      </c>
    </row>
  </sheetData>
  <mergeCells count="3">
    <mergeCell ref="B2:O2"/>
    <mergeCell ref="B3:O3"/>
    <mergeCell ref="B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Resumen</vt:lpstr>
      <vt:lpstr>2024</vt:lpstr>
      <vt:lpstr>2023</vt:lpstr>
      <vt:lpstr>2022</vt:lpstr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Auxiliar</cp:lastModifiedBy>
  <dcterms:created xsi:type="dcterms:W3CDTF">2006-10-02T04:59:59Z</dcterms:created>
  <dcterms:modified xsi:type="dcterms:W3CDTF">2025-01-13T18:59:34Z</dcterms:modified>
</cp:coreProperties>
</file>