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7/CAPSTONE/"/>
    </mc:Choice>
  </mc:AlternateContent>
  <xr:revisionPtr revIDLastSave="110" documentId="8_{B62F3423-84C8-4C11-9DB5-BDE0B9256EE5}" xr6:coauthVersionLast="47" xr6:coauthVersionMax="47" xr10:uidLastSave="{640431B5-0972-4D3B-B276-2B634A1DE894}"/>
  <bookViews>
    <workbookView xWindow="-120" yWindow="-120" windowWidth="29040" windowHeight="15720" firstSheet="1" activeTab="7" xr2:uid="{00000000-000D-0000-FFFF-FFFF00000000}"/>
  </bookViews>
  <sheets>
    <sheet name="Documentation" sheetId="21" r:id="rId1"/>
    <sheet name="U.S." sheetId="15" r:id="rId2"/>
    <sheet name="Canada" sheetId="16" r:id="rId3"/>
    <sheet name="U.K." sheetId="17" r:id="rId4"/>
    <sheet name="All Locations" sheetId="18" r:id="rId5"/>
    <sheet name="Original Content" sheetId="19" r:id="rId6"/>
    <sheet name="Subtotals" sheetId="20" r:id="rId7"/>
    <sheet name="Expansion Funding" sheetId="13" r:id="rId8"/>
  </sheets>
  <externalReferences>
    <externalReference r:id="rId9"/>
  </externalReferences>
  <definedNames>
    <definedName name="_xlnm._FilterDatabase" localSheetId="5" hidden="1">'Original Content'!$A$1:$F$23</definedName>
    <definedName name="_xlchart.v1.0" hidden="1">'Original Content'!$C$2:$D$23</definedName>
    <definedName name="_xlchart.v1.1" hidden="1">'Original Content'!$E$1</definedName>
    <definedName name="_xlchart.v1.2" hidden="1">'Original Content'!$E$2:$E$23</definedName>
    <definedName name="_xlchart.v1.3" hidden="1">'Original Content'!$C$2:$D$23</definedName>
    <definedName name="_xlchart.v1.4" hidden="1">'Original Content'!$E$1</definedName>
    <definedName name="_xlchart.v1.5" hidden="1">'Original Content'!$E$2:$E$23</definedName>
    <definedName name="_xlnm.Criteria" localSheetId="5">'Original Content'!$A$25:$F$26</definedName>
    <definedName name="Down_Payment">'Expansion Funding'!$B$7</definedName>
    <definedName name="ExternalData_1" localSheetId="4" hidden="1">'All Locations'!$H$5:$I$11</definedName>
    <definedName name="ExternalData_1" localSheetId="7" hidden="1">'Expansion Funding'!$F$26:$J$31</definedName>
    <definedName name="_xlnm.Extract" localSheetId="5">'Original Content'!$A$28:$F$28</definedName>
    <definedName name="Loan_Ammount">'Expansion Funding'!$B$8</definedName>
    <definedName name="Monthly_Payment">'Expansion Funding'!$D$6</definedName>
    <definedName name="Price">'Expansion Funding'!$B$6</definedName>
    <definedName name="Rate">'Expansion Funding'!$D$4</definedName>
    <definedName name="Term_in_Months">'Expansion Funding'!$D$5</definedName>
    <definedName name="Total_Cost">'Expansion Funding'!$D$8</definedName>
    <definedName name="Total_Interest">'Expansion Funding'!$D$7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3" l="1"/>
  <c r="I17" i="13"/>
  <c r="I18" i="13"/>
  <c r="I19" i="13"/>
  <c r="I15" i="13"/>
  <c r="H16" i="13"/>
  <c r="H17" i="13"/>
  <c r="H18" i="13"/>
  <c r="H19" i="13"/>
  <c r="H15" i="13"/>
  <c r="G16" i="13"/>
  <c r="G17" i="13"/>
  <c r="G18" i="13"/>
  <c r="G19" i="13"/>
  <c r="G15" i="13"/>
  <c r="F16" i="13"/>
  <c r="F17" i="13"/>
  <c r="F18" i="13"/>
  <c r="F19" i="13"/>
  <c r="F15" i="13"/>
  <c r="E27" i="20"/>
  <c r="E20" i="20"/>
  <c r="E14" i="20"/>
  <c r="E7" i="20"/>
  <c r="L17" i="19"/>
  <c r="L18" i="19"/>
  <c r="L19" i="19"/>
  <c r="L16" i="19"/>
  <c r="K17" i="19"/>
  <c r="K18" i="19"/>
  <c r="K19" i="19"/>
  <c r="K16" i="19"/>
  <c r="J17" i="19"/>
  <c r="J18" i="19"/>
  <c r="J19" i="19"/>
  <c r="J16" i="19"/>
  <c r="J13" i="19"/>
  <c r="J8" i="19"/>
  <c r="J4" i="19"/>
  <c r="J3" i="19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F14" i="18"/>
  <c r="E28" i="20" l="1"/>
  <c r="C12" i="18"/>
  <c r="D12" i="18"/>
  <c r="E12" i="18"/>
  <c r="F12" i="18"/>
  <c r="B12" i="18"/>
  <c r="E11" i="18"/>
  <c r="D11" i="18"/>
  <c r="C11" i="18"/>
  <c r="E10" i="18"/>
  <c r="D10" i="18"/>
  <c r="C10" i="18"/>
  <c r="E9" i="18"/>
  <c r="D9" i="18"/>
  <c r="C9" i="18"/>
  <c r="E8" i="18"/>
  <c r="D8" i="18"/>
  <c r="C8" i="18"/>
  <c r="E7" i="18"/>
  <c r="D7" i="18"/>
  <c r="C7" i="18"/>
  <c r="E6" i="18"/>
  <c r="D6" i="18"/>
  <c r="C6" i="18"/>
  <c r="B11" i="18"/>
  <c r="B10" i="18"/>
  <c r="B9" i="18"/>
  <c r="B8" i="18"/>
  <c r="B7" i="18"/>
  <c r="B6" i="18"/>
  <c r="H1" i="17"/>
  <c r="H1" i="16"/>
  <c r="H1" i="15"/>
  <c r="H6" i="13"/>
  <c r="I6" i="13"/>
  <c r="G6" i="13"/>
  <c r="F11" i="18" l="1"/>
  <c r="F10" i="18"/>
  <c r="F9" i="18"/>
  <c r="F8" i="18"/>
  <c r="F7" i="18"/>
  <c r="F6" i="18"/>
  <c r="E12" i="17"/>
  <c r="D12" i="17"/>
  <c r="C12" i="17"/>
  <c r="B12" i="17"/>
  <c r="F11" i="17"/>
  <c r="F10" i="17"/>
  <c r="F9" i="17"/>
  <c r="F8" i="17"/>
  <c r="F7" i="17"/>
  <c r="F6" i="17"/>
  <c r="E12" i="16"/>
  <c r="D12" i="16"/>
  <c r="C12" i="16"/>
  <c r="B12" i="16"/>
  <c r="F11" i="16"/>
  <c r="F10" i="16"/>
  <c r="F9" i="16"/>
  <c r="F8" i="16"/>
  <c r="F7" i="16"/>
  <c r="F6" i="16"/>
  <c r="E12" i="15"/>
  <c r="D12" i="15"/>
  <c r="C12" i="15"/>
  <c r="B12" i="15"/>
  <c r="F7" i="15"/>
  <c r="F6" i="15"/>
  <c r="F11" i="15"/>
  <c r="F10" i="15"/>
  <c r="F9" i="15"/>
  <c r="F8" i="15"/>
  <c r="H9" i="17" l="1"/>
  <c r="H9" i="16"/>
  <c r="H9" i="15"/>
  <c r="F12" i="17"/>
  <c r="F12" i="16"/>
  <c r="F12" i="15"/>
  <c r="B8" i="13" l="1"/>
  <c r="G4" i="13" l="1"/>
  <c r="D6" i="13"/>
  <c r="I4" i="13"/>
  <c r="H8" i="13"/>
  <c r="H4" i="13" s="1"/>
  <c r="A12" i="13" l="1"/>
  <c r="D7" i="13"/>
  <c r="D8" i="13" s="1"/>
  <c r="I8" i="13"/>
  <c r="I11" i="13" s="1"/>
  <c r="G8" i="13"/>
  <c r="G10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95EF4-9E96-427C-9490-5D1444F775EB}" keepAlive="1" name="Query - Candidate Properties" description="Connection to the 'Candidate Properties' query in the workbook." type="5" refreshedVersion="0" background="1" saveData="1">
    <dbPr connection="Provider=Microsoft.Mashup.OleDb.1;Data Source=$Workbook$;Location=&quot;Candidate Properties&quot;;Extended Properties=&quot;&quot;" command="SELECT * FROM [Candidate Properties]"/>
  </connection>
  <connection id="2" xr16:uid="{50AD3A24-E317-489C-8DDC-A7F04AEAB940}" keepAlive="1" name="Query - Candidate Properties (2)" description="Connection to the 'Candidate Properties (2)' query in the workbook." type="5" refreshedVersion="8" background="1" saveData="1">
    <dbPr connection="Provider=Microsoft.Mashup.OleDb.1;Data Source=$Workbook$;Location=&quot;Candidate Properties (2)&quot;;Extended Properties=&quot;&quot;" command="SELECT * FROM [Candidate Properties (2)]"/>
  </connection>
  <connection id="3" xr16:uid="{AC3F4679-820A-46C7-B513-5F737E958ABE}" keepAlive="1" name="Query - Support_EX365_2021_CS4-7a_Media" description="Connection to the 'Support_EX365_2021_CS4-7a_Media' query in the workbook." type="5" refreshedVersion="0" background="1">
    <dbPr connection="Provider=Microsoft.Mashup.OleDb.1;Data Source=$Workbook$;Location=Support_EX365_2021_CS4-7a_Media;Extended Properties=&quot;&quot;" command="SELECT * FROM [Support_EX365_2021_CS4-7a_Media]"/>
  </connection>
  <connection id="4" xr16:uid="{20CAEBC6-CC30-4213-B2EB-A8B1D2CB6776}" keepAlive="1" name="Query - Support_EX365_2021_CS4-7a_Media (2)" description="Connection to the 'Support_EX365_2021_CS4-7a_Media (2)' query in the workbook." type="5" refreshedVersion="8" background="1" saveData="1">
    <dbPr connection="Provider=Microsoft.Mashup.OleDb.1;Data Source=$Workbook$;Location=&quot;Support_EX365_2021_CS4-7a_Media (2)&quot;;Extended Properties=&quot;&quot;" command="SELECT * FROM [Support_EX365_2021_CS4-7a_Media (2)]"/>
  </connection>
</connections>
</file>

<file path=xl/sharedStrings.xml><?xml version="1.0" encoding="utf-8"?>
<sst xmlns="http://schemas.openxmlformats.org/spreadsheetml/2006/main" count="420" uniqueCount="167">
  <si>
    <t>Note: Do not edit this sheet. If your name does not appear in cell B6, please download a new copy of the file from the SAM website.</t>
  </si>
  <si>
    <t>Matthew Arceneaux</t>
  </si>
  <si>
    <t>Author:</t>
  </si>
  <si>
    <t>Type</t>
  </si>
  <si>
    <t>Date</t>
  </si>
  <si>
    <t>Price</t>
  </si>
  <si>
    <t>Down Payment</t>
  </si>
  <si>
    <t>Loan Amount</t>
  </si>
  <si>
    <t>Rate</t>
  </si>
  <si>
    <t>Monthly Payment</t>
  </si>
  <si>
    <t>Total Interest</t>
  </si>
  <si>
    <t>Total Cost</t>
  </si>
  <si>
    <t>Loan Payment Calculator</t>
  </si>
  <si>
    <t>Annual Interest Rate</t>
  </si>
  <si>
    <t>Monthly Interest Rate</t>
  </si>
  <si>
    <t>Loan Period in Years</t>
  </si>
  <si>
    <t>Loan Period in Months</t>
  </si>
  <si>
    <t>Start Date</t>
  </si>
  <si>
    <t>Scenarios</t>
  </si>
  <si>
    <t>Loan Calculator</t>
  </si>
  <si>
    <t>Varying Interest Rates and Terms</t>
  </si>
  <si>
    <t>Number of Months</t>
  </si>
  <si>
    <t>Term in Months</t>
  </si>
  <si>
    <t>Future Value</t>
  </si>
  <si>
    <t>n/a</t>
  </si>
  <si>
    <t>Date:</t>
  </si>
  <si>
    <t>United States</t>
  </si>
  <si>
    <t>Total</t>
  </si>
  <si>
    <t>Canada</t>
  </si>
  <si>
    <t>All Locations</t>
  </si>
  <si>
    <t>Victoria Streaming Service</t>
  </si>
  <si>
    <t>CONSOLIDATE DATA AND USE FINANCIAL FUNCTIONS, TABLES, AND CHARTS</t>
  </si>
  <si>
    <t>Quarter 1</t>
  </si>
  <si>
    <t>Quarter 2</t>
  </si>
  <si>
    <t>Quarter 3</t>
  </si>
  <si>
    <t>Quarter 4</t>
  </si>
  <si>
    <t>TV shows</t>
  </si>
  <si>
    <t>Comedy</t>
  </si>
  <si>
    <t>Drama</t>
  </si>
  <si>
    <t>Foreign</t>
  </si>
  <si>
    <t>Action</t>
  </si>
  <si>
    <t>Animation</t>
  </si>
  <si>
    <t>Standard:</t>
  </si>
  <si>
    <t>Premium:</t>
  </si>
  <si>
    <t>in 000s</t>
  </si>
  <si>
    <t>Increase revenue to 90,000 in Q4</t>
  </si>
  <si>
    <t>Increase revenue by 2% per quarter</t>
  </si>
  <si>
    <t>United Kingdom</t>
  </si>
  <si>
    <t>Increase revenue to 60,000 in Q4</t>
  </si>
  <si>
    <t>Increase revenue to 65,000 in Q4</t>
  </si>
  <si>
    <t>ID</t>
  </si>
  <si>
    <t>Project Name</t>
  </si>
  <si>
    <t>Project Type</t>
  </si>
  <si>
    <t>Project Information</t>
  </si>
  <si>
    <t>Project ID</t>
  </si>
  <si>
    <t>Number of Projects</t>
  </si>
  <si>
    <t>Downtown Bike Path</t>
  </si>
  <si>
    <t>Budget</t>
  </si>
  <si>
    <t>AC533</t>
  </si>
  <si>
    <t>AC210</t>
  </si>
  <si>
    <t>AC328</t>
  </si>
  <si>
    <t>AC736</t>
  </si>
  <si>
    <t>AC447</t>
  </si>
  <si>
    <t>CO720</t>
  </si>
  <si>
    <t>CO789</t>
  </si>
  <si>
    <t>CO329</t>
  </si>
  <si>
    <t>CO325</t>
  </si>
  <si>
    <t>CO305</t>
  </si>
  <si>
    <t>CO220</t>
  </si>
  <si>
    <t>DR887</t>
  </si>
  <si>
    <t>DR543</t>
  </si>
  <si>
    <t>DR521</t>
  </si>
  <si>
    <t>DR512</t>
  </si>
  <si>
    <t>DR622</t>
  </si>
  <si>
    <t>TV453</t>
  </si>
  <si>
    <t>TV697</t>
  </si>
  <si>
    <t>TV482</t>
  </si>
  <si>
    <t>TV245</t>
  </si>
  <si>
    <t>TV598</t>
  </si>
  <si>
    <t>TV552</t>
  </si>
  <si>
    <t>Action movie</t>
  </si>
  <si>
    <t>TV show</t>
  </si>
  <si>
    <t>Just Spirits</t>
  </si>
  <si>
    <t>Tension Sunrise</t>
  </si>
  <si>
    <t>Teenage Miracle Mile</t>
  </si>
  <si>
    <t>This Guy Laughed</t>
  </si>
  <si>
    <t>Against the Wall</t>
  </si>
  <si>
    <t>All My Friends</t>
  </si>
  <si>
    <t>Because of Winston</t>
  </si>
  <si>
    <t>Celeste and Cecilia</t>
  </si>
  <si>
    <t>Mack and Mack</t>
  </si>
  <si>
    <t>Mad Music</t>
  </si>
  <si>
    <t>Space Plum</t>
  </si>
  <si>
    <t>A Slight Case of Spring</t>
  </si>
  <si>
    <t>Shark Myths</t>
  </si>
  <si>
    <t>Karate Night</t>
  </si>
  <si>
    <t>Good Gold Bad Blue</t>
  </si>
  <si>
    <t>The Great Grasshopper</t>
  </si>
  <si>
    <t>Paradise Moon</t>
  </si>
  <si>
    <t>Never in Common</t>
  </si>
  <si>
    <t>&gt; 15000</t>
  </si>
  <si>
    <t>Average Budget</t>
  </si>
  <si>
    <t>The Castle Behind Me</t>
  </si>
  <si>
    <t>A Great Getaway</t>
  </si>
  <si>
    <t>Business Expansion</t>
  </si>
  <si>
    <t>Purchase</t>
  </si>
  <si>
    <t>Distribution center</t>
  </si>
  <si>
    <t>10 Years</t>
  </si>
  <si>
    <t>15 Years</t>
  </si>
  <si>
    <t>Candidate Properties</t>
  </si>
  <si>
    <t>Contact</t>
  </si>
  <si>
    <t>State</t>
  </si>
  <si>
    <t>Months on Mkt</t>
  </si>
  <si>
    <t>Total revenue last year:</t>
  </si>
  <si>
    <t>Approval Date</t>
  </si>
  <si>
    <t>Yes</t>
  </si>
  <si>
    <t>Approved?</t>
  </si>
  <si>
    <t>Approved Projects</t>
  </si>
  <si>
    <t>No</t>
  </si>
  <si>
    <t>Number</t>
  </si>
  <si>
    <t>Total Budget</t>
  </si>
  <si>
    <t>5 Years</t>
  </si>
  <si>
    <t>Bay ridge</t>
  </si>
  <si>
    <t>Bayridge</t>
  </si>
  <si>
    <t>2024 Revenue</t>
  </si>
  <si>
    <t>2025 Revenue Projections</t>
  </si>
  <si>
    <t>Media type</t>
  </si>
  <si>
    <t>Description</t>
  </si>
  <si>
    <t>High-energy movie with lots of conflict and special effects</t>
  </si>
  <si>
    <t>Animated movie, usually with elements of comedy</t>
  </si>
  <si>
    <t>Movie with comic situations and funny characters</t>
  </si>
  <si>
    <t>Serious, plot-driven movie, often with a realistic plot</t>
  </si>
  <si>
    <t xml:space="preserve">Movie created outside of the U.S. </t>
  </si>
  <si>
    <t>Episodic television series</t>
  </si>
  <si>
    <t>Delay?</t>
  </si>
  <si>
    <t>Action movie Total</t>
  </si>
  <si>
    <t>Comedy Total</t>
  </si>
  <si>
    <t>Drama Total</t>
  </si>
  <si>
    <t>TV show Total</t>
  </si>
  <si>
    <t>Grand Total</t>
  </si>
  <si>
    <t>Location</t>
  </si>
  <si>
    <t>Contact First</t>
  </si>
  <si>
    <t>Contact Last</t>
  </si>
  <si>
    <t>On Market</t>
  </si>
  <si>
    <t>warehouse</t>
  </si>
  <si>
    <t>Knoxville, TN</t>
  </si>
  <si>
    <t>Terry</t>
  </si>
  <si>
    <t>McGregor</t>
  </si>
  <si>
    <t>8 months</t>
  </si>
  <si>
    <t>distribution center</t>
  </si>
  <si>
    <t>Scottsdale, AZ</t>
  </si>
  <si>
    <t>Anita</t>
  </si>
  <si>
    <t>Arnaz</t>
  </si>
  <si>
    <t>14 months</t>
  </si>
  <si>
    <t>Abilene, TX</t>
  </si>
  <si>
    <t>Hector</t>
  </si>
  <si>
    <t>Murillo</t>
  </si>
  <si>
    <t>22 mos</t>
  </si>
  <si>
    <t>manufacturing center</t>
  </si>
  <si>
    <t>Columbia, SC</t>
  </si>
  <si>
    <t>Padma</t>
  </si>
  <si>
    <t>Shalikar</t>
  </si>
  <si>
    <t>10 months</t>
  </si>
  <si>
    <t>Normal, IL</t>
  </si>
  <si>
    <t>Brad</t>
  </si>
  <si>
    <t>Schultz</t>
  </si>
  <si>
    <t>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</si>
</sst>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&quot;$&quot;* #,##0.0_);_(&quot;$&quot;* \(#,##0.0\);_(&quot;$&quot;* &quot;-&quot;?_);_(@_)"/>
    <numFmt numFmtId="167" formatCode="&quot;$&quot;#,##0.00"/>
    <numFmt numFmtId="168" formatCode="&quot;$&quot;#,##0"/>
    <numFmt numFmtId="169" formatCode="m/yy"/>
  </numFmts>
  <fonts count="36" x14ac:knownFonts="1">
    <font>
      <sz val="11"/>
      <color theme="1"/>
      <name val="Trebuchet MS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0"/>
      <color rgb="FF0070C0"/>
      <name val="Century Gothic"/>
      <family val="2"/>
    </font>
    <font>
      <i/>
      <sz val="10"/>
      <color rgb="FFCC6600"/>
      <name val="Century Gothic"/>
      <family val="2"/>
    </font>
    <font>
      <sz val="18"/>
      <color theme="3"/>
      <name val="Trebuchet MS"/>
      <family val="2"/>
      <scheme val="major"/>
    </font>
    <font>
      <sz val="10"/>
      <color theme="0"/>
      <name val="Century Gothic"/>
      <family val="2"/>
    </font>
    <font>
      <sz val="11"/>
      <color rgb="FF4B4C4C"/>
      <name val="Century Gothic"/>
      <family val="2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sz val="15"/>
      <color theme="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1"/>
      <name val="Trebuchet MS"/>
      <family val="2"/>
      <scheme val="minor"/>
    </font>
    <font>
      <b/>
      <sz val="10"/>
      <color theme="1" tint="0.24994659260841701"/>
      <name val="Trebuchet MS"/>
      <family val="2"/>
      <scheme val="major"/>
    </font>
    <font>
      <sz val="10"/>
      <color theme="1" tint="0.24994659260841701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6"/>
      <color theme="1" tint="0.24994659260841701"/>
      <name val="Trebuchet MS"/>
      <family val="2"/>
      <scheme val="major"/>
    </font>
    <font>
      <sz val="11"/>
      <name val="Trebuchet MS"/>
      <family val="2"/>
      <scheme val="minor"/>
    </font>
    <font>
      <b/>
      <sz val="11"/>
      <color theme="1" tint="0.24994659260841701"/>
      <name val="Trebuchet MS"/>
      <family val="2"/>
      <scheme val="major"/>
    </font>
    <font>
      <i/>
      <sz val="11"/>
      <color theme="1" tint="0.34998626667073579"/>
      <name val="Trebuchet MS"/>
      <family val="2"/>
      <scheme val="minor"/>
    </font>
    <font>
      <sz val="11"/>
      <color theme="1" tint="0.24994659260841701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3"/>
      <color theme="3"/>
      <name val="Trebuchet MS"/>
      <family val="2"/>
      <scheme val="minor"/>
    </font>
    <font>
      <b/>
      <sz val="11"/>
      <color theme="7" tint="-0.499984740745262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1"/>
      <color theme="1" tint="0.249977111117893"/>
      <name val="Trebuchet MS"/>
      <family val="1"/>
      <scheme val="minor"/>
    </font>
    <font>
      <sz val="12"/>
      <color theme="1"/>
      <name val="Trebuchet MS"/>
      <family val="1"/>
      <scheme val="minor"/>
    </font>
    <font>
      <b/>
      <sz val="12"/>
      <color theme="3"/>
      <name val="Trebuchet MS"/>
      <family val="2"/>
      <scheme val="minor"/>
    </font>
    <font>
      <b/>
      <sz val="12"/>
      <color theme="1" tint="0.24994659260841701"/>
      <name val="Trebuchet MS"/>
      <family val="2"/>
      <scheme val="major"/>
    </font>
    <font>
      <i/>
      <sz val="11"/>
      <color indexed="8"/>
      <name val="Trebuchet MS"/>
      <family val="2"/>
      <scheme val="minor"/>
    </font>
    <font>
      <sz val="8"/>
      <name val="Trebuchet MS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ck">
        <color theme="4"/>
      </top>
      <bottom/>
      <diagonal/>
    </border>
    <border>
      <left/>
      <right style="thin">
        <color theme="4"/>
      </right>
      <top style="thick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3">
    <xf numFmtId="0" fontId="0" fillId="0" borderId="0"/>
    <xf numFmtId="0" fontId="1" fillId="0" borderId="0"/>
    <xf numFmtId="0" fontId="1" fillId="0" borderId="0"/>
    <xf numFmtId="0" fontId="5" fillId="2" borderId="0">
      <alignment vertical="top" wrapText="1"/>
    </xf>
    <xf numFmtId="0" fontId="4" fillId="2" borderId="0">
      <alignment vertical="top" wrapText="1"/>
    </xf>
    <xf numFmtId="0" fontId="5" fillId="2" borderId="0">
      <alignment vertical="top" wrapText="1"/>
    </xf>
    <xf numFmtId="0" fontId="8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5" applyNumberFormat="0" applyFill="0" applyAlignment="0" applyProtection="0"/>
    <xf numFmtId="0" fontId="11" fillId="4" borderId="0" applyNumberFormat="0" applyBorder="0" applyAlignment="0" applyProtection="0"/>
    <xf numFmtId="9" fontId="11" fillId="0" borderId="0" applyFont="0" applyFill="0" applyBorder="0" applyAlignment="0" applyProtection="0"/>
    <xf numFmtId="0" fontId="14" fillId="0" borderId="6" applyNumberFormat="0" applyFill="0" applyAlignment="0" applyProtection="0"/>
    <xf numFmtId="0" fontId="16" fillId="0" borderId="8" applyNumberFormat="0" applyFill="0" applyProtection="0">
      <alignment vertical="center"/>
    </xf>
    <xf numFmtId="0" fontId="17" fillId="5" borderId="9" applyNumberFormat="0" applyProtection="0"/>
    <xf numFmtId="0" fontId="20" fillId="0" borderId="11" applyNumberFormat="0" applyFill="0" applyProtection="0">
      <alignment vertical="center"/>
    </xf>
    <xf numFmtId="0" fontId="21" fillId="0" borderId="0"/>
    <xf numFmtId="0" fontId="22" fillId="0" borderId="8" applyNumberFormat="0" applyFill="0" applyProtection="0">
      <alignment vertical="center"/>
    </xf>
    <xf numFmtId="0" fontId="23" fillId="0" borderId="9" applyNumberFormat="0" applyProtection="0">
      <alignment vertical="center"/>
    </xf>
    <xf numFmtId="167" fontId="24" fillId="5" borderId="0" applyFont="0" applyFill="0" applyBorder="0" applyAlignment="0" applyProtection="0"/>
    <xf numFmtId="0" fontId="24" fillId="7" borderId="0" applyNumberFormat="0" applyFont="0" applyAlignment="0">
      <alignment horizontal="center" vertical="center" wrapText="1"/>
    </xf>
    <xf numFmtId="10" fontId="21" fillId="0" borderId="0" applyFont="0" applyFill="0" applyBorder="0" applyAlignment="0" applyProtection="0"/>
    <xf numFmtId="1" fontId="24" fillId="7" borderId="0" applyFont="0" applyFill="0" applyBorder="0" applyAlignment="0"/>
    <xf numFmtId="14" fontId="24" fillId="0" borderId="0" applyFont="0" applyFill="0" applyBorder="0" applyAlignment="0"/>
    <xf numFmtId="0" fontId="18" fillId="0" borderId="12" applyNumberFormat="0" applyFill="0" applyProtection="0">
      <alignment vertical="center"/>
    </xf>
    <xf numFmtId="0" fontId="24" fillId="5" borderId="9" applyNumberFormat="0" applyProtection="0">
      <alignment horizontal="right"/>
    </xf>
    <xf numFmtId="0" fontId="19" fillId="8" borderId="0" applyNumberFormat="0" applyBorder="0" applyProtection="0">
      <alignment vertical="center" wrapText="1"/>
    </xf>
    <xf numFmtId="0" fontId="19" fillId="8" borderId="0" applyBorder="0" applyProtection="0">
      <alignment horizontal="right" vertical="center" wrapText="1" indent="2"/>
    </xf>
    <xf numFmtId="167" fontId="24" fillId="5" borderId="0" applyFont="0" applyFill="0" applyBorder="0" applyProtection="0">
      <alignment horizontal="right" indent="2"/>
    </xf>
    <xf numFmtId="0" fontId="25" fillId="0" borderId="13" applyNumberFormat="0" applyFill="0" applyAlignment="0" applyProtection="0"/>
    <xf numFmtId="0" fontId="26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3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7" fillId="3" borderId="2" xfId="2" applyFont="1" applyFill="1" applyBorder="1" applyAlignment="1">
      <alignment horizontal="left"/>
    </xf>
    <xf numFmtId="164" fontId="0" fillId="0" borderId="0" xfId="7" applyNumberFormat="1" applyFont="1"/>
    <xf numFmtId="0" fontId="0" fillId="4" borderId="0" xfId="10" applyFont="1" applyAlignment="1">
      <alignment horizontal="center"/>
    </xf>
    <xf numFmtId="0" fontId="15" fillId="0" borderId="0" xfId="0" applyFont="1"/>
    <xf numFmtId="166" fontId="0" fillId="0" borderId="0" xfId="0" applyNumberFormat="1"/>
    <xf numFmtId="10" fontId="0" fillId="0" borderId="0" xfId="0" applyNumberFormat="1"/>
    <xf numFmtId="10" fontId="0" fillId="0" borderId="0" xfId="11" applyNumberFormat="1" applyFont="1"/>
    <xf numFmtId="0" fontId="14" fillId="0" borderId="0" xfId="0" applyFont="1"/>
    <xf numFmtId="0" fontId="12" fillId="0" borderId="5" xfId="9"/>
    <xf numFmtId="14" fontId="0" fillId="0" borderId="0" xfId="0" applyNumberFormat="1"/>
    <xf numFmtId="0" fontId="0" fillId="4" borderId="0" xfId="10" applyFont="1"/>
    <xf numFmtId="0" fontId="14" fillId="0" borderId="10" xfId="0" applyFont="1" applyBorder="1"/>
    <xf numFmtId="44" fontId="0" fillId="0" borderId="0" xfId="7" applyFont="1" applyBorder="1"/>
    <xf numFmtId="44" fontId="0" fillId="0" borderId="0" xfId="7" applyFont="1"/>
    <xf numFmtId="0" fontId="14" fillId="0" borderId="0" xfId="12" applyBorder="1"/>
    <xf numFmtId="164" fontId="14" fillId="0" borderId="0" xfId="7" applyNumberFormat="1" applyFont="1" applyBorder="1"/>
    <xf numFmtId="0" fontId="14" fillId="0" borderId="10" xfId="12" applyFill="1" applyBorder="1"/>
    <xf numFmtId="0" fontId="0" fillId="0" borderId="10" xfId="0" applyBorder="1" applyAlignment="1">
      <alignment horizontal="right"/>
    </xf>
    <xf numFmtId="44" fontId="0" fillId="0" borderId="10" xfId="7" applyFont="1" applyBorder="1"/>
    <xf numFmtId="44" fontId="0" fillId="0" borderId="16" xfId="7" applyFont="1" applyBorder="1"/>
    <xf numFmtId="44" fontId="0" fillId="0" borderId="17" xfId="7" applyFont="1" applyBorder="1"/>
    <xf numFmtId="0" fontId="0" fillId="11" borderId="0" xfId="0" applyFill="1"/>
    <xf numFmtId="165" fontId="0" fillId="11" borderId="0" xfId="8" applyNumberFormat="1" applyFont="1" applyFill="1"/>
    <xf numFmtId="0" fontId="0" fillId="9" borderId="0" xfId="0" applyFill="1"/>
    <xf numFmtId="165" fontId="0" fillId="9" borderId="0" xfId="8" applyNumberFormat="1" applyFont="1" applyFill="1"/>
    <xf numFmtId="0" fontId="0" fillId="11" borderId="19" xfId="0" applyFill="1" applyBorder="1"/>
    <xf numFmtId="165" fontId="0" fillId="0" borderId="0" xfId="0" applyNumberFormat="1"/>
    <xf numFmtId="43" fontId="0" fillId="0" borderId="0" xfId="0" applyNumberFormat="1"/>
    <xf numFmtId="0" fontId="0" fillId="0" borderId="0" xfId="0" applyAlignment="1">
      <alignment vertical="center"/>
    </xf>
    <xf numFmtId="3" fontId="0" fillId="9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8" fillId="0" borderId="0" xfId="0" applyFont="1"/>
    <xf numFmtId="0" fontId="29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left"/>
    </xf>
    <xf numFmtId="42" fontId="0" fillId="0" borderId="0" xfId="0" applyNumberFormat="1" applyAlignment="1">
      <alignment horizontal="center"/>
    </xf>
    <xf numFmtId="0" fontId="28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1" fontId="0" fillId="0" borderId="0" xfId="0" applyNumberFormat="1"/>
    <xf numFmtId="1" fontId="30" fillId="12" borderId="20" xfId="0" applyNumberFormat="1" applyFont="1" applyFill="1" applyBorder="1" applyAlignment="1">
      <alignment horizontal="right"/>
    </xf>
    <xf numFmtId="1" fontId="0" fillId="12" borderId="20" xfId="0" applyNumberFormat="1" applyFill="1" applyBorder="1" applyAlignment="1">
      <alignment horizontal="center"/>
    </xf>
    <xf numFmtId="0" fontId="29" fillId="12" borderId="20" xfId="0" applyFont="1" applyFill="1" applyBorder="1" applyAlignment="1">
      <alignment horizontal="center"/>
    </xf>
    <xf numFmtId="42" fontId="0" fillId="12" borderId="20" xfId="0" applyNumberFormat="1" applyFill="1" applyBorder="1" applyAlignment="1">
      <alignment horizontal="center"/>
    </xf>
    <xf numFmtId="0" fontId="0" fillId="4" borderId="0" xfId="10" applyFont="1" applyBorder="1" applyAlignment="1">
      <alignment horizontal="center"/>
    </xf>
    <xf numFmtId="14" fontId="0" fillId="0" borderId="16" xfId="0" applyNumberFormat="1" applyBorder="1"/>
    <xf numFmtId="0" fontId="0" fillId="0" borderId="16" xfId="0" applyBorder="1"/>
    <xf numFmtId="164" fontId="0" fillId="0" borderId="16" xfId="7" applyNumberFormat="1" applyFont="1" applyBorder="1"/>
    <xf numFmtId="164" fontId="0" fillId="0" borderId="17" xfId="0" applyNumberFormat="1" applyBorder="1"/>
    <xf numFmtId="0" fontId="14" fillId="6" borderId="24" xfId="0" applyFont="1" applyFill="1" applyBorder="1" applyAlignment="1">
      <alignment horizontal="center"/>
    </xf>
    <xf numFmtId="10" fontId="0" fillId="0" borderId="24" xfId="11" applyNumberFormat="1" applyFont="1" applyBorder="1" applyAlignment="1">
      <alignment horizontal="center"/>
    </xf>
    <xf numFmtId="10" fontId="0" fillId="0" borderId="23" xfId="11" applyNumberFormat="1" applyFont="1" applyBorder="1" applyAlignment="1">
      <alignment horizontal="center"/>
    </xf>
    <xf numFmtId="164" fontId="14" fillId="0" borderId="23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0" xfId="12" applyFill="1" applyBorder="1" applyAlignment="1"/>
    <xf numFmtId="0" fontId="0" fillId="0" borderId="0" xfId="0" applyAlignment="1">
      <alignment horizontal="right"/>
    </xf>
    <xf numFmtId="44" fontId="0" fillId="11" borderId="19" xfId="7" applyFont="1" applyFill="1" applyBorder="1"/>
    <xf numFmtId="43" fontId="0" fillId="11" borderId="0" xfId="8" applyFont="1" applyFill="1"/>
    <xf numFmtId="43" fontId="0" fillId="9" borderId="0" xfId="8" applyFont="1" applyFill="1"/>
    <xf numFmtId="0" fontId="26" fillId="13" borderId="0" xfId="30"/>
    <xf numFmtId="0" fontId="26" fillId="13" borderId="0" xfId="30" applyAlignment="1">
      <alignment horizontal="center"/>
    </xf>
    <xf numFmtId="42" fontId="0" fillId="0" borderId="0" xfId="7" applyNumberFormat="1" applyFont="1" applyAlignment="1">
      <alignment horizontal="center"/>
    </xf>
    <xf numFmtId="0" fontId="26" fillId="13" borderId="25" xfId="30" applyBorder="1" applyAlignment="1">
      <alignment horizontal="center" vertical="center"/>
    </xf>
    <xf numFmtId="0" fontId="26" fillId="13" borderId="26" xfId="30" applyBorder="1" applyAlignment="1">
      <alignment horizontal="center" vertical="center"/>
    </xf>
    <xf numFmtId="0" fontId="26" fillId="13" borderId="26" xfId="30" applyBorder="1" applyAlignment="1">
      <alignment horizontal="center" vertical="center" wrapText="1"/>
    </xf>
    <xf numFmtId="0" fontId="26" fillId="13" borderId="27" xfId="30" applyBorder="1" applyAlignment="1">
      <alignment horizontal="center" vertical="center" wrapText="1"/>
    </xf>
    <xf numFmtId="168" fontId="0" fillId="0" borderId="0" xfId="8" applyNumberFormat="1" applyFont="1" applyAlignment="1">
      <alignment horizontal="right"/>
    </xf>
    <xf numFmtId="1" fontId="19" fillId="13" borderId="0" xfId="30" applyNumberFormat="1" applyFont="1" applyBorder="1" applyAlignment="1">
      <alignment horizontal="center"/>
    </xf>
    <xf numFmtId="0" fontId="19" fillId="13" borderId="0" xfId="30" applyFont="1" applyAlignment="1">
      <alignment horizontal="center"/>
    </xf>
    <xf numFmtId="164" fontId="11" fillId="7" borderId="28" xfId="7" applyNumberFormat="1" applyFill="1" applyBorder="1"/>
    <xf numFmtId="169" fontId="0" fillId="0" borderId="0" xfId="0" applyNumberFormat="1" applyAlignment="1">
      <alignment horizontal="center"/>
    </xf>
    <xf numFmtId="0" fontId="11" fillId="7" borderId="28" xfId="31" applyBorder="1" applyAlignment="1">
      <alignment horizontal="center"/>
    </xf>
    <xf numFmtId="169" fontId="0" fillId="14" borderId="26" xfId="0" applyNumberFormat="1" applyFill="1" applyBorder="1" applyAlignment="1">
      <alignment horizontal="center"/>
    </xf>
    <xf numFmtId="0" fontId="1" fillId="0" borderId="0" xfId="2"/>
    <xf numFmtId="0" fontId="3" fillId="2" borderId="0" xfId="2" applyFont="1" applyFill="1" applyAlignment="1">
      <alignment horizontal="left"/>
    </xf>
    <xf numFmtId="0" fontId="3" fillId="2" borderId="0" xfId="2" applyFont="1" applyFill="1" applyAlignment="1">
      <alignment horizontal="right"/>
    </xf>
    <xf numFmtId="0" fontId="10" fillId="2" borderId="0" xfId="5" applyFont="1" applyAlignment="1">
      <alignment horizontal="left" vertical="top" wrapText="1"/>
    </xf>
    <xf numFmtId="0" fontId="1" fillId="0" borderId="0" xfId="2" applyAlignment="1">
      <alignment wrapText="1"/>
    </xf>
    <xf numFmtId="0" fontId="4" fillId="2" borderId="0" xfId="4" applyAlignment="1">
      <alignment horizontal="left" vertical="top" wrapText="1"/>
    </xf>
    <xf numFmtId="0" fontId="11" fillId="0" borderId="0" xfId="32"/>
    <xf numFmtId="0" fontId="3" fillId="0" borderId="0" xfId="2" applyFont="1" applyAlignment="1">
      <alignment vertical="center"/>
    </xf>
    <xf numFmtId="44" fontId="0" fillId="0" borderId="0" xfId="0" applyNumberFormat="1"/>
    <xf numFmtId="44" fontId="0" fillId="11" borderId="0" xfId="7" applyFont="1" applyFill="1" applyBorder="1"/>
    <xf numFmtId="164" fontId="0" fillId="0" borderId="27" xfId="7" applyNumberFormat="1" applyFont="1" applyBorder="1" applyAlignment="1">
      <alignment horizontal="center"/>
    </xf>
    <xf numFmtId="0" fontId="19" fillId="15" borderId="29" xfId="0" applyFont="1" applyFill="1" applyBorder="1" applyAlignment="1">
      <alignment horizontal="center" vertical="center"/>
    </xf>
    <xf numFmtId="0" fontId="19" fillId="15" borderId="30" xfId="0" applyFont="1" applyFill="1" applyBorder="1" applyAlignment="1">
      <alignment horizontal="center" vertical="center"/>
    </xf>
    <xf numFmtId="0" fontId="19" fillId="15" borderId="30" xfId="0" applyFont="1" applyFill="1" applyBorder="1" applyAlignment="1">
      <alignment horizontal="center" vertical="center" wrapText="1"/>
    </xf>
    <xf numFmtId="0" fontId="19" fillId="15" borderId="31" xfId="0" applyFont="1" applyFill="1" applyBorder="1" applyAlignment="1">
      <alignment horizontal="center" vertical="center" wrapText="1"/>
    </xf>
    <xf numFmtId="0" fontId="29" fillId="14" borderId="29" xfId="0" applyFont="1" applyFill="1" applyBorder="1" applyAlignment="1">
      <alignment horizontal="center"/>
    </xf>
    <xf numFmtId="49" fontId="0" fillId="14" borderId="30" xfId="0" applyNumberFormat="1" applyFill="1" applyBorder="1"/>
    <xf numFmtId="1" fontId="0" fillId="14" borderId="30" xfId="0" applyNumberFormat="1" applyFill="1" applyBorder="1" applyAlignment="1">
      <alignment horizontal="left"/>
    </xf>
    <xf numFmtId="14" fontId="0" fillId="14" borderId="30" xfId="0" applyNumberFormat="1" applyFill="1" applyBorder="1" applyAlignment="1">
      <alignment horizontal="center"/>
    </xf>
    <xf numFmtId="42" fontId="0" fillId="14" borderId="31" xfId="0" applyNumberFormat="1" applyFill="1" applyBorder="1" applyAlignment="1">
      <alignment horizontal="center"/>
    </xf>
    <xf numFmtId="0" fontId="31" fillId="0" borderId="29" xfId="0" applyFont="1" applyBorder="1" applyAlignment="1">
      <alignment horizontal="center"/>
    </xf>
    <xf numFmtId="49" fontId="0" fillId="0" borderId="30" xfId="0" applyNumberFormat="1" applyBorder="1"/>
    <xf numFmtId="1" fontId="0" fillId="0" borderId="30" xfId="0" applyNumberFormat="1" applyBorder="1" applyAlignment="1">
      <alignment horizontal="left"/>
    </xf>
    <xf numFmtId="14" fontId="0" fillId="0" borderId="30" xfId="0" applyNumberFormat="1" applyBorder="1" applyAlignment="1">
      <alignment horizontal="center"/>
    </xf>
    <xf numFmtId="42" fontId="0" fillId="0" borderId="31" xfId="0" applyNumberFormat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29" fillId="0" borderId="29" xfId="0" applyFont="1" applyBorder="1" applyAlignment="1">
      <alignment horizontal="center"/>
    </xf>
    <xf numFmtId="164" fontId="0" fillId="0" borderId="31" xfId="7" applyNumberFormat="1" applyFont="1" applyBorder="1" applyAlignment="1">
      <alignment horizontal="center"/>
    </xf>
    <xf numFmtId="164" fontId="0" fillId="14" borderId="31" xfId="7" applyNumberFormat="1" applyFont="1" applyFill="1" applyBorder="1" applyAlignment="1">
      <alignment horizontal="center"/>
    </xf>
    <xf numFmtId="0" fontId="29" fillId="0" borderId="25" xfId="0" applyFont="1" applyBorder="1" applyAlignment="1">
      <alignment horizontal="center"/>
    </xf>
    <xf numFmtId="49" fontId="0" fillId="0" borderId="26" xfId="0" applyNumberFormat="1" applyBorder="1"/>
    <xf numFmtId="1" fontId="0" fillId="0" borderId="26" xfId="0" applyNumberFormat="1" applyBorder="1" applyAlignment="1">
      <alignment horizontal="left"/>
    </xf>
    <xf numFmtId="14" fontId="0" fillId="0" borderId="26" xfId="0" applyNumberFormat="1" applyBorder="1" applyAlignment="1">
      <alignment horizontal="center"/>
    </xf>
    <xf numFmtId="1" fontId="14" fillId="14" borderId="30" xfId="0" applyNumberFormat="1" applyFont="1" applyFill="1" applyBorder="1" applyAlignment="1">
      <alignment horizontal="left"/>
    </xf>
    <xf numFmtId="1" fontId="14" fillId="0" borderId="30" xfId="0" applyNumberFormat="1" applyFont="1" applyBorder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7" applyNumberFormat="1" applyFont="1" applyBorder="1" applyAlignment="1">
      <alignment horizontal="center"/>
    </xf>
    <xf numFmtId="1" fontId="14" fillId="0" borderId="0" xfId="0" applyNumberFormat="1" applyFont="1" applyAlignment="1">
      <alignment horizontal="left"/>
    </xf>
    <xf numFmtId="7" fontId="0" fillId="0" borderId="0" xfId="7" applyNumberFormat="1" applyFont="1"/>
    <xf numFmtId="8" fontId="0" fillId="0" borderId="10" xfId="0" applyNumberFormat="1" applyBorder="1"/>
    <xf numFmtId="0" fontId="9" fillId="0" borderId="0" xfId="2" applyFont="1" applyAlignment="1">
      <alignment horizontal="left" vertical="center" indent="7"/>
    </xf>
    <xf numFmtId="0" fontId="9" fillId="0" borderId="1" xfId="2" applyFont="1" applyBorder="1" applyAlignment="1">
      <alignment horizontal="left" vertical="center" indent="7"/>
    </xf>
    <xf numFmtId="0" fontId="2" fillId="2" borderId="0" xfId="2" applyFont="1" applyFill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15" fillId="0" borderId="0" xfId="0" applyFont="1"/>
    <xf numFmtId="0" fontId="8" fillId="9" borderId="0" xfId="6" applyFill="1" applyAlignment="1">
      <alignment horizontal="center"/>
    </xf>
    <xf numFmtId="0" fontId="27" fillId="9" borderId="18" xfId="29" applyFont="1" applyFill="1" applyBorder="1" applyAlignment="1">
      <alignment horizontal="center"/>
    </xf>
    <xf numFmtId="0" fontId="26" fillId="10" borderId="0" xfId="0" applyFont="1" applyFill="1" applyAlignment="1">
      <alignment horizontal="center" vertical="center"/>
    </xf>
    <xf numFmtId="165" fontId="15" fillId="11" borderId="0" xfId="8" applyNumberFormat="1" applyFont="1" applyFill="1"/>
    <xf numFmtId="0" fontId="34" fillId="0" borderId="0" xfId="0" applyFont="1"/>
    <xf numFmtId="0" fontId="19" fillId="13" borderId="21" xfId="30" applyFont="1" applyBorder="1" applyAlignment="1">
      <alignment horizontal="center" vertical="center" wrapText="1"/>
    </xf>
    <xf numFmtId="0" fontId="19" fillId="13" borderId="22" xfId="30" applyFont="1" applyBorder="1" applyAlignment="1">
      <alignment horizontal="center" vertical="center" wrapText="1"/>
    </xf>
    <xf numFmtId="0" fontId="33" fillId="0" borderId="8" xfId="17" applyFont="1" applyAlignment="1">
      <alignment horizontal="center" vertical="center"/>
    </xf>
    <xf numFmtId="0" fontId="32" fillId="0" borderId="5" xfId="9" applyFont="1" applyAlignment="1">
      <alignment horizontal="center"/>
    </xf>
    <xf numFmtId="0" fontId="0" fillId="4" borderId="14" xfId="10" applyFont="1" applyBorder="1" applyAlignment="1">
      <alignment horizontal="center"/>
    </xf>
    <xf numFmtId="0" fontId="0" fillId="4" borderId="7" xfId="10" applyFont="1" applyBorder="1" applyAlignment="1">
      <alignment horizontal="center"/>
    </xf>
    <xf numFmtId="0" fontId="0" fillId="4" borderId="15" xfId="10" applyFont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8" fillId="0" borderId="0" xfId="6"/>
    <xf numFmtId="0" fontId="13" fillId="0" borderId="5" xfId="9" applyFont="1"/>
    <xf numFmtId="0" fontId="11" fillId="4" borderId="7" xfId="10" applyBorder="1" applyAlignment="1">
      <alignment horizontal="center"/>
    </xf>
  </cellXfs>
  <cellStyles count="33">
    <cellStyle name="20% - Accent1" xfId="31" builtinId="30"/>
    <cellStyle name="40% - Accent1" xfId="10" builtinId="31"/>
    <cellStyle name="Accent1" xfId="30" builtinId="29"/>
    <cellStyle name="Amount" xfId="19" xr:uid="{00000000-0005-0000-0000-000003000000}"/>
    <cellStyle name="Comma" xfId="8" builtinId="3"/>
    <cellStyle name="Currency" xfId="7" builtinId="4"/>
    <cellStyle name="Date" xfId="23" xr:uid="{00000000-0005-0000-0000-000006000000}"/>
    <cellStyle name="Explanatory Text 2" xfId="18" xr:uid="{00000000-0005-0000-0000-000007000000}"/>
    <cellStyle name="Heading 1" xfId="9" builtinId="16"/>
    <cellStyle name="Heading 1 2" xfId="15" xr:uid="{00000000-0005-0000-0000-000009000000}"/>
    <cellStyle name="Heading 2" xfId="29" builtinId="17"/>
    <cellStyle name="Heading 2 2" xfId="13" xr:uid="{00000000-0005-0000-0000-00000B000000}"/>
    <cellStyle name="Heading 2 3" xfId="17" xr:uid="{00000000-0005-0000-0000-00000C000000}"/>
    <cellStyle name="Heading 3 2" xfId="24" xr:uid="{00000000-0005-0000-0000-00000D000000}"/>
    <cellStyle name="Heading 4 2" xfId="26" xr:uid="{00000000-0005-0000-0000-00000E000000}"/>
    <cellStyle name="Heading 4 Right aligned" xfId="27" xr:uid="{00000000-0005-0000-0000-00000F000000}"/>
    <cellStyle name="Input 2" xfId="14" xr:uid="{00000000-0005-0000-0000-000010000000}"/>
    <cellStyle name="Input 3" xfId="25" xr:uid="{00000000-0005-0000-0000-000011000000}"/>
    <cellStyle name="Loan Summary" xfId="20" xr:uid="{00000000-0005-0000-0000-000012000000}"/>
    <cellStyle name="Normal" xfId="0" builtinId="0"/>
    <cellStyle name="Normal 2" xfId="1" xr:uid="{00000000-0005-0000-0000-000014000000}"/>
    <cellStyle name="Normal 2 2" xfId="2" xr:uid="{00000000-0005-0000-0000-000015000000}"/>
    <cellStyle name="Normal 3" xfId="16" xr:uid="{00000000-0005-0000-0000-000016000000}"/>
    <cellStyle name="Normal 3 2" xfId="32" xr:uid="{8A9BDCA1-BEE2-4549-83BF-3E8CE3EE1127}"/>
    <cellStyle name="Number" xfId="22" xr:uid="{00000000-0005-0000-0000-000017000000}"/>
    <cellStyle name="Percent" xfId="11" builtinId="5"/>
    <cellStyle name="Percent 2" xfId="21" xr:uid="{00000000-0005-0000-0000-000019000000}"/>
    <cellStyle name="Project Header" xfId="3" xr:uid="{00000000-0005-0000-0000-00001A000000}"/>
    <cellStyle name="Student Name" xfId="4" xr:uid="{00000000-0005-0000-0000-00001B000000}"/>
    <cellStyle name="Submission" xfId="5" xr:uid="{00000000-0005-0000-0000-00001C000000}"/>
    <cellStyle name="Table Amount" xfId="28" xr:uid="{00000000-0005-0000-0000-00001D000000}"/>
    <cellStyle name="Title" xfId="6" builtinId="15"/>
    <cellStyle name="Total" xfId="12" builtinId="25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numFmt numFmtId="32" formatCode="_(&quot;$&quot;* #,##0_);_(&quot;$&quot;* \(#,##0\);_(&quot;$&quot;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numFmt numFmtId="168" formatCode="&quot;$&quot;#,##0"/>
      <alignment horizontal="right" vertical="bottom" textRotation="0" wrapText="0" indent="0" justifyLastLine="0" shrinkToFit="0" readingOrder="0"/>
    </dxf>
    <dxf>
      <numFmt numFmtId="169" formatCode="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2" formatCode="_(&quot;$&quot;* #,##0_);_(&quot;$&quot;* \(#,##0\);_(&quot;$&quot;* &quot;-&quot;_);_(@_)"/>
      <alignment horizontal="center" vertical="bottom" textRotation="0" wrapText="0" indent="0" justifyLastLine="0" shrinkToFit="0" readingOrder="0"/>
    </dxf>
    <dxf>
      <numFmt numFmtId="32" formatCode="_(&quot;$&quot;* #,##0_);_(&quot;$&quot;* \(#,##0\);_(&quot;$&quot;* &quot;-&quot;_);_(@_)"/>
      <alignment horizontal="center" vertical="bottom" textRotation="0" wrapText="0" indent="0" justifyLastLine="0" shrinkToFit="0" readingOrder="0"/>
    </dxf>
    <dxf>
      <numFmt numFmtId="168" formatCode="&quot;$&quot;#,##0"/>
      <alignment horizontal="right" vertical="bottom" textRotation="0" wrapText="0" indent="0" justifyLastLine="0" shrinkToFit="0" readingOrder="0"/>
    </dxf>
    <dxf>
      <numFmt numFmtId="169" formatCode="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</dxf>
    <dxf>
      <font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 tint="0.2499465926084170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Loan Amortization Schedule" pivot="0" count="7" xr9:uid="{00000000-0011-0000-FFFF-FFFF00000000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528-4D4B-95D6-24F639D63AFF}"/>
              </c:ext>
            </c:extLst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528-4D4B-95D6-24F639D63AFF}"/>
              </c:ext>
            </c:extLst>
          </c:dPt>
          <c:dPt>
            <c:idx val="2"/>
            <c:bubble3D val="0"/>
            <c:explosion val="1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528-4D4B-95D6-24F639D63AFF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528-4D4B-95D6-24F639D63AFF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528-4D4B-95D6-24F639D63AFF}"/>
              </c:ext>
            </c:extLst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7528-4D4B-95D6-24F639D63AFF}"/>
              </c:ext>
            </c:extLst>
          </c:dPt>
          <c:dLbls>
            <c:dLbl>
              <c:idx val="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7528-4D4B-95D6-24F639D63AFF}"/>
                </c:ext>
              </c:extLst>
            </c:dLbl>
            <c:dLbl>
              <c:idx val="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528-4D4B-95D6-24F639D63AFF}"/>
                </c:ext>
              </c:extLst>
            </c:dLbl>
            <c:dLbl>
              <c:idx val="2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shade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528-4D4B-95D6-24F639D63AFF}"/>
                </c:ext>
              </c:extLst>
            </c:dLbl>
            <c:dLbl>
              <c:idx val="3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528-4D4B-95D6-24F639D63AFF}"/>
                </c:ext>
              </c:extLst>
            </c:dLbl>
            <c:dLbl>
              <c:idx val="4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528-4D4B-95D6-24F639D63AFF}"/>
                </c:ext>
              </c:extLst>
            </c:dLbl>
            <c:dLbl>
              <c:idx val="5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tint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7528-4D4B-95D6-24F639D63AF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'All Locations'!$A$6:$A$11</c:f>
              <c:strCache>
                <c:ptCount val="6"/>
                <c:pt idx="0">
                  <c:v>Action</c:v>
                </c:pt>
                <c:pt idx="1">
                  <c:v>Animation</c:v>
                </c:pt>
                <c:pt idx="2">
                  <c:v>Comedy</c:v>
                </c:pt>
                <c:pt idx="3">
                  <c:v>Drama</c:v>
                </c:pt>
                <c:pt idx="4">
                  <c:v>Foreign</c:v>
                </c:pt>
                <c:pt idx="5">
                  <c:v>TV shows</c:v>
                </c:pt>
              </c:strCache>
            </c:strRef>
          </c:cat>
          <c:val>
            <c:numRef>
              <c:f>'All Locations'!$F$6:$F$11</c:f>
              <c:numCache>
                <c:formatCode>_(* #,##0.00_);_(* \(#,##0.00\);_(* "-"??_);_(@_)</c:formatCode>
                <c:ptCount val="6"/>
                <c:pt idx="0">
                  <c:v>134786.23000000001</c:v>
                </c:pt>
                <c:pt idx="1">
                  <c:v>100757.7</c:v>
                </c:pt>
                <c:pt idx="2">
                  <c:v>184982.35000000003</c:v>
                </c:pt>
                <c:pt idx="3">
                  <c:v>129202.45</c:v>
                </c:pt>
                <c:pt idx="4">
                  <c:v>94660.19</c:v>
                </c:pt>
                <c:pt idx="5">
                  <c:v>170495.03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8-4D4B-95D6-24F639D63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Locations'!$B$6:$E$6</c:f>
              <c:numCache>
                <c:formatCode>_(* #,##0.00_);_(* \(#,##0.00\);_(* "-"??_);_(@_)</c:formatCode>
                <c:ptCount val="4"/>
                <c:pt idx="0">
                  <c:v>31594.800000000003</c:v>
                </c:pt>
                <c:pt idx="1">
                  <c:v>32657.24</c:v>
                </c:pt>
                <c:pt idx="2">
                  <c:v>34832.15</c:v>
                </c:pt>
                <c:pt idx="3">
                  <c:v>35702.04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E67-40DE-86B4-BEFB139A350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Locations'!$B$7:$E$7</c:f>
              <c:numCache>
                <c:formatCode>_(* #,##0.00_);_(* \(#,##0.00\);_(* "-"??_);_(@_)</c:formatCode>
                <c:ptCount val="4"/>
                <c:pt idx="0">
                  <c:v>23407</c:v>
                </c:pt>
                <c:pt idx="1">
                  <c:v>25159.39</c:v>
                </c:pt>
                <c:pt idx="2">
                  <c:v>26473.949999999997</c:v>
                </c:pt>
                <c:pt idx="3">
                  <c:v>25717.360000000001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E67-40DE-86B4-BEFB139A350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Locations'!$B$8:$E$8</c:f>
              <c:numCache>
                <c:formatCode>_(* #,##0.00_);_(* \(#,##0.00\);_(* "-"??_);_(@_)</c:formatCode>
                <c:ptCount val="4"/>
                <c:pt idx="0">
                  <c:v>45004.37</c:v>
                </c:pt>
                <c:pt idx="1">
                  <c:v>46698.55</c:v>
                </c:pt>
                <c:pt idx="2">
                  <c:v>46476.990000000005</c:v>
                </c:pt>
                <c:pt idx="3">
                  <c:v>46802.44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E67-40DE-86B4-BEFB139A350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Locations'!$B$9:$E$9</c:f>
              <c:numCache>
                <c:formatCode>_(* #,##0.00_);_(* \(#,##0.00\);_(* "-"??_);_(@_)</c:formatCode>
                <c:ptCount val="4"/>
                <c:pt idx="0">
                  <c:v>30894.799999999996</c:v>
                </c:pt>
                <c:pt idx="1">
                  <c:v>32702.560000000001</c:v>
                </c:pt>
                <c:pt idx="2">
                  <c:v>33595.509999999995</c:v>
                </c:pt>
                <c:pt idx="3">
                  <c:v>32009.58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E67-40DE-86B4-BEFB139A350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Locations'!$B$5:$E$5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'All Locations'!$B$10:$E$10</c:f>
              <c:numCache>
                <c:formatCode>_(* #,##0.00_);_(* \(#,##0.00\);_(* "-"??_);_(@_)</c:formatCode>
                <c:ptCount val="4"/>
                <c:pt idx="0">
                  <c:v>23849.88</c:v>
                </c:pt>
                <c:pt idx="1">
                  <c:v>24380.33</c:v>
                </c:pt>
                <c:pt idx="2">
                  <c:v>23171.360000000001</c:v>
                </c:pt>
                <c:pt idx="3">
                  <c:v>23258.62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AE67-40DE-86B4-BEFB139A35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66670031"/>
        <c:axId val="466695951"/>
      </c:barChart>
      <c:catAx>
        <c:axId val="46667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95951"/>
        <c:crosses val="autoZero"/>
        <c:auto val="1"/>
        <c:lblAlgn val="ctr"/>
        <c:lblOffset val="100"/>
        <c:noMultiLvlLbl val="0"/>
      </c:catAx>
      <c:valAx>
        <c:axId val="46669595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466670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Projects by Date and Budget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anose="020B0603020202020204"/>
            </a:rPr>
            <a:t>Projects by Date and Budget</a:t>
          </a:r>
        </a:p>
      </cx:txPr>
    </cx:title>
    <cx:plotArea>
      <cx:plotAreaRegion>
        <cx:series layoutId="treemap" uniqueId="{E206DF9D-58E8-4B86-A85A-919C7E04D83F}">
          <cx:tx>
            <cx:txData>
              <cx:f>_xlchart.v1.4</cx:f>
              <cx:v>Budget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7100FA3-179B-441B-8E13-D87AF206DC97}"/>
            </a:ext>
          </a:extLst>
        </xdr:cNvPr>
        <xdr:cNvGrpSpPr>
          <a:grpSpLocks noChangeAspect="1"/>
        </xdr:cNvGrpSpPr>
      </xdr:nvGrpSpPr>
      <xdr:grpSpPr>
        <a:xfrm>
          <a:off x="0" y="0"/>
          <a:ext cx="78486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ADBE9A7-1A1F-446A-89C3-702E704EF5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08D631C-42B3-4400-A084-E31926464039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Shelly Cashman Excel 365/2021 | Modules 4-7: SAM Capstone Project 1a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9526</xdr:rowOff>
    </xdr:from>
    <xdr:to>
      <xdr:col>5</xdr:col>
      <xdr:colOff>0</xdr:colOff>
      <xdr:row>28</xdr:row>
      <xdr:rowOff>200026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BEEF7-EDDE-69A7-B36F-07B7481C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14</xdr:row>
      <xdr:rowOff>9525</xdr:rowOff>
    </xdr:from>
    <xdr:to>
      <xdr:col>11</xdr:col>
      <xdr:colOff>9525</xdr:colOff>
      <xdr:row>36</xdr:row>
      <xdr:rowOff>200025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22038-2F68-BDE4-5365-3645F2EB3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1414462</xdr:colOff>
      <xdr:row>20</xdr:row>
      <xdr:rowOff>4762</xdr:rowOff>
    </xdr:from>
    <xdr:to>
      <xdr:col>15</xdr:col>
      <xdr:colOff>0</xdr:colOff>
      <xdr:row>37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962FE15-8126-C730-0050-F80DDA1A8B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2012" y="4805362"/>
              <a:ext cx="6891338" cy="2776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5912a7e81f84211/ITSW%202313/Delete/Support_EX365_2021_CS4-7a_Revenue.xlsx" TargetMode="External"/><Relationship Id="rId1" Type="http://schemas.openxmlformats.org/officeDocument/2006/relationships/externalLinkPath" Target="/b5912a7e81f84211/ITSW%202313/Delete/Support_EX365_2021_CS4-7a_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Locations"/>
    </sheetNames>
    <sheetDataSet>
      <sheetData sheetId="0">
        <row r="12">
          <cell r="F12">
            <v>767912.1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41347A-667F-44CE-B311-90F1B431B80D}" autoFormatId="16" applyNumberFormats="0" applyBorderFormats="0" applyFontFormats="0" applyPatternFormats="0" applyAlignmentFormats="0" applyWidthHeightFormats="0">
  <queryTableRefresh nextId="3">
    <queryTableFields count="2">
      <queryTableField id="1" name="Media type" tableColumnId="1"/>
      <queryTableField id="2" name="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D78629-317E-4385-93A9-8FC09834888A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Location" tableColumnId="2"/>
      <queryTableField id="3" name="Contact First" tableColumnId="3"/>
      <queryTableField id="4" name="Contact Last" tableColumnId="4"/>
      <queryTableField id="5" name="On Mark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40D88B-3314-45EF-9E97-260213ABC109}" name="Support_EX365_2021_CS4_7a_Media__2" displayName="Support_EX365_2021_CS4_7a_Media__2" ref="H5:I11" tableType="queryTable" totalsRowShown="0">
  <autoFilter ref="H5:I11" xr:uid="{3E40D88B-3314-45EF-9E97-260213ABC109}"/>
  <tableColumns count="2">
    <tableColumn id="1" xr3:uid="{0B0B373F-86C5-4313-A961-34EA94646512}" uniqueName="1" name="Media type" queryTableFieldId="1" dataDxfId="30"/>
    <tableColumn id="2" xr3:uid="{71C1DC03-01FA-4F4D-8496-4A5909166B79}" uniqueName="2" name="Description" queryTableFieldId="2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AB336A-3E52-400D-BFAB-13B3115A52A1}" name="Table5" displayName="Table5" ref="A5:F12" totalsRowShown="0" headerRowDxfId="28" dataDxfId="27" tableBorderDxfId="26" headerRowCellStyle="Accent1" dataCellStyle="Comma">
  <autoFilter ref="A5:F12" xr:uid="{80AB336A-3E52-400D-BFAB-13B3115A52A1}"/>
  <tableColumns count="6">
    <tableColumn id="1" xr3:uid="{9355129E-5E60-4849-AD28-3CEDC0D6CE93}" name="Type" dataDxfId="25"/>
    <tableColumn id="2" xr3:uid="{5E5A10D5-515F-4D89-978B-61F39075B641}" name="Quarter 1" dataDxfId="24" dataCellStyle="Comma"/>
    <tableColumn id="3" xr3:uid="{349DC182-408A-484E-8AA0-7BF01138C928}" name="Quarter 2" dataDxfId="23" dataCellStyle="Comma"/>
    <tableColumn id="4" xr3:uid="{8E7F4695-9A9B-4B58-B86C-0C4E36150D32}" name="Quarter 3" dataDxfId="22" dataCellStyle="Comma"/>
    <tableColumn id="5" xr3:uid="{DD9FA0C7-7710-4ACA-8B3C-FD7C585A543D}" name="Quarter 4" dataDxfId="21" dataCellStyle="Comma"/>
    <tableColumn id="6" xr3:uid="{D15F74F1-FF64-4474-9377-50A368A59C08}" name="Total" dataDxfId="2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s" displayName="Projects" ref="A1:G23" totalsRowShown="0" headerRowDxfId="19">
  <tableColumns count="7">
    <tableColumn id="9" xr3:uid="{00000000-0010-0000-0000-000009000000}" name="ID" dataDxfId="18"/>
    <tableColumn id="1" xr3:uid="{00000000-0010-0000-0000-000001000000}" name="Project Name" dataDxfId="17"/>
    <tableColumn id="3" xr3:uid="{00000000-0010-0000-0000-000003000000}" name="Project Type" dataDxfId="16"/>
    <tableColumn id="2" xr3:uid="{00000000-0010-0000-0000-000002000000}" name="Start Date" dataDxfId="15"/>
    <tableColumn id="6" xr3:uid="{00000000-0010-0000-0000-000006000000}" name="Budget" dataDxfId="14" dataCellStyle="Comma"/>
    <tableColumn id="4" xr3:uid="{00000000-0010-0000-0000-000004000000}" name="Approved?" dataDxfId="13"/>
    <tableColumn id="5" xr3:uid="{1C908E75-D1EC-479F-B161-4A2BC2E2DCC4}" name="Delay?" dataDxfId="12">
      <calculatedColumnFormula>AND(Projects[[#This Row],[Project Type]]="Drama",Projects[[#This Row],[Approved?]]="No")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64AD1D-260C-459F-92B5-3D0CEF2FD197}" name="Table6" displayName="Table6" ref="A28:F36" totalsRowShown="0" headerRowDxfId="11">
  <autoFilter ref="A28:F36" xr:uid="{DF64AD1D-260C-459F-92B5-3D0CEF2FD197}">
    <filterColumn colId="2">
      <filters>
        <filter val="TV show"/>
      </filters>
    </filterColumn>
  </autoFilter>
  <tableColumns count="6">
    <tableColumn id="1" xr3:uid="{F7D9D1FA-EFD7-41F8-BC1C-BACEA443922B}" name="ID" dataDxfId="10"/>
    <tableColumn id="2" xr3:uid="{92180622-1605-4176-9B5E-BB94FB450D28}" name="Project Name" dataDxfId="9"/>
    <tableColumn id="3" xr3:uid="{7862AFCB-4F6D-4A42-8128-C51B1F61EE62}" name="Project Type" dataDxfId="8"/>
    <tableColumn id="4" xr3:uid="{1A21CE80-ECDF-4351-9BA6-DC7BCEED7486}" name="Start Date" dataDxfId="7"/>
    <tableColumn id="5" xr3:uid="{487D059E-0627-4071-988D-CE60B8B2BF11}" name="Budget" dataDxfId="6" dataCellStyle="Comma"/>
    <tableColumn id="6" xr3:uid="{4FBEC9D7-4DA4-4F1C-B469-A3C022FB2FBF}" name="Approved?" dataDxfId="5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AEA868-9B4F-48FA-A65A-0F5832DF5277}" name="Candidate_Properties__2" displayName="Candidate_Properties__2" ref="F26:J31" tableType="queryTable" totalsRowShown="0">
  <autoFilter ref="F26:J31" xr:uid="{45AEA868-9B4F-48FA-A65A-0F5832DF5277}"/>
  <tableColumns count="5">
    <tableColumn id="1" xr3:uid="{20605012-2FCD-4BE7-9279-578490950C45}" uniqueName="1" name="Type" queryTableFieldId="1" dataDxfId="4"/>
    <tableColumn id="2" xr3:uid="{B6505778-2B23-44D3-865E-4C75ABB9B05A}" uniqueName="2" name="Location" queryTableFieldId="2" dataDxfId="3"/>
    <tableColumn id="3" xr3:uid="{BB893D7B-3D3B-4261-A214-24317FDB83F4}" uniqueName="3" name="Contact First" queryTableFieldId="3" dataDxfId="2"/>
    <tableColumn id="4" xr3:uid="{5D0B806A-10DC-4A57-8039-BA88B5AE3AF5}" uniqueName="4" name="Contact Last" queryTableFieldId="4" dataDxfId="1"/>
    <tableColumn id="5" xr3:uid="{6B9EF06A-6DBA-4F9E-B04E-8DEB0520A85B}" uniqueName="5" name="On Market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087-CAA6-4626-B63C-3D5F1D0B4614}">
  <dimension ref="A1:C11"/>
  <sheetViews>
    <sheetView showGridLines="0" zoomScaleNormal="100" workbookViewId="0">
      <selection sqref="A1:C1"/>
    </sheetView>
  </sheetViews>
  <sheetFormatPr defaultColWidth="7.75" defaultRowHeight="12.75" x14ac:dyDescent="0.2"/>
  <cols>
    <col min="1" max="1" width="7.5" style="80" customWidth="1"/>
    <col min="2" max="2" width="92.375" style="80" customWidth="1"/>
    <col min="3" max="3" width="3.125" style="80" customWidth="1"/>
    <col min="4" max="16384" width="7.75" style="80"/>
  </cols>
  <sheetData>
    <row r="1" spans="1:3" ht="42" customHeight="1" x14ac:dyDescent="0.2">
      <c r="A1" s="120"/>
      <c r="B1" s="120"/>
      <c r="C1" s="121"/>
    </row>
    <row r="2" spans="1:3" ht="5.0999999999999996" customHeight="1" x14ac:dyDescent="0.3">
      <c r="A2" s="87"/>
      <c r="B2" s="86"/>
      <c r="C2" s="2"/>
    </row>
    <row r="3" spans="1:3" s="84" customFormat="1" ht="34.5" x14ac:dyDescent="0.25">
      <c r="A3" s="81"/>
      <c r="B3" s="85" t="s">
        <v>30</v>
      </c>
      <c r="C3" s="3"/>
    </row>
    <row r="4" spans="1:3" ht="16.5" x14ac:dyDescent="0.25">
      <c r="A4" s="81"/>
      <c r="B4" s="83" t="s">
        <v>31</v>
      </c>
      <c r="C4" s="2"/>
    </row>
    <row r="5" spans="1:3" ht="15.75" customHeight="1" x14ac:dyDescent="0.25">
      <c r="A5" s="81"/>
      <c r="B5" s="81"/>
      <c r="C5" s="2"/>
    </row>
    <row r="6" spans="1:3" ht="13.5" x14ac:dyDescent="0.25">
      <c r="A6" s="82" t="s">
        <v>2</v>
      </c>
      <c r="B6" s="4" t="s">
        <v>1</v>
      </c>
      <c r="C6" s="2"/>
    </row>
    <row r="7" spans="1:3" ht="13.5" x14ac:dyDescent="0.25">
      <c r="A7" s="81"/>
      <c r="B7" s="81"/>
      <c r="C7" s="2"/>
    </row>
    <row r="8" spans="1:3" x14ac:dyDescent="0.2">
      <c r="A8" s="122" t="s">
        <v>0</v>
      </c>
      <c r="B8" s="122"/>
      <c r="C8" s="123"/>
    </row>
    <row r="9" spans="1:3" x14ac:dyDescent="0.2">
      <c r="A9" s="122"/>
      <c r="B9" s="122"/>
      <c r="C9" s="123"/>
    </row>
    <row r="10" spans="1:3" ht="13.5" thickBot="1" x14ac:dyDescent="0.25">
      <c r="A10" s="124"/>
      <c r="B10" s="124"/>
      <c r="C10" s="125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F0D44A71-D648-4D1A-8288-C50F62DE5824}"/>
    <dataValidation allowBlank="1" error="pavI8MeUFtEyxX2I4tky1cadfc8c-a7d3-47f5-8078-f48b1600a4b2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C28" sqref="C28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27" t="s">
        <v>30</v>
      </c>
      <c r="B1" s="127"/>
      <c r="C1" s="127"/>
      <c r="D1" s="127"/>
      <c r="E1" s="127"/>
      <c r="F1" s="127"/>
      <c r="G1" t="s">
        <v>25</v>
      </c>
      <c r="H1" s="13">
        <f ca="1">TODAY()</f>
        <v>45590</v>
      </c>
    </row>
    <row r="2" spans="1:11" ht="18.75" thickBot="1" x14ac:dyDescent="0.4">
      <c r="A2" s="128" t="s">
        <v>26</v>
      </c>
      <c r="B2" s="128"/>
      <c r="C2" s="128"/>
      <c r="D2" s="128"/>
      <c r="E2" s="128"/>
      <c r="F2" s="128"/>
      <c r="G2" t="s">
        <v>42</v>
      </c>
      <c r="H2" s="17">
        <v>9.9499999999999993</v>
      </c>
      <c r="I2" t="s">
        <v>43</v>
      </c>
      <c r="J2" s="17">
        <v>12.95</v>
      </c>
    </row>
    <row r="3" spans="1:11" ht="17.25" thickTop="1" x14ac:dyDescent="0.3">
      <c r="A3" s="7" t="s">
        <v>44</v>
      </c>
    </row>
    <row r="4" spans="1:11" ht="20.25" customHeight="1" x14ac:dyDescent="0.3">
      <c r="A4" s="129" t="s">
        <v>124</v>
      </c>
      <c r="B4" s="129"/>
      <c r="C4" s="129"/>
      <c r="D4" s="129"/>
      <c r="E4" s="129"/>
      <c r="F4" s="129"/>
      <c r="H4" s="129" t="s">
        <v>125</v>
      </c>
      <c r="I4" s="129"/>
      <c r="J4" s="129"/>
      <c r="K4" s="129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12873.34</v>
      </c>
      <c r="C6" s="26">
        <v>13869.22</v>
      </c>
      <c r="D6" s="26">
        <v>15904.17</v>
      </c>
      <c r="E6" s="26">
        <v>15874.43</v>
      </c>
      <c r="F6" s="64">
        <f t="shared" ref="F6:F11" si="0">SUM(B6:E6)</f>
        <v>58521.159999999996</v>
      </c>
      <c r="H6" s="130" t="s">
        <v>45</v>
      </c>
      <c r="I6" s="130"/>
      <c r="J6" s="130"/>
      <c r="K6" s="130"/>
    </row>
    <row r="7" spans="1:11" x14ac:dyDescent="0.3">
      <c r="A7" s="27" t="s">
        <v>41</v>
      </c>
      <c r="B7" s="28">
        <v>10027.27</v>
      </c>
      <c r="C7" s="28">
        <v>11095.67</v>
      </c>
      <c r="D7" s="28">
        <v>11124.24</v>
      </c>
      <c r="E7" s="28">
        <v>11006.08</v>
      </c>
      <c r="F7" s="65">
        <f t="shared" si="0"/>
        <v>43253.26</v>
      </c>
      <c r="H7" s="28">
        <v>84309.150000000009</v>
      </c>
      <c r="I7" s="28">
        <v>86206.1</v>
      </c>
      <c r="J7" s="28">
        <v>88103.05</v>
      </c>
      <c r="K7" s="28">
        <v>90000</v>
      </c>
    </row>
    <row r="8" spans="1:11" x14ac:dyDescent="0.3">
      <c r="A8" s="25" t="s">
        <v>37</v>
      </c>
      <c r="B8" s="26">
        <v>20193.55</v>
      </c>
      <c r="C8" s="26">
        <v>21282.15</v>
      </c>
      <c r="D8" s="26">
        <v>21130.43</v>
      </c>
      <c r="E8" s="26">
        <v>21215.59</v>
      </c>
      <c r="F8" s="64">
        <f t="shared" si="0"/>
        <v>83821.72</v>
      </c>
      <c r="H8" s="126" t="s">
        <v>46</v>
      </c>
      <c r="I8" s="126"/>
      <c r="J8" s="126"/>
      <c r="K8" s="126"/>
    </row>
    <row r="9" spans="1:11" x14ac:dyDescent="0.3">
      <c r="A9" s="27" t="s">
        <v>38</v>
      </c>
      <c r="B9" s="28">
        <v>9489.16</v>
      </c>
      <c r="C9" s="28">
        <v>10036.08</v>
      </c>
      <c r="D9" s="28">
        <v>10798.98</v>
      </c>
      <c r="E9" s="28">
        <v>9803.34</v>
      </c>
      <c r="F9" s="65">
        <f t="shared" si="0"/>
        <v>40127.56</v>
      </c>
      <c r="H9" s="28">
        <f>H7</f>
        <v>84309.150000000009</v>
      </c>
      <c r="I9" s="28">
        <v>85995.333000000013</v>
      </c>
      <c r="J9" s="28">
        <v>87715.239660000007</v>
      </c>
      <c r="K9" s="28">
        <v>89469.544453199996</v>
      </c>
    </row>
    <row r="10" spans="1:11" x14ac:dyDescent="0.3">
      <c r="A10" s="25" t="s">
        <v>39</v>
      </c>
      <c r="B10" s="26">
        <v>6405.95</v>
      </c>
      <c r="C10" s="26">
        <v>6788.96</v>
      </c>
      <c r="D10" s="26">
        <v>5239.33</v>
      </c>
      <c r="E10" s="26">
        <v>6011.16</v>
      </c>
      <c r="F10" s="64">
        <f t="shared" si="0"/>
        <v>24445.399999999998</v>
      </c>
    </row>
    <row r="11" spans="1:11" x14ac:dyDescent="0.3">
      <c r="A11" s="27" t="s">
        <v>36</v>
      </c>
      <c r="B11" s="28">
        <v>20397.330000000002</v>
      </c>
      <c r="C11" s="28">
        <v>21655.78</v>
      </c>
      <c r="D11" s="28">
        <v>22244.400000000001</v>
      </c>
      <c r="E11" s="28">
        <v>22769.99</v>
      </c>
      <c r="F11" s="65">
        <f t="shared" si="0"/>
        <v>87067.5</v>
      </c>
    </row>
    <row r="12" spans="1:11" x14ac:dyDescent="0.3">
      <c r="A12" s="29" t="s">
        <v>27</v>
      </c>
      <c r="B12" s="63">
        <f>SUM(B6:B11)</f>
        <v>79386.600000000006</v>
      </c>
      <c r="C12" s="63">
        <f t="shared" ref="C12:F12" si="1">SUM(C6:C11)</f>
        <v>84727.86</v>
      </c>
      <c r="D12" s="63">
        <f t="shared" si="1"/>
        <v>86441.549999999988</v>
      </c>
      <c r="E12" s="63">
        <f t="shared" si="1"/>
        <v>86680.590000000011</v>
      </c>
      <c r="F12" s="63">
        <f t="shared" si="1"/>
        <v>337236.6</v>
      </c>
      <c r="G12" s="30"/>
    </row>
    <row r="13" spans="1:11" x14ac:dyDescent="0.3">
      <c r="H13" s="30"/>
      <c r="I13" s="30"/>
      <c r="J13" s="30"/>
      <c r="K13" s="30"/>
    </row>
  </sheetData>
  <sortState xmlns:xlrd2="http://schemas.microsoft.com/office/spreadsheetml/2017/richdata2" ref="A6:F11">
    <sortCondition ref="A6"/>
  </sortState>
  <mergeCells count="6">
    <mergeCell ref="H8:K8"/>
    <mergeCell ref="A1:F1"/>
    <mergeCell ref="A2:F2"/>
    <mergeCell ref="A4:F4"/>
    <mergeCell ref="H4:K4"/>
    <mergeCell ref="H6:K6"/>
  </mergeCells>
  <phoneticPr fontId="35" type="noConversion"/>
  <dataValidations disablePrompts="1" count="1">
    <dataValidation allowBlank="1" error="pavI8MeUFtEyxX2I4tky1cadfc8c-a7d3-47f5-8078-f48b1600a4b2" sqref="A1:K13" xr:uid="{00000000-0002-0000-0100-000000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H9" sqref="H9:K9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27" t="s">
        <v>30</v>
      </c>
      <c r="B1" s="127"/>
      <c r="C1" s="127"/>
      <c r="D1" s="127"/>
      <c r="E1" s="127"/>
      <c r="F1" s="127"/>
      <c r="G1" t="s">
        <v>25</v>
      </c>
      <c r="H1" s="13">
        <f ca="1">TODAY()</f>
        <v>45590</v>
      </c>
    </row>
    <row r="2" spans="1:11" ht="18.75" thickBot="1" x14ac:dyDescent="0.4">
      <c r="A2" s="128" t="s">
        <v>28</v>
      </c>
      <c r="B2" s="128"/>
      <c r="C2" s="128"/>
      <c r="D2" s="128"/>
      <c r="E2" s="128"/>
      <c r="F2" s="128"/>
      <c r="G2" t="s">
        <v>42</v>
      </c>
      <c r="H2" s="17">
        <v>10.95</v>
      </c>
      <c r="I2" t="s">
        <v>43</v>
      </c>
      <c r="J2" s="17">
        <v>13.95</v>
      </c>
    </row>
    <row r="3" spans="1:11" ht="17.25" thickTop="1" x14ac:dyDescent="0.3">
      <c r="A3" s="7" t="s">
        <v>44</v>
      </c>
    </row>
    <row r="4" spans="1:11" ht="20.25" customHeight="1" x14ac:dyDescent="0.3">
      <c r="A4" s="129" t="s">
        <v>124</v>
      </c>
      <c r="B4" s="129"/>
      <c r="C4" s="129"/>
      <c r="D4" s="129"/>
      <c r="E4" s="129"/>
      <c r="F4" s="129"/>
      <c r="H4" s="129" t="s">
        <v>125</v>
      </c>
      <c r="I4" s="129"/>
      <c r="J4" s="129"/>
      <c r="K4" s="129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9068.8799999999992</v>
      </c>
      <c r="C6" s="26">
        <v>9082.86</v>
      </c>
      <c r="D6" s="26">
        <v>9120.23</v>
      </c>
      <c r="E6" s="26">
        <v>10015.33</v>
      </c>
      <c r="F6" s="64">
        <f>SUM(B6:E6)</f>
        <v>37287.299999999996</v>
      </c>
      <c r="H6" s="130" t="s">
        <v>48</v>
      </c>
      <c r="I6" s="130"/>
      <c r="J6" s="130"/>
      <c r="K6" s="130"/>
    </row>
    <row r="7" spans="1:11" x14ac:dyDescent="0.3">
      <c r="A7" s="27" t="s">
        <v>41</v>
      </c>
      <c r="B7" s="28">
        <v>6189.92</v>
      </c>
      <c r="C7" s="28">
        <v>6836.38</v>
      </c>
      <c r="D7" s="28">
        <v>7084.45</v>
      </c>
      <c r="E7" s="28">
        <v>6408.09</v>
      </c>
      <c r="F7" s="65">
        <f t="shared" ref="F7:F11" si="0">SUM(B7:E7)</f>
        <v>26518.84</v>
      </c>
      <c r="H7" s="28">
        <v>57891.240000000005</v>
      </c>
      <c r="I7" s="28">
        <v>57892.240000000005</v>
      </c>
      <c r="J7" s="28">
        <v>57893.240000000005</v>
      </c>
      <c r="K7" s="28">
        <v>57894.240000000005</v>
      </c>
    </row>
    <row r="8" spans="1:11" x14ac:dyDescent="0.3">
      <c r="A8" s="25" t="s">
        <v>37</v>
      </c>
      <c r="B8" s="26">
        <v>12005.56</v>
      </c>
      <c r="C8" s="26">
        <v>12488.18</v>
      </c>
      <c r="D8" s="26">
        <v>12339.34</v>
      </c>
      <c r="E8" s="26">
        <v>12411.28</v>
      </c>
      <c r="F8" s="64">
        <f t="shared" si="0"/>
        <v>49244.36</v>
      </c>
      <c r="H8" s="131" t="s">
        <v>46</v>
      </c>
      <c r="I8" s="131"/>
      <c r="J8" s="131"/>
      <c r="K8" s="131"/>
    </row>
    <row r="9" spans="1:11" x14ac:dyDescent="0.3">
      <c r="A9" s="27" t="s">
        <v>38</v>
      </c>
      <c r="B9" s="28">
        <v>10907.72</v>
      </c>
      <c r="C9" s="28">
        <v>11055.82</v>
      </c>
      <c r="D9" s="28">
        <v>11144.19</v>
      </c>
      <c r="E9" s="28">
        <v>11469.87</v>
      </c>
      <c r="F9" s="65">
        <f t="shared" si="0"/>
        <v>44577.600000000006</v>
      </c>
      <c r="H9" s="33">
        <f>H7</f>
        <v>57891.240000000005</v>
      </c>
      <c r="I9" s="33">
        <v>59049.064800000007</v>
      </c>
      <c r="J9" s="33">
        <v>60230.046096000005</v>
      </c>
      <c r="K9" s="33">
        <v>61434.647017920004</v>
      </c>
    </row>
    <row r="10" spans="1:11" x14ac:dyDescent="0.3">
      <c r="A10" s="25" t="s">
        <v>39</v>
      </c>
      <c r="B10" s="26">
        <v>7731.16</v>
      </c>
      <c r="C10" s="26">
        <v>7792.27</v>
      </c>
      <c r="D10" s="26">
        <v>8045.58</v>
      </c>
      <c r="E10" s="26">
        <v>8174.14</v>
      </c>
      <c r="F10" s="64">
        <f t="shared" si="0"/>
        <v>31743.15</v>
      </c>
    </row>
    <row r="11" spans="1:11" x14ac:dyDescent="0.3">
      <c r="A11" s="27" t="s">
        <v>36</v>
      </c>
      <c r="B11" s="28">
        <v>9707.4699999999993</v>
      </c>
      <c r="C11" s="28">
        <v>10795.92</v>
      </c>
      <c r="D11" s="28">
        <v>10824.24</v>
      </c>
      <c r="E11" s="28">
        <v>10866.08</v>
      </c>
      <c r="F11" s="65">
        <f t="shared" si="0"/>
        <v>42193.71</v>
      </c>
    </row>
    <row r="12" spans="1:11" x14ac:dyDescent="0.3">
      <c r="A12" s="29" t="s">
        <v>27</v>
      </c>
      <c r="B12" s="63">
        <f>SUM(B6:B11)</f>
        <v>55610.710000000006</v>
      </c>
      <c r="C12" s="63">
        <f t="shared" ref="C12:F12" si="1">SUM(C6:C11)</f>
        <v>58051.430000000008</v>
      </c>
      <c r="D12" s="63">
        <f t="shared" si="1"/>
        <v>58558.03</v>
      </c>
      <c r="E12" s="63">
        <f t="shared" si="1"/>
        <v>59344.79</v>
      </c>
      <c r="F12" s="63">
        <f t="shared" si="1"/>
        <v>231564.96</v>
      </c>
      <c r="G12" s="30"/>
    </row>
    <row r="13" spans="1:11" x14ac:dyDescent="0.3">
      <c r="H13" s="30"/>
      <c r="I13" s="30"/>
      <c r="J13" s="30"/>
      <c r="K13" s="30"/>
    </row>
    <row r="15" spans="1:11" x14ac:dyDescent="0.3">
      <c r="H15" s="30"/>
      <c r="I15" s="30"/>
      <c r="J15" s="30"/>
      <c r="K15" s="30"/>
    </row>
    <row r="16" spans="1:11" x14ac:dyDescent="0.3">
      <c r="G16" s="32"/>
    </row>
  </sheetData>
  <mergeCells count="6">
    <mergeCell ref="H8:K8"/>
    <mergeCell ref="A1:F1"/>
    <mergeCell ref="A2:F2"/>
    <mergeCell ref="A4:F4"/>
    <mergeCell ref="H4:K4"/>
    <mergeCell ref="H6:K6"/>
  </mergeCells>
  <phoneticPr fontId="35" type="noConversion"/>
  <dataValidations count="1">
    <dataValidation allowBlank="1" error="pavI8MeUFtEyxX2I4tky1cadfc8c-a7d3-47f5-8078-f48b1600a4b2" sqref="A1:K16" xr:uid="{00000000-0002-0000-0200-000000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H9" sqref="H9:K9"/>
    </sheetView>
  </sheetViews>
  <sheetFormatPr defaultRowHeight="16.5" x14ac:dyDescent="0.3"/>
  <cols>
    <col min="1" max="1" width="13.75" bestFit="1" customWidth="1"/>
    <col min="2" max="2" width="15.5" customWidth="1"/>
    <col min="3" max="6" width="15.5" bestFit="1" customWidth="1"/>
    <col min="7" max="7" width="9" bestFit="1" customWidth="1"/>
    <col min="8" max="11" width="15.5" customWidth="1"/>
  </cols>
  <sheetData>
    <row r="1" spans="1:11" ht="23.25" x14ac:dyDescent="0.35">
      <c r="A1" s="127" t="s">
        <v>30</v>
      </c>
      <c r="B1" s="127"/>
      <c r="C1" s="127"/>
      <c r="D1" s="127"/>
      <c r="E1" s="127"/>
      <c r="F1" s="127"/>
      <c r="G1" t="s">
        <v>25</v>
      </c>
      <c r="H1" s="13">
        <f ca="1">TODAY()</f>
        <v>45590</v>
      </c>
    </row>
    <row r="2" spans="1:11" ht="18.75" thickBot="1" x14ac:dyDescent="0.4">
      <c r="A2" s="128" t="s">
        <v>47</v>
      </c>
      <c r="B2" s="128"/>
      <c r="C2" s="128"/>
      <c r="D2" s="128"/>
      <c r="E2" s="128"/>
      <c r="F2" s="128"/>
      <c r="G2" t="s">
        <v>42</v>
      </c>
      <c r="H2" s="17">
        <v>11.95</v>
      </c>
      <c r="I2" t="s">
        <v>43</v>
      </c>
      <c r="J2" s="17">
        <v>14.95</v>
      </c>
    </row>
    <row r="3" spans="1:11" ht="17.25" thickTop="1" x14ac:dyDescent="0.3">
      <c r="A3" s="7" t="s">
        <v>44</v>
      </c>
    </row>
    <row r="4" spans="1:11" ht="20.25" customHeight="1" x14ac:dyDescent="0.3">
      <c r="A4" s="129" t="s">
        <v>124</v>
      </c>
      <c r="B4" s="129"/>
      <c r="C4" s="129"/>
      <c r="D4" s="129"/>
      <c r="E4" s="129"/>
      <c r="F4" s="129"/>
      <c r="H4" s="129" t="s">
        <v>125</v>
      </c>
      <c r="I4" s="129"/>
      <c r="J4" s="129"/>
      <c r="K4" s="129"/>
    </row>
    <row r="5" spans="1:11" ht="18" customHeight="1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32</v>
      </c>
      <c r="I5" s="67" t="s">
        <v>33</v>
      </c>
      <c r="J5" s="67" t="s">
        <v>34</v>
      </c>
      <c r="K5" s="67" t="s">
        <v>35</v>
      </c>
    </row>
    <row r="6" spans="1:11" x14ac:dyDescent="0.3">
      <c r="A6" s="25" t="s">
        <v>40</v>
      </c>
      <c r="B6" s="26">
        <v>9652.58</v>
      </c>
      <c r="C6" s="26">
        <v>9705.16</v>
      </c>
      <c r="D6" s="26">
        <v>9807.75</v>
      </c>
      <c r="E6" s="26">
        <v>9812.2800000000007</v>
      </c>
      <c r="F6" s="26">
        <f>SUM(B6:E6)</f>
        <v>38977.769999999997</v>
      </c>
      <c r="H6" s="130" t="s">
        <v>49</v>
      </c>
      <c r="I6" s="130"/>
      <c r="J6" s="130"/>
      <c r="K6" s="130"/>
    </row>
    <row r="7" spans="1:11" x14ac:dyDescent="0.3">
      <c r="A7" s="27" t="s">
        <v>41</v>
      </c>
      <c r="B7" s="28">
        <v>7189.81</v>
      </c>
      <c r="C7" s="28">
        <v>7227.34</v>
      </c>
      <c r="D7" s="28">
        <v>8265.26</v>
      </c>
      <c r="E7" s="28">
        <v>8303.19</v>
      </c>
      <c r="F7" s="28">
        <f t="shared" ref="F7:F11" si="0">SUM(B7:E7)</f>
        <v>30985.600000000006</v>
      </c>
      <c r="H7" s="28">
        <v>61520.597499999996</v>
      </c>
      <c r="I7" s="28">
        <v>61521.597499999996</v>
      </c>
      <c r="J7" s="28">
        <v>61522.597499999996</v>
      </c>
      <c r="K7" s="28">
        <v>61523.597499999996</v>
      </c>
    </row>
    <row r="8" spans="1:11" x14ac:dyDescent="0.3">
      <c r="A8" s="25" t="s">
        <v>37</v>
      </c>
      <c r="B8" s="26">
        <v>12805.26</v>
      </c>
      <c r="C8" s="26">
        <v>12928.22</v>
      </c>
      <c r="D8" s="26">
        <v>13007.22</v>
      </c>
      <c r="E8" s="26">
        <v>13175.57</v>
      </c>
      <c r="F8" s="26">
        <f t="shared" si="0"/>
        <v>51916.27</v>
      </c>
      <c r="H8" s="131" t="s">
        <v>46</v>
      </c>
      <c r="I8" s="131"/>
      <c r="J8" s="131"/>
      <c r="K8" s="131"/>
    </row>
    <row r="9" spans="1:11" x14ac:dyDescent="0.3">
      <c r="A9" s="27" t="s">
        <v>38</v>
      </c>
      <c r="B9" s="28">
        <v>10497.92</v>
      </c>
      <c r="C9" s="28">
        <v>11610.66</v>
      </c>
      <c r="D9" s="28">
        <v>11652.34</v>
      </c>
      <c r="E9" s="28">
        <v>10736.37</v>
      </c>
      <c r="F9" s="28">
        <f t="shared" si="0"/>
        <v>44497.29</v>
      </c>
      <c r="H9" s="33">
        <f>H7</f>
        <v>61520.597499999996</v>
      </c>
      <c r="I9" s="33">
        <v>62751.009449999998</v>
      </c>
      <c r="J9" s="33">
        <v>64006.029638999993</v>
      </c>
      <c r="K9" s="33">
        <v>65286.15023177999</v>
      </c>
    </row>
    <row r="10" spans="1:11" x14ac:dyDescent="0.3">
      <c r="A10" s="25" t="s">
        <v>39</v>
      </c>
      <c r="B10" s="26">
        <v>9712.77</v>
      </c>
      <c r="C10" s="26">
        <v>9799.1</v>
      </c>
      <c r="D10" s="26">
        <v>9886.4500000000007</v>
      </c>
      <c r="E10" s="26">
        <v>9073.32</v>
      </c>
      <c r="F10" s="26">
        <f t="shared" si="0"/>
        <v>38471.64</v>
      </c>
    </row>
    <row r="11" spans="1:11" x14ac:dyDescent="0.3">
      <c r="A11" s="27" t="s">
        <v>36</v>
      </c>
      <c r="B11" s="28">
        <v>10227.51</v>
      </c>
      <c r="C11" s="28">
        <v>10281.91</v>
      </c>
      <c r="D11" s="28">
        <v>10335.290000000001</v>
      </c>
      <c r="E11" s="28">
        <v>10389.11</v>
      </c>
      <c r="F11" s="28">
        <f t="shared" si="0"/>
        <v>41233.82</v>
      </c>
    </row>
    <row r="12" spans="1:11" x14ac:dyDescent="0.3">
      <c r="A12" s="29" t="s">
        <v>27</v>
      </c>
      <c r="B12" s="63">
        <f>SUM(B6:B11)</f>
        <v>60085.85</v>
      </c>
      <c r="C12" s="63">
        <f t="shared" ref="C12:F12" si="1">SUM(C6:C11)</f>
        <v>61552.39</v>
      </c>
      <c r="D12" s="63">
        <f t="shared" si="1"/>
        <v>62954.310000000005</v>
      </c>
      <c r="E12" s="63">
        <f t="shared" si="1"/>
        <v>61489.840000000004</v>
      </c>
      <c r="F12" s="63">
        <f t="shared" si="1"/>
        <v>246082.39</v>
      </c>
      <c r="G12" s="30"/>
    </row>
    <row r="13" spans="1:11" x14ac:dyDescent="0.3">
      <c r="H13" s="30"/>
      <c r="I13" s="30"/>
      <c r="J13" s="30"/>
      <c r="K13" s="30"/>
    </row>
    <row r="15" spans="1:11" x14ac:dyDescent="0.3">
      <c r="H15" s="30"/>
      <c r="I15" s="30"/>
      <c r="J15" s="30"/>
      <c r="K15" s="30"/>
    </row>
    <row r="16" spans="1:11" x14ac:dyDescent="0.3">
      <c r="G16" s="32"/>
    </row>
  </sheetData>
  <mergeCells count="6">
    <mergeCell ref="H8:K8"/>
    <mergeCell ref="H4:K4"/>
    <mergeCell ref="A1:F1"/>
    <mergeCell ref="A2:F2"/>
    <mergeCell ref="A4:F4"/>
    <mergeCell ref="H6:K6"/>
  </mergeCells>
  <phoneticPr fontId="35" type="noConversion"/>
  <dataValidations count="1">
    <dataValidation allowBlank="1" error="pavI8MeUFtEyxX2I4tky1cadfc8c-a7d3-47f5-8078-f48b1600a4b2" sqref="A1:K16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topLeftCell="A12" workbookViewId="0">
      <selection activeCell="A5" sqref="A5:F12"/>
    </sheetView>
  </sheetViews>
  <sheetFormatPr defaultRowHeight="16.5" x14ac:dyDescent="0.3"/>
  <cols>
    <col min="1" max="1" width="13.75" bestFit="1" customWidth="1"/>
    <col min="2" max="6" width="15.5" customWidth="1"/>
    <col min="7" max="7" width="13.125" bestFit="1" customWidth="1"/>
    <col min="8" max="8" width="15" bestFit="1" customWidth="1"/>
    <col min="9" max="9" width="51" bestFit="1" customWidth="1"/>
    <col min="10" max="15" width="10.625" bestFit="1" customWidth="1"/>
  </cols>
  <sheetData>
    <row r="1" spans="1:15" ht="23.25" x14ac:dyDescent="0.35">
      <c r="A1" s="127" t="s">
        <v>30</v>
      </c>
      <c r="B1" s="127"/>
      <c r="C1" s="127"/>
      <c r="D1" s="127"/>
      <c r="E1" s="127"/>
      <c r="F1" s="127"/>
      <c r="H1" s="13"/>
    </row>
    <row r="2" spans="1:15" ht="18.75" thickBot="1" x14ac:dyDescent="0.4">
      <c r="A2" s="128" t="s">
        <v>29</v>
      </c>
      <c r="B2" s="128"/>
      <c r="C2" s="128"/>
      <c r="D2" s="128"/>
      <c r="E2" s="128"/>
      <c r="F2" s="128"/>
      <c r="H2" s="17"/>
    </row>
    <row r="3" spans="1:15" ht="17.25" thickTop="1" x14ac:dyDescent="0.3">
      <c r="A3" s="7" t="s">
        <v>44</v>
      </c>
    </row>
    <row r="4" spans="1:15" ht="20.25" customHeight="1" x14ac:dyDescent="0.3">
      <c r="A4" s="129" t="s">
        <v>124</v>
      </c>
      <c r="B4" s="129"/>
      <c r="C4" s="129"/>
      <c r="D4" s="129"/>
      <c r="E4" s="129"/>
      <c r="F4" s="129"/>
    </row>
    <row r="5" spans="1:15" x14ac:dyDescent="0.3">
      <c r="A5" s="66" t="s">
        <v>3</v>
      </c>
      <c r="B5" s="67" t="s">
        <v>32</v>
      </c>
      <c r="C5" s="67" t="s">
        <v>33</v>
      </c>
      <c r="D5" s="67" t="s">
        <v>34</v>
      </c>
      <c r="E5" s="67" t="s">
        <v>35</v>
      </c>
      <c r="F5" s="67" t="s">
        <v>27</v>
      </c>
      <c r="H5" s="67" t="s">
        <v>126</v>
      </c>
      <c r="I5" t="s">
        <v>127</v>
      </c>
    </row>
    <row r="6" spans="1:15" x14ac:dyDescent="0.3">
      <c r="A6" s="25" t="s">
        <v>40</v>
      </c>
      <c r="B6" s="64">
        <f>SUM('U.S.'!B6+Canada!B6+'U.K.'!B6)</f>
        <v>31594.800000000003</v>
      </c>
      <c r="C6" s="64">
        <f>SUM('U.S.'!C6+Canada!C6+'U.K.'!C6)</f>
        <v>32657.24</v>
      </c>
      <c r="D6" s="64">
        <f>SUM('U.S.'!D6+Canada!D6+'U.K.'!D6)</f>
        <v>34832.15</v>
      </c>
      <c r="E6" s="64">
        <f>SUM('U.S.'!E6+Canada!E6+'U.K.'!E6)</f>
        <v>35702.04</v>
      </c>
      <c r="F6" s="64">
        <f>SUM(B6:E6)</f>
        <v>134786.23000000001</v>
      </c>
      <c r="H6" t="s">
        <v>40</v>
      </c>
      <c r="I6" t="s">
        <v>128</v>
      </c>
    </row>
    <row r="7" spans="1:15" x14ac:dyDescent="0.3">
      <c r="A7" s="27" t="s">
        <v>41</v>
      </c>
      <c r="B7" s="65">
        <f>SUM('U.S.'!B7+Canada!B7+'U.K.'!B7)</f>
        <v>23407</v>
      </c>
      <c r="C7" s="65">
        <f>SUM('U.S.'!C7+Canada!C7+'U.K.'!C7)</f>
        <v>25159.39</v>
      </c>
      <c r="D7" s="65">
        <f>SUM('U.S.'!D7+Canada!D7+'U.K.'!D7)</f>
        <v>26473.949999999997</v>
      </c>
      <c r="E7" s="65">
        <f>SUM('U.S.'!E7+Canada!E7+'U.K.'!E7)</f>
        <v>25717.360000000001</v>
      </c>
      <c r="F7" s="65">
        <f t="shared" ref="F7:F11" si="0">SUM(B7:E7)</f>
        <v>100757.7</v>
      </c>
      <c r="H7" t="s">
        <v>41</v>
      </c>
      <c r="I7" t="s">
        <v>129</v>
      </c>
    </row>
    <row r="8" spans="1:15" x14ac:dyDescent="0.3">
      <c r="A8" s="25" t="s">
        <v>37</v>
      </c>
      <c r="B8" s="64">
        <f>SUM('U.S.'!B8+Canada!B8+'U.K.'!B8)</f>
        <v>45004.37</v>
      </c>
      <c r="C8" s="64">
        <f>SUM('U.S.'!C8+Canada!C8+'U.K.'!C8)</f>
        <v>46698.55</v>
      </c>
      <c r="D8" s="64">
        <f>SUM('U.S.'!D8+Canada!D8+'U.K.'!D8)</f>
        <v>46476.990000000005</v>
      </c>
      <c r="E8" s="64">
        <f>SUM('U.S.'!E8+Canada!E8+'U.K.'!E8)</f>
        <v>46802.44</v>
      </c>
      <c r="F8" s="64">
        <f t="shared" si="0"/>
        <v>184982.35000000003</v>
      </c>
      <c r="H8" t="s">
        <v>37</v>
      </c>
      <c r="I8" t="s">
        <v>130</v>
      </c>
    </row>
    <row r="9" spans="1:15" x14ac:dyDescent="0.3">
      <c r="A9" s="27" t="s">
        <v>38</v>
      </c>
      <c r="B9" s="65">
        <f>SUM('U.S.'!B9+Canada!B9+'U.K.'!B9)</f>
        <v>30894.799999999996</v>
      </c>
      <c r="C9" s="65">
        <f>SUM('U.S.'!C9+Canada!C9+'U.K.'!C9)</f>
        <v>32702.560000000001</v>
      </c>
      <c r="D9" s="65">
        <f>SUM('U.S.'!D9+Canada!D9+'U.K.'!D9)</f>
        <v>33595.509999999995</v>
      </c>
      <c r="E9" s="65">
        <f>SUM('U.S.'!E9+Canada!E9+'U.K.'!E9)</f>
        <v>32009.58</v>
      </c>
      <c r="F9" s="65">
        <f t="shared" si="0"/>
        <v>129202.45</v>
      </c>
      <c r="H9" t="s">
        <v>38</v>
      </c>
      <c r="I9" t="s">
        <v>131</v>
      </c>
    </row>
    <row r="10" spans="1:15" x14ac:dyDescent="0.3">
      <c r="A10" s="25" t="s">
        <v>39</v>
      </c>
      <c r="B10" s="64">
        <f>SUM('U.S.'!B10+Canada!B10+'U.K.'!B10)</f>
        <v>23849.88</v>
      </c>
      <c r="C10" s="64">
        <f>SUM('U.S.'!C10+Canada!C10+'U.K.'!C10)</f>
        <v>24380.33</v>
      </c>
      <c r="D10" s="64">
        <f>SUM('U.S.'!D10+Canada!D10+'U.K.'!D10)</f>
        <v>23171.360000000001</v>
      </c>
      <c r="E10" s="64">
        <f>SUM('U.S.'!E10+Canada!E10+'U.K.'!E10)</f>
        <v>23258.62</v>
      </c>
      <c r="F10" s="64">
        <f t="shared" si="0"/>
        <v>94660.19</v>
      </c>
      <c r="H10" t="s">
        <v>39</v>
      </c>
      <c r="I10" t="s">
        <v>132</v>
      </c>
    </row>
    <row r="11" spans="1:15" x14ac:dyDescent="0.3">
      <c r="A11" s="27" t="s">
        <v>36</v>
      </c>
      <c r="B11" s="65">
        <f>SUM('U.S.'!B11+Canada!B11+'U.K.'!B11)</f>
        <v>40332.310000000005</v>
      </c>
      <c r="C11" s="65">
        <f>SUM('U.S.'!C11+Canada!C11+'U.K.'!C11)</f>
        <v>42733.61</v>
      </c>
      <c r="D11" s="65">
        <f>SUM('U.S.'!D11+Canada!D11+'U.K.'!D11)</f>
        <v>43403.93</v>
      </c>
      <c r="E11" s="65">
        <f>SUM('U.S.'!E11+Canada!E11+'U.K.'!E11)</f>
        <v>44025.18</v>
      </c>
      <c r="F11" s="65">
        <f t="shared" si="0"/>
        <v>170495.03</v>
      </c>
      <c r="H11" t="s">
        <v>36</v>
      </c>
      <c r="I11" t="s">
        <v>133</v>
      </c>
    </row>
    <row r="12" spans="1:15" x14ac:dyDescent="0.3">
      <c r="A12" s="25" t="s">
        <v>27</v>
      </c>
      <c r="B12" s="89">
        <f>ROUNDUP(SUM(B6:B11),0)</f>
        <v>195084</v>
      </c>
      <c r="C12" s="89">
        <f t="shared" ref="C12:F12" si="1">ROUNDUP(SUM(C6:C11),0)</f>
        <v>204332</v>
      </c>
      <c r="D12" s="89">
        <f t="shared" si="1"/>
        <v>207954</v>
      </c>
      <c r="E12" s="89">
        <f t="shared" si="1"/>
        <v>207516</v>
      </c>
      <c r="F12" s="89">
        <f t="shared" si="1"/>
        <v>814884</v>
      </c>
      <c r="G12" s="30"/>
    </row>
    <row r="13" spans="1:15" x14ac:dyDescent="0.3">
      <c r="H13" s="30"/>
      <c r="I13" s="30"/>
      <c r="J13" s="30"/>
      <c r="K13" s="30"/>
      <c r="L13" s="30"/>
      <c r="M13" s="30"/>
      <c r="N13" s="30"/>
      <c r="O13" s="30"/>
    </row>
    <row r="14" spans="1:15" x14ac:dyDescent="0.3">
      <c r="E14" s="62" t="s">
        <v>113</v>
      </c>
      <c r="F14" s="88">
        <f>'[1]All Locations'!$F$12</f>
        <v>767912.1</v>
      </c>
    </row>
    <row r="15" spans="1:15" x14ac:dyDescent="0.3">
      <c r="H15" s="31"/>
      <c r="I15" s="31"/>
      <c r="J15" s="31"/>
      <c r="K15" s="31"/>
      <c r="L15" s="31"/>
      <c r="M15" s="31"/>
      <c r="N15" s="31"/>
      <c r="O15" s="31"/>
    </row>
    <row r="16" spans="1:15" x14ac:dyDescent="0.3">
      <c r="G16" s="32"/>
    </row>
  </sheetData>
  <mergeCells count="3">
    <mergeCell ref="A1:F1"/>
    <mergeCell ref="A2:F2"/>
    <mergeCell ref="A4:F4"/>
  </mergeCells>
  <dataValidations count="1">
    <dataValidation allowBlank="1" error="pavI8MeUFtEyxX2I4tky1cadfc8c-a7d3-47f5-8078-f48b1600a4b2" sqref="A1:O16" xr:uid="{00000000-0002-0000-0400-000000000000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topLeftCell="C1" zoomScaleNormal="100" workbookViewId="0">
      <selection activeCell="R18" sqref="R18"/>
    </sheetView>
  </sheetViews>
  <sheetFormatPr defaultRowHeight="16.5" x14ac:dyDescent="0.3"/>
  <cols>
    <col min="1" max="1" width="6.875" bestFit="1" customWidth="1"/>
    <col min="2" max="2" width="20.5" bestFit="1" customWidth="1"/>
    <col min="3" max="3" width="16.625" bestFit="1" customWidth="1"/>
    <col min="4" max="4" width="14.125" style="1" bestFit="1" customWidth="1"/>
    <col min="5" max="5" width="11.375" style="1" bestFit="1" customWidth="1"/>
    <col min="6" max="6" width="14.625" bestFit="1" customWidth="1"/>
    <col min="7" max="7" width="8.625" customWidth="1"/>
    <col min="8" max="8" width="18.625" bestFit="1" customWidth="1"/>
    <col min="9" max="9" width="18.625" customWidth="1"/>
    <col min="10" max="10" width="13.75" customWidth="1"/>
    <col min="11" max="11" width="15.5" bestFit="1" customWidth="1"/>
    <col min="12" max="12" width="15.5" customWidth="1"/>
  </cols>
  <sheetData>
    <row r="1" spans="1:12" ht="37.5" customHeight="1" x14ac:dyDescent="0.3">
      <c r="A1" s="34" t="s">
        <v>50</v>
      </c>
      <c r="B1" s="34" t="s">
        <v>51</v>
      </c>
      <c r="C1" s="34" t="s">
        <v>52</v>
      </c>
      <c r="D1" s="35" t="s">
        <v>17</v>
      </c>
      <c r="E1" s="35" t="s">
        <v>57</v>
      </c>
      <c r="F1" s="35" t="s">
        <v>116</v>
      </c>
      <c r="G1" s="35" t="s">
        <v>134</v>
      </c>
      <c r="H1" s="36"/>
      <c r="I1" s="132" t="s">
        <v>53</v>
      </c>
      <c r="J1" s="133"/>
      <c r="K1" s="37"/>
      <c r="L1" s="37"/>
    </row>
    <row r="2" spans="1:12" ht="18" x14ac:dyDescent="0.35">
      <c r="A2" s="38" t="s">
        <v>58</v>
      </c>
      <c r="B2" s="39" t="s">
        <v>82</v>
      </c>
      <c r="C2" s="40" t="s">
        <v>80</v>
      </c>
      <c r="D2" s="77">
        <v>45810</v>
      </c>
      <c r="E2" s="73">
        <v>45500</v>
      </c>
      <c r="F2" s="41" t="s">
        <v>115</v>
      </c>
      <c r="G2" s="41" t="b">
        <f>AND(Projects[[#This Row],[Project Type]]="Drama",Projects[[#This Row],[Approved?]]="No")</f>
        <v>0</v>
      </c>
      <c r="I2" s="46" t="s">
        <v>54</v>
      </c>
      <c r="J2" s="47" t="s">
        <v>77</v>
      </c>
      <c r="K2" s="42"/>
      <c r="L2" s="42"/>
    </row>
    <row r="3" spans="1:12" ht="18" x14ac:dyDescent="0.35">
      <c r="A3" s="43" t="s">
        <v>59</v>
      </c>
      <c r="B3" s="39" t="s">
        <v>83</v>
      </c>
      <c r="C3" s="40" t="s">
        <v>80</v>
      </c>
      <c r="D3" s="77">
        <v>45821</v>
      </c>
      <c r="E3" s="73">
        <v>12000</v>
      </c>
      <c r="F3" s="41" t="s">
        <v>118</v>
      </c>
      <c r="G3" s="41" t="b">
        <f>AND(Projects[[#This Row],[Project Type]]="Drama",Projects[[#This Row],[Approved?]]="No")</f>
        <v>0</v>
      </c>
      <c r="I3" s="46" t="s">
        <v>51</v>
      </c>
      <c r="J3" s="48" t="str">
        <f>_xlfn.XLOOKUP(J2,Projects[ID],Projects[Project Name])</f>
        <v>Paradise Moon</v>
      </c>
      <c r="K3" s="42"/>
      <c r="L3" s="42"/>
    </row>
    <row r="4" spans="1:12" ht="18" x14ac:dyDescent="0.35">
      <c r="A4" s="38" t="s">
        <v>74</v>
      </c>
      <c r="B4" s="39" t="s">
        <v>86</v>
      </c>
      <c r="C4" s="40" t="s">
        <v>81</v>
      </c>
      <c r="D4" s="77">
        <v>45850</v>
      </c>
      <c r="E4" s="73">
        <v>22500</v>
      </c>
      <c r="F4" s="41" t="s">
        <v>118</v>
      </c>
      <c r="G4" s="41" t="b">
        <f>AND(Projects[[#This Row],[Project Type]]="Drama",Projects[[#This Row],[Approved?]]="No")</f>
        <v>0</v>
      </c>
      <c r="I4" s="46" t="s">
        <v>17</v>
      </c>
      <c r="J4" s="79">
        <f>_xlfn.XLOOKUP(J2,Projects[ID],Projects[Start Date])</f>
        <v>46101</v>
      </c>
      <c r="K4" s="42"/>
      <c r="L4" s="42"/>
    </row>
    <row r="5" spans="1:12" ht="18" x14ac:dyDescent="0.35">
      <c r="A5" s="38" t="s">
        <v>75</v>
      </c>
      <c r="B5" s="39" t="s">
        <v>123</v>
      </c>
      <c r="C5" s="40" t="s">
        <v>81</v>
      </c>
      <c r="D5" s="77">
        <v>45866</v>
      </c>
      <c r="E5" s="73">
        <v>28500</v>
      </c>
      <c r="F5" s="41" t="s">
        <v>115</v>
      </c>
      <c r="G5" s="41" t="b">
        <f>AND(Projects[[#This Row],[Project Type]]="Drama",Projects[[#This Row],[Approved?]]="No")</f>
        <v>0</v>
      </c>
      <c r="K5" s="44"/>
      <c r="L5" s="44"/>
    </row>
    <row r="6" spans="1:12" x14ac:dyDescent="0.3">
      <c r="A6" s="1" t="s">
        <v>60</v>
      </c>
      <c r="B6" s="39" t="s">
        <v>102</v>
      </c>
      <c r="C6" s="40" t="s">
        <v>80</v>
      </c>
      <c r="D6" s="77">
        <v>45901</v>
      </c>
      <c r="E6" s="73">
        <v>23010</v>
      </c>
      <c r="F6" s="41" t="s">
        <v>118</v>
      </c>
      <c r="G6" s="41" t="b">
        <f>AND(Projects[[#This Row],[Project Type]]="Drama",Projects[[#This Row],[Approved?]]="No")</f>
        <v>0</v>
      </c>
      <c r="I6" s="46" t="s">
        <v>57</v>
      </c>
      <c r="J6" s="42"/>
      <c r="K6" s="42"/>
      <c r="L6" s="42"/>
    </row>
    <row r="7" spans="1:12" ht="18" x14ac:dyDescent="0.35">
      <c r="A7" s="38" t="s">
        <v>63</v>
      </c>
      <c r="B7" s="39" t="s">
        <v>90</v>
      </c>
      <c r="C7" s="40" t="s">
        <v>37</v>
      </c>
      <c r="D7" s="77">
        <v>45920</v>
      </c>
      <c r="E7" s="73">
        <v>18555</v>
      </c>
      <c r="F7" s="41" t="s">
        <v>118</v>
      </c>
      <c r="G7" s="41" t="b">
        <f>AND(Projects[[#This Row],[Project Type]]="Drama",Projects[[#This Row],[Approved?]]="No")</f>
        <v>0</v>
      </c>
      <c r="I7" s="46" t="s">
        <v>100</v>
      </c>
      <c r="J7" s="42"/>
      <c r="K7" s="42"/>
      <c r="L7" s="42"/>
    </row>
    <row r="8" spans="1:12" ht="18" x14ac:dyDescent="0.35">
      <c r="A8" s="38" t="s">
        <v>64</v>
      </c>
      <c r="B8" s="39" t="s">
        <v>92</v>
      </c>
      <c r="C8" s="40" t="s">
        <v>37</v>
      </c>
      <c r="D8" s="77">
        <v>45933</v>
      </c>
      <c r="E8" s="73">
        <v>25000</v>
      </c>
      <c r="F8" s="41" t="s">
        <v>118</v>
      </c>
      <c r="G8" s="41" t="b">
        <f>AND(Projects[[#This Row],[Project Type]]="Drama",Projects[[#This Row],[Approved?]]="No")</f>
        <v>0</v>
      </c>
      <c r="I8" s="46" t="s">
        <v>55</v>
      </c>
      <c r="J8" s="47">
        <f>DCOUNT(Projects[#All],"Budget",I6:I7)</f>
        <v>15</v>
      </c>
      <c r="K8" s="42"/>
      <c r="L8" s="42"/>
    </row>
    <row r="9" spans="1:12" ht="18" x14ac:dyDescent="0.35">
      <c r="A9" s="38" t="s">
        <v>65</v>
      </c>
      <c r="B9" s="39" t="s">
        <v>95</v>
      </c>
      <c r="C9" s="40" t="s">
        <v>37</v>
      </c>
      <c r="D9" s="77">
        <v>45939</v>
      </c>
      <c r="E9" s="73">
        <v>20000</v>
      </c>
      <c r="F9" s="41" t="s">
        <v>115</v>
      </c>
      <c r="G9" s="41" t="b">
        <f>AND(Projects[[#This Row],[Project Type]]="Drama",Projects[[#This Row],[Approved?]]="No")</f>
        <v>0</v>
      </c>
      <c r="K9" s="42"/>
      <c r="L9" s="42"/>
    </row>
    <row r="10" spans="1:12" ht="18" x14ac:dyDescent="0.35">
      <c r="A10" s="38" t="s">
        <v>69</v>
      </c>
      <c r="B10" s="39" t="s">
        <v>99</v>
      </c>
      <c r="C10" s="40" t="s">
        <v>38</v>
      </c>
      <c r="D10" s="77">
        <v>45962</v>
      </c>
      <c r="E10" s="73">
        <v>19700</v>
      </c>
      <c r="F10" s="41" t="s">
        <v>118</v>
      </c>
      <c r="G10" s="41" t="b">
        <f>AND(Projects[[#This Row],[Project Type]]="Drama",Projects[[#This Row],[Approved?]]="No")</f>
        <v>1</v>
      </c>
      <c r="K10" s="42"/>
      <c r="L10" s="42"/>
    </row>
    <row r="11" spans="1:12" ht="18" x14ac:dyDescent="0.35">
      <c r="A11" s="38" t="s">
        <v>70</v>
      </c>
      <c r="B11" s="39" t="s">
        <v>87</v>
      </c>
      <c r="C11" s="40" t="s">
        <v>38</v>
      </c>
      <c r="D11" s="77">
        <v>45979</v>
      </c>
      <c r="E11" s="73">
        <v>12200</v>
      </c>
      <c r="F11" s="41" t="s">
        <v>118</v>
      </c>
      <c r="G11" s="41" t="b">
        <f>AND(Projects[[#This Row],[Project Type]]="Drama",Projects[[#This Row],[Approved?]]="No")</f>
        <v>1</v>
      </c>
      <c r="I11" s="46" t="s">
        <v>52</v>
      </c>
      <c r="J11" s="42"/>
    </row>
    <row r="12" spans="1:12" ht="18" x14ac:dyDescent="0.35">
      <c r="A12" s="38" t="s">
        <v>71</v>
      </c>
      <c r="B12" s="39" t="s">
        <v>103</v>
      </c>
      <c r="C12" s="40" t="s">
        <v>38</v>
      </c>
      <c r="D12" s="77">
        <v>46032</v>
      </c>
      <c r="E12" s="73">
        <v>31500</v>
      </c>
      <c r="F12" s="68" t="s">
        <v>115</v>
      </c>
      <c r="G12" s="68" t="b">
        <f>AND(Projects[[#This Row],[Project Type]]="Drama",Projects[[#This Row],[Approved?]]="No")</f>
        <v>0</v>
      </c>
      <c r="H12" s="45"/>
      <c r="I12" s="46" t="s">
        <v>37</v>
      </c>
      <c r="J12" s="42"/>
    </row>
    <row r="13" spans="1:12" ht="18" x14ac:dyDescent="0.35">
      <c r="A13" s="38" t="s">
        <v>66</v>
      </c>
      <c r="B13" s="39" t="s">
        <v>84</v>
      </c>
      <c r="C13" s="40" t="s">
        <v>37</v>
      </c>
      <c r="D13" s="77">
        <v>46035</v>
      </c>
      <c r="E13" s="73">
        <v>24000</v>
      </c>
      <c r="F13" s="68" t="s">
        <v>118</v>
      </c>
      <c r="G13" s="68" t="b">
        <f>AND(Projects[[#This Row],[Project Type]]="Drama",Projects[[#This Row],[Approved?]]="No")</f>
        <v>0</v>
      </c>
      <c r="I13" s="46" t="s">
        <v>101</v>
      </c>
      <c r="J13" s="49">
        <f>DAVERAGE(Projects[#All],"Budget",I11:I12)</f>
        <v>20509.166666666668</v>
      </c>
    </row>
    <row r="14" spans="1:12" ht="18" x14ac:dyDescent="0.35">
      <c r="A14" s="38" t="s">
        <v>72</v>
      </c>
      <c r="B14" s="39" t="s">
        <v>97</v>
      </c>
      <c r="C14" s="40" t="s">
        <v>38</v>
      </c>
      <c r="D14" s="77">
        <v>46075</v>
      </c>
      <c r="E14" s="73">
        <v>12500</v>
      </c>
      <c r="F14" s="68" t="s">
        <v>118</v>
      </c>
      <c r="G14" s="68" t="b">
        <f>AND(Projects[[#This Row],[Project Type]]="Drama",Projects[[#This Row],[Approved?]]="No")</f>
        <v>1</v>
      </c>
    </row>
    <row r="15" spans="1:12" ht="18" x14ac:dyDescent="0.35">
      <c r="A15" s="38" t="s">
        <v>73</v>
      </c>
      <c r="B15" s="39" t="s">
        <v>56</v>
      </c>
      <c r="C15" s="40" t="s">
        <v>38</v>
      </c>
      <c r="D15" s="77">
        <v>46081</v>
      </c>
      <c r="E15" s="73">
        <v>15000</v>
      </c>
      <c r="F15" s="68" t="s">
        <v>115</v>
      </c>
      <c r="G15" s="68" t="b">
        <f>AND(Projects[[#This Row],[Project Type]]="Drama",Projects[[#This Row],[Approved?]]="No")</f>
        <v>0</v>
      </c>
      <c r="I15" s="74" t="s">
        <v>52</v>
      </c>
      <c r="J15" s="75" t="s">
        <v>119</v>
      </c>
      <c r="K15" s="75" t="s">
        <v>120</v>
      </c>
      <c r="L15" s="75" t="s">
        <v>101</v>
      </c>
    </row>
    <row r="16" spans="1:12" ht="18" x14ac:dyDescent="0.35">
      <c r="A16" s="38" t="s">
        <v>76</v>
      </c>
      <c r="B16" s="39" t="s">
        <v>88</v>
      </c>
      <c r="C16" s="40" t="s">
        <v>81</v>
      </c>
      <c r="D16" s="77">
        <v>46084</v>
      </c>
      <c r="E16" s="73">
        <v>24500</v>
      </c>
      <c r="F16" s="68" t="s">
        <v>118</v>
      </c>
      <c r="G16" s="68" t="b">
        <f>AND(Projects[[#This Row],[Project Type]]="Drama",Projects[[#This Row],[Approved?]]="No")</f>
        <v>0</v>
      </c>
      <c r="I16" s="46" t="s">
        <v>80</v>
      </c>
      <c r="J16" s="78">
        <f>COUNTIF(Projects[[#All],[Project Type]],I16)</f>
        <v>5</v>
      </c>
      <c r="K16" s="76">
        <f>SUMIF(Projects[[#All],[Project Type]],I16,Projects[[#All],[Budget]])</f>
        <v>105510</v>
      </c>
      <c r="L16" s="76">
        <f>AVERAGEIF(Projects[[#All],[Project Type]],I16,Projects[[#All],[Budget]])</f>
        <v>21102</v>
      </c>
    </row>
    <row r="17" spans="1:12" ht="18" x14ac:dyDescent="0.35">
      <c r="A17" s="38" t="s">
        <v>61</v>
      </c>
      <c r="B17" s="39" t="s">
        <v>91</v>
      </c>
      <c r="C17" s="40" t="s">
        <v>80</v>
      </c>
      <c r="D17" s="77">
        <v>46094</v>
      </c>
      <c r="E17" s="73">
        <v>10000</v>
      </c>
      <c r="F17" s="68" t="s">
        <v>118</v>
      </c>
      <c r="G17" s="68" t="b">
        <f>AND(Projects[[#This Row],[Project Type]]="Drama",Projects[[#This Row],[Approved?]]="No")</f>
        <v>0</v>
      </c>
      <c r="I17" s="46" t="s">
        <v>37</v>
      </c>
      <c r="J17" s="78">
        <f>COUNTIF(Projects[[#All],[Project Type]],I17)</f>
        <v>6</v>
      </c>
      <c r="K17" s="76">
        <f>SUMIF(Projects[[#All],[Project Type]],I17,Projects[[#All],[Budget]])</f>
        <v>123055</v>
      </c>
      <c r="L17" s="76">
        <f>AVERAGEIF(Projects[[#All],[Project Type]],I17,Projects[[#All],[Budget]])</f>
        <v>20509.166666666668</v>
      </c>
    </row>
    <row r="18" spans="1:12" ht="18" x14ac:dyDescent="0.35">
      <c r="A18" s="38" t="s">
        <v>62</v>
      </c>
      <c r="B18" s="39" t="s">
        <v>93</v>
      </c>
      <c r="C18" s="40" t="s">
        <v>80</v>
      </c>
      <c r="D18" s="77">
        <v>46100</v>
      </c>
      <c r="E18" s="73">
        <v>15000</v>
      </c>
      <c r="F18" s="68" t="s">
        <v>118</v>
      </c>
      <c r="G18" s="68" t="b">
        <f>AND(Projects[[#This Row],[Project Type]]="Drama",Projects[[#This Row],[Approved?]]="No")</f>
        <v>0</v>
      </c>
      <c r="I18" s="46" t="s">
        <v>38</v>
      </c>
      <c r="J18" s="78">
        <f>COUNTIF(Projects[[#All],[Project Type]],I18)</f>
        <v>5</v>
      </c>
      <c r="K18" s="76">
        <f>SUMIF(Projects[[#All],[Project Type]],I18,Projects[[#All],[Budget]])</f>
        <v>90900</v>
      </c>
      <c r="L18" s="76">
        <f>AVERAGEIF(Projects[[#All],[Project Type]],I18,Projects[[#All],[Budget]])</f>
        <v>18180</v>
      </c>
    </row>
    <row r="19" spans="1:12" ht="18" x14ac:dyDescent="0.35">
      <c r="A19" s="38" t="s">
        <v>77</v>
      </c>
      <c r="B19" s="39" t="s">
        <v>98</v>
      </c>
      <c r="C19" s="40" t="s">
        <v>81</v>
      </c>
      <c r="D19" s="77">
        <v>46101</v>
      </c>
      <c r="E19" s="73">
        <v>14000</v>
      </c>
      <c r="F19" s="68" t="s">
        <v>115</v>
      </c>
      <c r="G19" s="68" t="b">
        <f>AND(Projects[[#This Row],[Project Type]]="Drama",Projects[[#This Row],[Approved?]]="No")</f>
        <v>0</v>
      </c>
      <c r="I19" s="46" t="s">
        <v>81</v>
      </c>
      <c r="J19" s="78">
        <f>COUNTIF(Projects[[#All],[Project Type]],I19)</f>
        <v>6</v>
      </c>
      <c r="K19" s="76">
        <f>SUMIF(Projects[[#All],[Project Type]],I19,Projects[[#All],[Budget]])</f>
        <v>162000</v>
      </c>
      <c r="L19" s="76">
        <f>AVERAGEIF(Projects[[#All],[Project Type]],I19,Projects[[#All],[Budget]])</f>
        <v>27000</v>
      </c>
    </row>
    <row r="20" spans="1:12" ht="18" x14ac:dyDescent="0.35">
      <c r="A20" s="38" t="s">
        <v>78</v>
      </c>
      <c r="B20" s="39" t="s">
        <v>96</v>
      </c>
      <c r="C20" s="40" t="s">
        <v>81</v>
      </c>
      <c r="D20" s="77">
        <v>46104</v>
      </c>
      <c r="E20" s="73">
        <v>22500</v>
      </c>
      <c r="F20" s="68" t="s">
        <v>118</v>
      </c>
      <c r="G20" s="68" t="b">
        <f>AND(Projects[[#This Row],[Project Type]]="Drama",Projects[[#This Row],[Approved?]]="No")</f>
        <v>0</v>
      </c>
    </row>
    <row r="21" spans="1:12" ht="18" x14ac:dyDescent="0.35">
      <c r="A21" s="38" t="s">
        <v>67</v>
      </c>
      <c r="B21" s="39" t="s">
        <v>94</v>
      </c>
      <c r="C21" s="40" t="s">
        <v>37</v>
      </c>
      <c r="D21" s="77">
        <v>46121</v>
      </c>
      <c r="E21" s="73">
        <v>19500</v>
      </c>
      <c r="F21" s="68" t="s">
        <v>115</v>
      </c>
      <c r="G21" s="68" t="b">
        <f>AND(Projects[[#This Row],[Project Type]]="Drama",Projects[[#This Row],[Approved?]]="No")</f>
        <v>0</v>
      </c>
    </row>
    <row r="22" spans="1:12" ht="18" x14ac:dyDescent="0.35">
      <c r="A22" s="38" t="s">
        <v>68</v>
      </c>
      <c r="B22" s="39" t="s">
        <v>85</v>
      </c>
      <c r="C22" s="40" t="s">
        <v>37</v>
      </c>
      <c r="D22" s="77">
        <v>46124</v>
      </c>
      <c r="E22" s="73">
        <v>16000</v>
      </c>
      <c r="F22" s="68" t="s">
        <v>118</v>
      </c>
      <c r="G22" s="68" t="b">
        <f>AND(Projects[[#This Row],[Project Type]]="Drama",Projects[[#This Row],[Approved?]]="No")</f>
        <v>0</v>
      </c>
    </row>
    <row r="23" spans="1:12" ht="18" x14ac:dyDescent="0.35">
      <c r="A23" s="38" t="s">
        <v>79</v>
      </c>
      <c r="B23" s="39" t="s">
        <v>89</v>
      </c>
      <c r="C23" s="40" t="s">
        <v>81</v>
      </c>
      <c r="D23" s="77">
        <v>46130</v>
      </c>
      <c r="E23" s="73">
        <v>50000</v>
      </c>
      <c r="F23" s="68" t="s">
        <v>115</v>
      </c>
      <c r="G23" s="68" t="b">
        <f>AND(Projects[[#This Row],[Project Type]]="Drama",Projects[[#This Row],[Approved?]]="No")</f>
        <v>0</v>
      </c>
    </row>
    <row r="24" spans="1:12" ht="27" customHeight="1" thickBot="1" x14ac:dyDescent="0.35">
      <c r="A24" s="134" t="s">
        <v>117</v>
      </c>
      <c r="B24" s="134"/>
      <c r="C24" s="134"/>
      <c r="D24" s="134"/>
      <c r="E24" s="134"/>
      <c r="F24" s="134"/>
    </row>
    <row r="25" spans="1:12" x14ac:dyDescent="0.3">
      <c r="A25" s="69" t="s">
        <v>50</v>
      </c>
      <c r="B25" s="70" t="s">
        <v>51</v>
      </c>
      <c r="C25" s="70" t="s">
        <v>52</v>
      </c>
      <c r="D25" s="71" t="s">
        <v>114</v>
      </c>
      <c r="E25" s="71" t="s">
        <v>57</v>
      </c>
      <c r="F25" s="72" t="s">
        <v>116</v>
      </c>
    </row>
    <row r="26" spans="1:12" x14ac:dyDescent="0.3">
      <c r="F26" s="1" t="s">
        <v>115</v>
      </c>
    </row>
    <row r="28" spans="1:12" x14ac:dyDescent="0.3">
      <c r="A28" s="34" t="s">
        <v>50</v>
      </c>
      <c r="B28" s="34" t="s">
        <v>51</v>
      </c>
      <c r="C28" s="34" t="s">
        <v>52</v>
      </c>
      <c r="D28" s="35" t="s">
        <v>17</v>
      </c>
      <c r="E28" s="35" t="s">
        <v>57</v>
      </c>
      <c r="F28" s="35" t="s">
        <v>116</v>
      </c>
    </row>
    <row r="29" spans="1:12" ht="18" hidden="1" x14ac:dyDescent="0.35">
      <c r="A29" s="38" t="s">
        <v>58</v>
      </c>
      <c r="B29" s="39" t="s">
        <v>82</v>
      </c>
      <c r="C29" s="40" t="s">
        <v>80</v>
      </c>
      <c r="D29" s="77">
        <v>45810</v>
      </c>
      <c r="E29" s="73">
        <v>45500</v>
      </c>
      <c r="F29" s="41" t="s">
        <v>115</v>
      </c>
    </row>
    <row r="30" spans="1:12" ht="18" x14ac:dyDescent="0.35">
      <c r="A30" s="38" t="s">
        <v>75</v>
      </c>
      <c r="B30" s="39" t="s">
        <v>123</v>
      </c>
      <c r="C30" s="40" t="s">
        <v>81</v>
      </c>
      <c r="D30" s="77">
        <v>45866</v>
      </c>
      <c r="E30" s="73">
        <v>28500</v>
      </c>
      <c r="F30" s="41" t="s">
        <v>115</v>
      </c>
    </row>
    <row r="31" spans="1:12" ht="18" hidden="1" x14ac:dyDescent="0.35">
      <c r="A31" s="38" t="s">
        <v>65</v>
      </c>
      <c r="B31" s="39" t="s">
        <v>95</v>
      </c>
      <c r="C31" s="40" t="s">
        <v>37</v>
      </c>
      <c r="D31" s="77">
        <v>45939</v>
      </c>
      <c r="E31" s="73">
        <v>20000</v>
      </c>
      <c r="F31" s="41" t="s">
        <v>115</v>
      </c>
    </row>
    <row r="32" spans="1:12" ht="18" hidden="1" x14ac:dyDescent="0.35">
      <c r="A32" s="38" t="s">
        <v>71</v>
      </c>
      <c r="B32" s="39" t="s">
        <v>103</v>
      </c>
      <c r="C32" s="40" t="s">
        <v>38</v>
      </c>
      <c r="D32" s="77">
        <v>46032</v>
      </c>
      <c r="E32" s="73">
        <v>31500</v>
      </c>
      <c r="F32" s="68" t="s">
        <v>115</v>
      </c>
    </row>
    <row r="33" spans="1:6" ht="18" hidden="1" x14ac:dyDescent="0.35">
      <c r="A33" s="38" t="s">
        <v>73</v>
      </c>
      <c r="B33" s="39" t="s">
        <v>56</v>
      </c>
      <c r="C33" s="40" t="s">
        <v>38</v>
      </c>
      <c r="D33" s="77">
        <v>46081</v>
      </c>
      <c r="E33" s="73">
        <v>15000</v>
      </c>
      <c r="F33" s="68" t="s">
        <v>115</v>
      </c>
    </row>
    <row r="34" spans="1:6" ht="18" x14ac:dyDescent="0.35">
      <c r="A34" s="38" t="s">
        <v>77</v>
      </c>
      <c r="B34" s="39" t="s">
        <v>98</v>
      </c>
      <c r="C34" s="40" t="s">
        <v>81</v>
      </c>
      <c r="D34" s="77">
        <v>46101</v>
      </c>
      <c r="E34" s="73">
        <v>14000</v>
      </c>
      <c r="F34" s="68" t="s">
        <v>115</v>
      </c>
    </row>
    <row r="35" spans="1:6" ht="18" hidden="1" x14ac:dyDescent="0.35">
      <c r="A35" s="38" t="s">
        <v>67</v>
      </c>
      <c r="B35" s="39" t="s">
        <v>94</v>
      </c>
      <c r="C35" s="40" t="s">
        <v>37</v>
      </c>
      <c r="D35" s="77">
        <v>46121</v>
      </c>
      <c r="E35" s="73">
        <v>19500</v>
      </c>
      <c r="F35" s="68" t="s">
        <v>115</v>
      </c>
    </row>
    <row r="36" spans="1:6" ht="18" x14ac:dyDescent="0.35">
      <c r="A36" s="38" t="s">
        <v>79</v>
      </c>
      <c r="B36" s="39" t="s">
        <v>89</v>
      </c>
      <c r="C36" s="40" t="s">
        <v>81</v>
      </c>
      <c r="D36" s="77">
        <v>46130</v>
      </c>
      <c r="E36" s="73">
        <v>50000</v>
      </c>
      <c r="F36" s="68" t="s">
        <v>115</v>
      </c>
    </row>
    <row r="37" spans="1:6" ht="18" x14ac:dyDescent="0.35">
      <c r="A37" s="38"/>
      <c r="B37" s="39"/>
      <c r="C37" s="40"/>
      <c r="D37" s="77"/>
      <c r="E37" s="73"/>
      <c r="F37" s="41"/>
    </row>
    <row r="38" spans="1:6" ht="18" x14ac:dyDescent="0.35">
      <c r="A38" s="38"/>
      <c r="B38" s="39"/>
      <c r="C38" s="40"/>
      <c r="D38" s="77"/>
      <c r="E38" s="73"/>
      <c r="F38" s="41"/>
    </row>
    <row r="39" spans="1:6" ht="18" x14ac:dyDescent="0.35">
      <c r="A39" s="38"/>
      <c r="B39" s="39"/>
      <c r="C39" s="40"/>
      <c r="D39" s="77"/>
      <c r="E39" s="73"/>
      <c r="F39" s="68"/>
    </row>
    <row r="40" spans="1:6" ht="18" x14ac:dyDescent="0.35">
      <c r="A40" s="38"/>
      <c r="B40" s="39"/>
      <c r="C40" s="40"/>
      <c r="D40" s="77"/>
      <c r="E40" s="73"/>
      <c r="F40" s="68"/>
    </row>
    <row r="41" spans="1:6" ht="18" x14ac:dyDescent="0.35">
      <c r="A41" s="38"/>
      <c r="B41" s="39"/>
      <c r="C41" s="40"/>
      <c r="D41" s="77"/>
      <c r="E41" s="73"/>
      <c r="F41" s="68"/>
    </row>
    <row r="42" spans="1:6" ht="18" x14ac:dyDescent="0.35">
      <c r="A42" s="38"/>
      <c r="B42" s="39"/>
      <c r="C42" s="40"/>
      <c r="D42" s="77"/>
      <c r="E42" s="73"/>
      <c r="F42" s="68"/>
    </row>
    <row r="43" spans="1:6" ht="18" x14ac:dyDescent="0.35">
      <c r="A43" s="38"/>
      <c r="B43" s="39"/>
      <c r="C43" s="40"/>
      <c r="D43" s="77"/>
      <c r="E43" s="73"/>
      <c r="F43" s="68"/>
    </row>
    <row r="44" spans="1:6" ht="18" x14ac:dyDescent="0.35">
      <c r="A44" s="38"/>
      <c r="B44" s="39"/>
      <c r="C44" s="40"/>
      <c r="D44" s="77"/>
      <c r="E44" s="73"/>
      <c r="F44" s="68"/>
    </row>
    <row r="45" spans="1:6" ht="18" x14ac:dyDescent="0.35">
      <c r="A45" s="38"/>
      <c r="B45" s="39"/>
      <c r="C45" s="40"/>
      <c r="D45" s="77"/>
      <c r="E45" s="73"/>
      <c r="F45" s="68"/>
    </row>
    <row r="46" spans="1:6" ht="18" x14ac:dyDescent="0.35">
      <c r="A46" s="38"/>
      <c r="B46" s="39"/>
      <c r="C46" s="40"/>
      <c r="D46" s="77"/>
      <c r="E46" s="73"/>
      <c r="F46" s="68"/>
    </row>
    <row r="47" spans="1:6" ht="18" x14ac:dyDescent="0.35">
      <c r="A47" s="38"/>
      <c r="B47" s="39"/>
      <c r="C47" s="40"/>
      <c r="D47" s="77"/>
      <c r="E47" s="73"/>
      <c r="F47" s="68"/>
    </row>
    <row r="48" spans="1:6" ht="18" x14ac:dyDescent="0.35">
      <c r="A48" s="38"/>
      <c r="B48" s="39"/>
      <c r="C48" s="40"/>
      <c r="D48" s="77"/>
      <c r="E48" s="73"/>
      <c r="F48" s="68"/>
    </row>
    <row r="49" spans="1:6" ht="18" x14ac:dyDescent="0.35">
      <c r="A49" s="38"/>
      <c r="B49" s="39"/>
      <c r="C49" s="40"/>
      <c r="D49" s="77"/>
      <c r="E49" s="73"/>
      <c r="F49" s="68"/>
    </row>
    <row r="50" spans="1:6" ht="18" x14ac:dyDescent="0.35">
      <c r="A50" s="38"/>
      <c r="B50" s="39"/>
      <c r="C50" s="40"/>
      <c r="D50" s="77"/>
      <c r="E50" s="73"/>
      <c r="F50" s="68"/>
    </row>
  </sheetData>
  <mergeCells count="2">
    <mergeCell ref="I1:J1"/>
    <mergeCell ref="A24:F24"/>
  </mergeCells>
  <conditionalFormatting sqref="E2:E23">
    <cfRule type="iconSet" priority="3">
      <iconSet iconSet="3Symbols">
        <cfvo type="percent" val="0"/>
        <cfvo type="num" val="15000"/>
        <cfvo type="num" val="25000"/>
      </iconSet>
    </cfRule>
  </conditionalFormatting>
  <dataValidations disablePrompts="1" count="1">
    <dataValidation allowBlank="1" error="pavI8MeUFtEyxX2I4tky1cadfc8c-a7d3-47f5-8078-f48b1600a4b2" sqref="A28:F28 A24:K26 A1:L23" xr:uid="{00000000-0002-0000-0500-000000000000}"/>
  </dataValidations>
  <pageMargins left="0.75" right="0.75" top="1" bottom="1" header="0.5" footer="0.5"/>
  <pageSetup orientation="landscape" horizontalDpi="300" verticalDpi="300" r:id="rId1"/>
  <headerFooter alignWithMargins="0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zoomScaleNormal="100" workbookViewId="0">
      <selection activeCell="G31" sqref="G31"/>
    </sheetView>
  </sheetViews>
  <sheetFormatPr defaultRowHeight="16.5" outlineLevelRow="2" x14ac:dyDescent="0.3"/>
  <cols>
    <col min="1" max="1" width="11.625" bestFit="1" customWidth="1"/>
    <col min="2" max="2" width="25.75" bestFit="1" customWidth="1"/>
    <col min="3" max="3" width="15.5" bestFit="1" customWidth="1"/>
    <col min="4" max="4" width="13.375" style="1" bestFit="1" customWidth="1"/>
    <col min="5" max="5" width="11.5" style="1" bestFit="1" customWidth="1"/>
    <col min="6" max="6" width="8.375" customWidth="1"/>
    <col min="7" max="7" width="18.625" bestFit="1" customWidth="1"/>
    <col min="8" max="8" width="25.75" customWidth="1"/>
  </cols>
  <sheetData>
    <row r="1" spans="1:10" ht="37.5" customHeight="1" x14ac:dyDescent="0.3">
      <c r="A1" s="91" t="s">
        <v>50</v>
      </c>
      <c r="B1" s="92" t="s">
        <v>51</v>
      </c>
      <c r="C1" s="92" t="s">
        <v>52</v>
      </c>
      <c r="D1" s="93" t="s">
        <v>17</v>
      </c>
      <c r="E1" s="94" t="s">
        <v>57</v>
      </c>
      <c r="F1" s="36"/>
      <c r="I1" s="37"/>
      <c r="J1" s="37"/>
    </row>
    <row r="2" spans="1:10" ht="18" hidden="1" outlineLevel="2" x14ac:dyDescent="0.35">
      <c r="A2" s="95" t="s">
        <v>58</v>
      </c>
      <c r="B2" s="96" t="s">
        <v>82</v>
      </c>
      <c r="C2" s="97" t="s">
        <v>80</v>
      </c>
      <c r="D2" s="98">
        <v>45810</v>
      </c>
      <c r="E2" s="99">
        <v>45500</v>
      </c>
      <c r="I2" s="42"/>
      <c r="J2" s="42"/>
    </row>
    <row r="3" spans="1:10" ht="18" hidden="1" outlineLevel="2" x14ac:dyDescent="0.35">
      <c r="A3" s="100" t="s">
        <v>59</v>
      </c>
      <c r="B3" s="101" t="s">
        <v>83</v>
      </c>
      <c r="C3" s="102" t="s">
        <v>80</v>
      </c>
      <c r="D3" s="103">
        <v>45821</v>
      </c>
      <c r="E3" s="104">
        <v>12000</v>
      </c>
      <c r="I3" s="42"/>
      <c r="J3" s="42"/>
    </row>
    <row r="4" spans="1:10" ht="18" hidden="1" customHeight="1" outlineLevel="2" x14ac:dyDescent="0.3">
      <c r="A4" s="105" t="s">
        <v>60</v>
      </c>
      <c r="B4" s="96" t="s">
        <v>102</v>
      </c>
      <c r="C4" s="97" t="s">
        <v>80</v>
      </c>
      <c r="D4" s="98">
        <v>45901</v>
      </c>
      <c r="E4" s="99">
        <v>23010</v>
      </c>
      <c r="I4" s="42"/>
      <c r="J4" s="42"/>
    </row>
    <row r="5" spans="1:10" ht="18" hidden="1" outlineLevel="2" x14ac:dyDescent="0.35">
      <c r="A5" s="106" t="s">
        <v>61</v>
      </c>
      <c r="B5" s="101" t="s">
        <v>91</v>
      </c>
      <c r="C5" s="102" t="s">
        <v>80</v>
      </c>
      <c r="D5" s="103">
        <v>46094</v>
      </c>
      <c r="E5" s="107">
        <v>10000</v>
      </c>
      <c r="I5" s="44"/>
      <c r="J5" s="44"/>
    </row>
    <row r="6" spans="1:10" ht="16.5" hidden="1" customHeight="1" outlineLevel="2" x14ac:dyDescent="0.35">
      <c r="A6" s="95" t="s">
        <v>62</v>
      </c>
      <c r="B6" s="96" t="s">
        <v>93</v>
      </c>
      <c r="C6" s="97" t="s">
        <v>80</v>
      </c>
      <c r="D6" s="98">
        <v>46100</v>
      </c>
      <c r="E6" s="108">
        <v>15000</v>
      </c>
      <c r="I6" s="42"/>
      <c r="J6" s="42"/>
    </row>
    <row r="7" spans="1:10" ht="16.5" customHeight="1" outlineLevel="1" collapsed="1" x14ac:dyDescent="0.35">
      <c r="A7" s="95"/>
      <c r="B7" s="96"/>
      <c r="C7" s="113" t="s">
        <v>135</v>
      </c>
      <c r="D7" s="98"/>
      <c r="E7" s="108">
        <f>SUBTOTAL(9,E2:E6)</f>
        <v>105510</v>
      </c>
      <c r="I7" s="42"/>
      <c r="J7" s="42"/>
    </row>
    <row r="8" spans="1:10" ht="18" hidden="1" outlineLevel="2" x14ac:dyDescent="0.35">
      <c r="A8" s="106" t="s">
        <v>63</v>
      </c>
      <c r="B8" s="101" t="s">
        <v>90</v>
      </c>
      <c r="C8" s="102" t="s">
        <v>37</v>
      </c>
      <c r="D8" s="103">
        <v>45920</v>
      </c>
      <c r="E8" s="104">
        <v>18555</v>
      </c>
      <c r="I8" s="42"/>
      <c r="J8" s="42"/>
    </row>
    <row r="9" spans="1:10" ht="18" hidden="1" outlineLevel="2" x14ac:dyDescent="0.35">
      <c r="A9" s="95" t="s">
        <v>64</v>
      </c>
      <c r="B9" s="96" t="s">
        <v>92</v>
      </c>
      <c r="C9" s="97" t="s">
        <v>37</v>
      </c>
      <c r="D9" s="98">
        <v>45933</v>
      </c>
      <c r="E9" s="99">
        <v>25000</v>
      </c>
      <c r="I9" s="42"/>
      <c r="J9" s="42"/>
    </row>
    <row r="10" spans="1:10" ht="18" hidden="1" outlineLevel="2" x14ac:dyDescent="0.35">
      <c r="A10" s="106" t="s">
        <v>65</v>
      </c>
      <c r="B10" s="101" t="s">
        <v>95</v>
      </c>
      <c r="C10" s="102" t="s">
        <v>37</v>
      </c>
      <c r="D10" s="103">
        <v>45939</v>
      </c>
      <c r="E10" s="104">
        <v>20000</v>
      </c>
      <c r="I10" s="42"/>
      <c r="J10" s="42"/>
    </row>
    <row r="11" spans="1:10" ht="18" hidden="1" outlineLevel="2" x14ac:dyDescent="0.35">
      <c r="A11" s="95" t="s">
        <v>66</v>
      </c>
      <c r="B11" s="96" t="s">
        <v>84</v>
      </c>
      <c r="C11" s="97" t="s">
        <v>37</v>
      </c>
      <c r="D11" s="98">
        <v>46035</v>
      </c>
      <c r="E11" s="108">
        <v>24000</v>
      </c>
      <c r="I11" s="42"/>
      <c r="J11" s="42"/>
    </row>
    <row r="12" spans="1:10" ht="18" hidden="1" outlineLevel="2" x14ac:dyDescent="0.35">
      <c r="A12" s="106" t="s">
        <v>67</v>
      </c>
      <c r="B12" s="101" t="s">
        <v>94</v>
      </c>
      <c r="C12" s="102" t="s">
        <v>37</v>
      </c>
      <c r="D12" s="103">
        <v>46121</v>
      </c>
      <c r="E12" s="107">
        <v>19500</v>
      </c>
    </row>
    <row r="13" spans="1:10" ht="18" hidden="1" outlineLevel="2" x14ac:dyDescent="0.35">
      <c r="A13" s="95" t="s">
        <v>68</v>
      </c>
      <c r="B13" s="96" t="s">
        <v>85</v>
      </c>
      <c r="C13" s="97" t="s">
        <v>37</v>
      </c>
      <c r="D13" s="98">
        <v>46124</v>
      </c>
      <c r="E13" s="108">
        <v>16000</v>
      </c>
      <c r="F13" s="45"/>
    </row>
    <row r="14" spans="1:10" ht="18" outlineLevel="1" collapsed="1" x14ac:dyDescent="0.35">
      <c r="A14" s="95"/>
      <c r="B14" s="96"/>
      <c r="C14" s="113" t="s">
        <v>136</v>
      </c>
      <c r="D14" s="98"/>
      <c r="E14" s="108">
        <f>SUBTOTAL(9,E8:E13)</f>
        <v>123055</v>
      </c>
      <c r="F14" s="45"/>
    </row>
    <row r="15" spans="1:10" ht="18" hidden="1" outlineLevel="2" x14ac:dyDescent="0.35">
      <c r="A15" s="106" t="s">
        <v>69</v>
      </c>
      <c r="B15" s="101" t="s">
        <v>99</v>
      </c>
      <c r="C15" s="102" t="s">
        <v>38</v>
      </c>
      <c r="D15" s="103">
        <v>45962</v>
      </c>
      <c r="E15" s="104">
        <v>19700</v>
      </c>
    </row>
    <row r="16" spans="1:10" ht="18" hidden="1" outlineLevel="2" x14ac:dyDescent="0.35">
      <c r="A16" s="95" t="s">
        <v>70</v>
      </c>
      <c r="B16" s="96" t="s">
        <v>87</v>
      </c>
      <c r="C16" s="97" t="s">
        <v>38</v>
      </c>
      <c r="D16" s="98">
        <v>45979</v>
      </c>
      <c r="E16" s="99">
        <v>12200</v>
      </c>
    </row>
    <row r="17" spans="1:5" ht="18" hidden="1" outlineLevel="2" x14ac:dyDescent="0.35">
      <c r="A17" s="106" t="s">
        <v>71</v>
      </c>
      <c r="B17" s="101" t="s">
        <v>103</v>
      </c>
      <c r="C17" s="102" t="s">
        <v>38</v>
      </c>
      <c r="D17" s="103">
        <v>46032</v>
      </c>
      <c r="E17" s="107">
        <v>31500</v>
      </c>
    </row>
    <row r="18" spans="1:5" ht="18" hidden="1" outlineLevel="2" x14ac:dyDescent="0.35">
      <c r="A18" s="95" t="s">
        <v>72</v>
      </c>
      <c r="B18" s="96" t="s">
        <v>97</v>
      </c>
      <c r="C18" s="97" t="s">
        <v>38</v>
      </c>
      <c r="D18" s="98">
        <v>46075</v>
      </c>
      <c r="E18" s="108">
        <v>12500</v>
      </c>
    </row>
    <row r="19" spans="1:5" ht="18" hidden="1" outlineLevel="2" x14ac:dyDescent="0.35">
      <c r="A19" s="106" t="s">
        <v>73</v>
      </c>
      <c r="B19" s="101" t="s">
        <v>56</v>
      </c>
      <c r="C19" s="102" t="s">
        <v>38</v>
      </c>
      <c r="D19" s="103">
        <v>46081</v>
      </c>
      <c r="E19" s="107">
        <v>15000</v>
      </c>
    </row>
    <row r="20" spans="1:5" ht="18" outlineLevel="1" collapsed="1" x14ac:dyDescent="0.35">
      <c r="A20" s="106"/>
      <c r="B20" s="101"/>
      <c r="C20" s="114" t="s">
        <v>137</v>
      </c>
      <c r="D20" s="103"/>
      <c r="E20" s="107">
        <f>SUBTOTAL(9,E15:E19)</f>
        <v>90900</v>
      </c>
    </row>
    <row r="21" spans="1:5" ht="18" hidden="1" outlineLevel="2" x14ac:dyDescent="0.35">
      <c r="A21" s="95" t="s">
        <v>74</v>
      </c>
      <c r="B21" s="96" t="s">
        <v>86</v>
      </c>
      <c r="C21" s="97" t="s">
        <v>81</v>
      </c>
      <c r="D21" s="98">
        <v>45850</v>
      </c>
      <c r="E21" s="99">
        <v>22500</v>
      </c>
    </row>
    <row r="22" spans="1:5" ht="18" hidden="1" outlineLevel="2" x14ac:dyDescent="0.35">
      <c r="A22" s="106" t="s">
        <v>75</v>
      </c>
      <c r="B22" s="101" t="s">
        <v>122</v>
      </c>
      <c r="C22" s="102" t="s">
        <v>81</v>
      </c>
      <c r="D22" s="103">
        <v>45866</v>
      </c>
      <c r="E22" s="104">
        <v>28500</v>
      </c>
    </row>
    <row r="23" spans="1:5" ht="18" hidden="1" outlineLevel="2" x14ac:dyDescent="0.35">
      <c r="A23" s="95" t="s">
        <v>76</v>
      </c>
      <c r="B23" s="96" t="s">
        <v>88</v>
      </c>
      <c r="C23" s="97" t="s">
        <v>81</v>
      </c>
      <c r="D23" s="98">
        <v>46084</v>
      </c>
      <c r="E23" s="108">
        <v>24500</v>
      </c>
    </row>
    <row r="24" spans="1:5" ht="18" hidden="1" outlineLevel="2" x14ac:dyDescent="0.35">
      <c r="A24" s="106" t="s">
        <v>77</v>
      </c>
      <c r="B24" s="101" t="s">
        <v>98</v>
      </c>
      <c r="C24" s="102" t="s">
        <v>81</v>
      </c>
      <c r="D24" s="103">
        <v>46101</v>
      </c>
      <c r="E24" s="107">
        <v>14000</v>
      </c>
    </row>
    <row r="25" spans="1:5" ht="18" hidden="1" outlineLevel="2" x14ac:dyDescent="0.35">
      <c r="A25" s="95" t="s">
        <v>78</v>
      </c>
      <c r="B25" s="96" t="s">
        <v>96</v>
      </c>
      <c r="C25" s="97" t="s">
        <v>81</v>
      </c>
      <c r="D25" s="98">
        <v>46104</v>
      </c>
      <c r="E25" s="108">
        <v>22500</v>
      </c>
    </row>
    <row r="26" spans="1:5" ht="18" hidden="1" outlineLevel="2" x14ac:dyDescent="0.35">
      <c r="A26" s="109" t="s">
        <v>79</v>
      </c>
      <c r="B26" s="110" t="s">
        <v>89</v>
      </c>
      <c r="C26" s="111" t="s">
        <v>81</v>
      </c>
      <c r="D26" s="112">
        <v>46130</v>
      </c>
      <c r="E26" s="90">
        <v>50000</v>
      </c>
    </row>
    <row r="27" spans="1:5" ht="18" outlineLevel="1" collapsed="1" x14ac:dyDescent="0.35">
      <c r="A27" s="38"/>
      <c r="B27" s="39"/>
      <c r="C27" s="117" t="s">
        <v>138</v>
      </c>
      <c r="D27" s="115"/>
      <c r="E27" s="116">
        <f>SUBTOTAL(9,E21:E26)</f>
        <v>162000</v>
      </c>
    </row>
    <row r="28" spans="1:5" ht="18" x14ac:dyDescent="0.35">
      <c r="A28" s="38"/>
      <c r="B28" s="39"/>
      <c r="C28" s="117" t="s">
        <v>139</v>
      </c>
      <c r="D28" s="115"/>
      <c r="E28" s="116">
        <f>SUBTOTAL(9,E2:E26)</f>
        <v>481465</v>
      </c>
    </row>
  </sheetData>
  <dataValidations disablePrompts="1" count="1">
    <dataValidation allowBlank="1" error="pavI8MeUFtEyxX2I4tky1cadfc8c-a7d3-47f5-8078-f48b1600a4b2" sqref="A1:J6 A8:J13 A15:J19 A21:J26" xr:uid="{00000000-0002-0000-0600-000000000000}"/>
  </dataValidation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tabSelected="1" workbookViewId="0">
      <selection activeCell="A26" sqref="A26:XFD32"/>
    </sheetView>
  </sheetViews>
  <sheetFormatPr defaultRowHeight="16.5" x14ac:dyDescent="0.3"/>
  <cols>
    <col min="1" max="1" width="20.875" bestFit="1" customWidth="1"/>
    <col min="2" max="3" width="16.625" bestFit="1" customWidth="1"/>
    <col min="4" max="4" width="14.75" customWidth="1"/>
    <col min="5" max="5" width="6.25" customWidth="1"/>
    <col min="6" max="6" width="19.375" bestFit="1" customWidth="1"/>
    <col min="7" max="7" width="12.75" bestFit="1" customWidth="1"/>
    <col min="8" max="8" width="14.375" bestFit="1" customWidth="1"/>
    <col min="9" max="9" width="14" bestFit="1" customWidth="1"/>
    <col min="10" max="10" width="12.375" bestFit="1" customWidth="1"/>
  </cols>
  <sheetData>
    <row r="1" spans="1:10" ht="23.25" x14ac:dyDescent="0.35">
      <c r="A1" s="141" t="s">
        <v>104</v>
      </c>
      <c r="B1" s="141"/>
      <c r="C1" s="141"/>
      <c r="D1" s="141"/>
    </row>
    <row r="2" spans="1:10" ht="21" thickBot="1" x14ac:dyDescent="0.4">
      <c r="A2" s="142" t="s">
        <v>19</v>
      </c>
      <c r="B2" s="142"/>
      <c r="C2" s="142"/>
      <c r="D2" s="142"/>
      <c r="F2" s="12"/>
      <c r="G2" s="12"/>
      <c r="H2" s="12"/>
      <c r="I2" s="12"/>
    </row>
    <row r="3" spans="1:10" ht="17.25" thickTop="1" x14ac:dyDescent="0.3">
      <c r="A3" s="143" t="s">
        <v>12</v>
      </c>
      <c r="B3" s="143"/>
      <c r="C3" s="143"/>
      <c r="D3" s="143"/>
      <c r="F3" s="14" t="s">
        <v>18</v>
      </c>
      <c r="G3" s="50" t="s">
        <v>107</v>
      </c>
      <c r="H3" s="6" t="s">
        <v>108</v>
      </c>
      <c r="I3" s="6" t="s">
        <v>121</v>
      </c>
    </row>
    <row r="4" spans="1:10" x14ac:dyDescent="0.3">
      <c r="A4" s="11" t="s">
        <v>4</v>
      </c>
      <c r="B4" s="51">
        <v>45577</v>
      </c>
      <c r="C4" s="11" t="s">
        <v>8</v>
      </c>
      <c r="D4" s="10">
        <v>4.3499999999999997E-2</v>
      </c>
      <c r="F4" s="11" t="s">
        <v>7</v>
      </c>
      <c r="G4" s="5">
        <f>Loan_Ammount</f>
        <v>1720000</v>
      </c>
      <c r="H4" s="5">
        <f>PV(H6,H8,H10)</f>
        <v>2105561.1196936551</v>
      </c>
      <c r="I4" s="5">
        <f>Loan_Ammount</f>
        <v>1720000</v>
      </c>
    </row>
    <row r="5" spans="1:10" x14ac:dyDescent="0.3">
      <c r="A5" s="11" t="s">
        <v>105</v>
      </c>
      <c r="B5" s="52" t="s">
        <v>106</v>
      </c>
      <c r="C5" s="11" t="s">
        <v>22</v>
      </c>
      <c r="D5">
        <v>180</v>
      </c>
      <c r="F5" s="11" t="s">
        <v>13</v>
      </c>
      <c r="G5" s="10">
        <v>4.4499999999999998E-2</v>
      </c>
      <c r="H5" s="10">
        <v>4.3999999999999997E-2</v>
      </c>
      <c r="I5" s="10">
        <v>4.5499999999999999E-2</v>
      </c>
    </row>
    <row r="6" spans="1:10" x14ac:dyDescent="0.3">
      <c r="A6" s="11" t="s">
        <v>5</v>
      </c>
      <c r="B6" s="53">
        <v>2150000</v>
      </c>
      <c r="C6" s="11" t="s">
        <v>9</v>
      </c>
      <c r="D6" s="118">
        <f>-PMT(Rate/12,Term_in_Months,Loan_Ammount)</f>
        <v>13026.410889894827</v>
      </c>
      <c r="F6" s="11" t="s">
        <v>14</v>
      </c>
      <c r="G6" s="9">
        <f>G5/12</f>
        <v>3.708333333333333E-3</v>
      </c>
      <c r="H6" s="9">
        <f t="shared" ref="H6:I6" si="0">H5/12</f>
        <v>3.6666666666666666E-3</v>
      </c>
      <c r="I6" s="9">
        <f t="shared" si="0"/>
        <v>3.7916666666666667E-3</v>
      </c>
    </row>
    <row r="7" spans="1:10" x14ac:dyDescent="0.3">
      <c r="A7" s="11" t="s">
        <v>6</v>
      </c>
      <c r="B7" s="53">
        <v>430000</v>
      </c>
      <c r="C7" s="11" t="s">
        <v>10</v>
      </c>
      <c r="D7" s="17">
        <f>Monthly_Payment*Term_in_Months-Loan_Ammount</f>
        <v>624753.96018106909</v>
      </c>
      <c r="F7" s="11" t="s">
        <v>15</v>
      </c>
      <c r="G7">
        <v>10</v>
      </c>
      <c r="H7">
        <v>15</v>
      </c>
      <c r="I7">
        <v>5</v>
      </c>
    </row>
    <row r="8" spans="1:10" x14ac:dyDescent="0.3">
      <c r="A8" s="15" t="s">
        <v>7</v>
      </c>
      <c r="B8" s="54">
        <f>Price-Down_Payment</f>
        <v>1720000</v>
      </c>
      <c r="C8" s="15" t="s">
        <v>11</v>
      </c>
      <c r="D8" s="22">
        <f>Price+Total_Interest</f>
        <v>2774753.9601810691</v>
      </c>
      <c r="F8" s="11" t="s">
        <v>16</v>
      </c>
      <c r="G8">
        <f>G7*12</f>
        <v>120</v>
      </c>
      <c r="H8">
        <f>H7*12</f>
        <v>180</v>
      </c>
      <c r="I8">
        <f>I7*12</f>
        <v>60</v>
      </c>
    </row>
    <row r="9" spans="1:10" ht="17.25" thickBot="1" x14ac:dyDescent="0.35">
      <c r="E9" s="8"/>
      <c r="F9" s="11" t="s">
        <v>17</v>
      </c>
      <c r="G9" s="13">
        <v>45660</v>
      </c>
      <c r="H9" s="13">
        <v>45660</v>
      </c>
      <c r="I9" s="13">
        <v>45660</v>
      </c>
    </row>
    <row r="10" spans="1:10" ht="17.25" thickTop="1" x14ac:dyDescent="0.3">
      <c r="A10" s="136" t="s">
        <v>20</v>
      </c>
      <c r="B10" s="137"/>
      <c r="C10" s="137"/>
      <c r="D10" s="138"/>
      <c r="F10" s="18" t="s">
        <v>9</v>
      </c>
      <c r="G10" s="19">
        <f>PMT(G6,G8,G4)</f>
        <v>-17784.379675529894</v>
      </c>
      <c r="H10" s="19">
        <v>-16000</v>
      </c>
      <c r="I10" s="19">
        <v>-20000</v>
      </c>
    </row>
    <row r="11" spans="1:10" x14ac:dyDescent="0.3">
      <c r="A11" s="55" t="s">
        <v>8</v>
      </c>
      <c r="B11" s="139" t="s">
        <v>21</v>
      </c>
      <c r="C11" s="139"/>
      <c r="D11" s="140"/>
      <c r="F11" s="20" t="s">
        <v>23</v>
      </c>
      <c r="G11" s="21" t="s">
        <v>24</v>
      </c>
      <c r="H11" s="21" t="s">
        <v>24</v>
      </c>
      <c r="I11" s="119">
        <f>FV(I6,I8,I10)</f>
        <v>1344619.4604413817</v>
      </c>
    </row>
    <row r="12" spans="1:10" x14ac:dyDescent="0.3">
      <c r="A12" s="58">
        <f>Monthly_Payment</f>
        <v>13026.410889894827</v>
      </c>
      <c r="B12" s="59">
        <v>120</v>
      </c>
      <c r="C12" s="59">
        <v>180</v>
      </c>
      <c r="D12" s="60">
        <v>240</v>
      </c>
    </row>
    <row r="13" spans="1:10" ht="18.75" thickBot="1" x14ac:dyDescent="0.4">
      <c r="A13" s="56">
        <v>3.85E-2</v>
      </c>
      <c r="B13" s="16">
        <f t="dataTable" ref="B13:D25" dt2D="1" dtr="1" r1="D5" r2="D4"/>
        <v>17291.810145965286</v>
      </c>
      <c r="C13" s="16">
        <v>12593.72988155132</v>
      </c>
      <c r="D13" s="23">
        <v>10287.41600074465</v>
      </c>
      <c r="F13" s="135" t="s">
        <v>109</v>
      </c>
      <c r="G13" s="135"/>
      <c r="H13" s="135"/>
      <c r="I13" s="135"/>
      <c r="J13" s="61"/>
    </row>
    <row r="14" spans="1:10" ht="17.25" thickTop="1" x14ac:dyDescent="0.3">
      <c r="A14" s="56">
        <v>3.95E-2</v>
      </c>
      <c r="B14" s="16">
        <v>17373.320707298561</v>
      </c>
      <c r="C14" s="16">
        <v>12679.578729087332</v>
      </c>
      <c r="D14" s="23">
        <v>10377.601322144035</v>
      </c>
      <c r="F14" s="14" t="s">
        <v>3</v>
      </c>
      <c r="G14" s="14" t="s">
        <v>110</v>
      </c>
      <c r="H14" s="14" t="s">
        <v>111</v>
      </c>
      <c r="I14" s="14" t="s">
        <v>112</v>
      </c>
    </row>
    <row r="15" spans="1:10" x14ac:dyDescent="0.3">
      <c r="A15" s="56">
        <v>4.0500000000000001E-2</v>
      </c>
      <c r="B15" s="16">
        <v>17455.065303493659</v>
      </c>
      <c r="C15" s="16">
        <v>12765.771915346395</v>
      </c>
      <c r="D15" s="23">
        <v>10468.233551787715</v>
      </c>
      <c r="F15" t="str">
        <f>PROPER(F27)</f>
        <v>Warehouse</v>
      </c>
      <c r="G15" t="str">
        <f>_xlfn.CONCAT(H27," ",I27)</f>
        <v>Terry McGregor</v>
      </c>
      <c r="H15" s="1" t="str">
        <f>RIGHT(G27,2)</f>
        <v>TN</v>
      </c>
      <c r="I15" s="1" t="str">
        <f>LEFT(J27,2)</f>
        <v xml:space="preserve">8 </v>
      </c>
    </row>
    <row r="16" spans="1:10" x14ac:dyDescent="0.3">
      <c r="A16" s="56">
        <v>4.1500000000000002E-2</v>
      </c>
      <c r="B16" s="16">
        <v>17537.043719764457</v>
      </c>
      <c r="C16" s="16">
        <v>12852.308785518702</v>
      </c>
      <c r="D16" s="23">
        <v>10559.311230451849</v>
      </c>
      <c r="F16" t="str">
        <f t="shared" ref="F16:F19" si="1">PROPER(F28)</f>
        <v>Distribution Center</v>
      </c>
      <c r="G16" t="str">
        <f t="shared" ref="G16:G19" si="2">_xlfn.CONCAT(H28," ",I28)</f>
        <v>Anita Arnaz</v>
      </c>
      <c r="H16" s="1" t="str">
        <f t="shared" ref="H16:H19" si="3">RIGHT(G28,2)</f>
        <v>AZ</v>
      </c>
      <c r="I16" s="1" t="str">
        <f t="shared" ref="I16:I19" si="4">LEFT(J28,2)</f>
        <v>14</v>
      </c>
    </row>
    <row r="17" spans="1:10" x14ac:dyDescent="0.3">
      <c r="A17" s="56">
        <v>4.2500000000000003E-2</v>
      </c>
      <c r="B17" s="16">
        <v>17619.255736942439</v>
      </c>
      <c r="C17" s="16">
        <v>12939.188671079804</v>
      </c>
      <c r="D17" s="23">
        <v>10650.832869803426</v>
      </c>
      <c r="F17" t="str">
        <f t="shared" si="1"/>
        <v>Warehouse</v>
      </c>
      <c r="G17" t="str">
        <f t="shared" si="2"/>
        <v>Hector Murillo</v>
      </c>
      <c r="H17" s="1" t="str">
        <f t="shared" si="3"/>
        <v>TX</v>
      </c>
      <c r="I17" s="1" t="str">
        <f t="shared" si="4"/>
        <v>22</v>
      </c>
    </row>
    <row r="18" spans="1:10" x14ac:dyDescent="0.3">
      <c r="A18" s="56">
        <v>4.3499999999999997E-2</v>
      </c>
      <c r="B18" s="16">
        <v>17701.701131492631</v>
      </c>
      <c r="C18" s="16">
        <v>13026.410889894827</v>
      </c>
      <c r="D18" s="23">
        <v>10742.796952794679</v>
      </c>
      <c r="F18" t="str">
        <f t="shared" si="1"/>
        <v>Manufacturing Center</v>
      </c>
      <c r="G18" t="str">
        <f t="shared" si="2"/>
        <v>Padma Shalikar</v>
      </c>
      <c r="H18" s="1" t="str">
        <f t="shared" si="3"/>
        <v>SC</v>
      </c>
      <c r="I18" s="1" t="str">
        <f t="shared" si="4"/>
        <v>10</v>
      </c>
    </row>
    <row r="19" spans="1:10" x14ac:dyDescent="0.3">
      <c r="A19" s="56">
        <v>4.4499999999999998E-2</v>
      </c>
      <c r="B19" s="16">
        <v>17784.379675529894</v>
      </c>
      <c r="C19" s="16">
        <v>13113.974746324473</v>
      </c>
      <c r="D19" s="23">
        <v>10835.20193406328</v>
      </c>
      <c r="F19" t="str">
        <f t="shared" si="1"/>
        <v>Distribution Center</v>
      </c>
      <c r="G19" t="str">
        <f t="shared" si="2"/>
        <v>Brad Schultz</v>
      </c>
      <c r="H19" s="1" t="str">
        <f t="shared" si="3"/>
        <v>IL</v>
      </c>
      <c r="I19" s="1" t="str">
        <f t="shared" si="4"/>
        <v xml:space="preserve">5 </v>
      </c>
    </row>
    <row r="20" spans="1:10" x14ac:dyDescent="0.3">
      <c r="A20" s="56">
        <v>4.5499999999999999E-2</v>
      </c>
      <c r="B20" s="16">
        <v>17867.291136835433</v>
      </c>
      <c r="C20" s="16">
        <v>13201.879531332799</v>
      </c>
      <c r="D20" s="23">
        <v>10928.046240338157</v>
      </c>
    </row>
    <row r="21" spans="1:10" x14ac:dyDescent="0.3">
      <c r="A21" s="56">
        <v>4.65E-2</v>
      </c>
      <c r="B21" s="16">
        <v>17950.435278873592</v>
      </c>
      <c r="C21" s="16">
        <v>13290.124522596741</v>
      </c>
      <c r="D21" s="23">
        <v>11021.328270850669</v>
      </c>
    </row>
    <row r="22" spans="1:10" x14ac:dyDescent="0.3">
      <c r="A22" s="56">
        <v>4.7500000000000001E-2</v>
      </c>
      <c r="B22" s="16">
        <v>18033.811860808979</v>
      </c>
      <c r="C22" s="16">
        <v>13378.708984617346</v>
      </c>
      <c r="D22" s="23">
        <v>11115.046397751037</v>
      </c>
    </row>
    <row r="23" spans="1:10" x14ac:dyDescent="0.3">
      <c r="A23" s="56">
        <v>4.8500000000000001E-2</v>
      </c>
      <c r="B23" s="16">
        <v>18117.420637523737</v>
      </c>
      <c r="C23" s="16">
        <v>13467.632168832646</v>
      </c>
      <c r="D23" s="23">
        <v>11209.198966529702</v>
      </c>
    </row>
    <row r="24" spans="1:10" x14ac:dyDescent="0.3">
      <c r="A24" s="56">
        <v>4.9500000000000002E-2</v>
      </c>
      <c r="B24" s="16">
        <v>18201.261359635242</v>
      </c>
      <c r="C24" s="16">
        <v>13556.893313732222</v>
      </c>
      <c r="D24" s="23">
        <v>11303.784296443504</v>
      </c>
    </row>
    <row r="25" spans="1:10" x14ac:dyDescent="0.3">
      <c r="A25" s="57">
        <v>5.0500000000000003E-2</v>
      </c>
      <c r="B25" s="22">
        <v>18285.333773513947</v>
      </c>
      <c r="C25" s="22">
        <v>13646.491644973348</v>
      </c>
      <c r="D25" s="24">
        <v>11398.800680946428</v>
      </c>
    </row>
    <row r="26" spans="1:10" hidden="1" x14ac:dyDescent="0.3">
      <c r="F26" t="s">
        <v>3</v>
      </c>
      <c r="G26" t="s">
        <v>140</v>
      </c>
      <c r="H26" t="s">
        <v>141</v>
      </c>
      <c r="I26" t="s">
        <v>142</v>
      </c>
      <c r="J26" t="s">
        <v>143</v>
      </c>
    </row>
    <row r="27" spans="1:10" hidden="1" x14ac:dyDescent="0.3">
      <c r="F27" t="s">
        <v>144</v>
      </c>
      <c r="G27" t="s">
        <v>145</v>
      </c>
      <c r="H27" t="s">
        <v>146</v>
      </c>
      <c r="I27" t="s">
        <v>147</v>
      </c>
      <c r="J27" t="s">
        <v>148</v>
      </c>
    </row>
    <row r="28" spans="1:10" hidden="1" x14ac:dyDescent="0.3">
      <c r="F28" t="s">
        <v>149</v>
      </c>
      <c r="G28" t="s">
        <v>150</v>
      </c>
      <c r="H28" t="s">
        <v>151</v>
      </c>
      <c r="I28" t="s">
        <v>152</v>
      </c>
      <c r="J28" t="s">
        <v>153</v>
      </c>
    </row>
    <row r="29" spans="1:10" hidden="1" x14ac:dyDescent="0.3">
      <c r="F29" t="s">
        <v>144</v>
      </c>
      <c r="G29" t="s">
        <v>154</v>
      </c>
      <c r="H29" t="s">
        <v>155</v>
      </c>
      <c r="I29" t="s">
        <v>156</v>
      </c>
      <c r="J29" t="s">
        <v>157</v>
      </c>
    </row>
    <row r="30" spans="1:10" hidden="1" x14ac:dyDescent="0.3">
      <c r="F30" t="s">
        <v>158</v>
      </c>
      <c r="G30" t="s">
        <v>159</v>
      </c>
      <c r="H30" t="s">
        <v>160</v>
      </c>
      <c r="I30" t="s">
        <v>161</v>
      </c>
      <c r="J30" t="s">
        <v>162</v>
      </c>
    </row>
    <row r="31" spans="1:10" hidden="1" x14ac:dyDescent="0.3">
      <c r="F31" t="s">
        <v>149</v>
      </c>
      <c r="G31" t="s">
        <v>163</v>
      </c>
      <c r="H31" t="s">
        <v>164</v>
      </c>
      <c r="I31" t="s">
        <v>165</v>
      </c>
      <c r="J31" t="s">
        <v>166</v>
      </c>
    </row>
    <row r="32" spans="1:10" hidden="1" x14ac:dyDescent="0.3"/>
  </sheetData>
  <mergeCells count="6">
    <mergeCell ref="F13:I13"/>
    <mergeCell ref="A10:D10"/>
    <mergeCell ref="B11:D11"/>
    <mergeCell ref="A1:D1"/>
    <mergeCell ref="A2:D2"/>
    <mergeCell ref="A3:D3"/>
  </mergeCells>
  <dataValidations count="1">
    <dataValidation allowBlank="1" error="pavI8MeUFtEyxX2I4tky1cadfc8c-a7d3-47f5-8078-f48b1600a4b2" sqref="A1:J25" xr:uid="{00000000-0002-0000-0700-000000000000}"/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GradingEngineProps xmlns="http://tempuri.org/temp">
  <UserID>{1cadfc8c-a7d3-47f5-8078-f48b1600a4b2}</UserID>
  <AssignmentID>{1cadfc8c-a7d3-47f5-8078-f48b1600a4b2}</AssignmentID>
</GradingEngineProps>
</file>

<file path=customXml/itemProps1.xml><?xml version="1.0" encoding="utf-8"?>
<ds:datastoreItem xmlns:ds="http://schemas.openxmlformats.org/officeDocument/2006/customXml" ds:itemID="{4B9C7F39-2F0D-449C-9E0B-9238C70B6D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418E45-F075-47B8-A03D-19604199FB95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Documentation</vt:lpstr>
      <vt:lpstr>U.S.</vt:lpstr>
      <vt:lpstr>Canada</vt:lpstr>
      <vt:lpstr>U.K.</vt:lpstr>
      <vt:lpstr>All Locations</vt:lpstr>
      <vt:lpstr>Original Content</vt:lpstr>
      <vt:lpstr>Subtotals</vt:lpstr>
      <vt:lpstr>Expansion Funding</vt:lpstr>
      <vt:lpstr>'Original Content'!Criteria</vt:lpstr>
      <vt:lpstr>Down_Payment</vt:lpstr>
      <vt:lpstr>'Original Content'!Extract</vt:lpstr>
      <vt:lpstr>Loan_Ammount</vt:lpstr>
      <vt:lpstr>Monthly_Payment</vt:lpstr>
      <vt:lpstr>Price</vt:lpstr>
      <vt:lpstr>Rate</vt:lpstr>
      <vt:lpstr>Term_in_Months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2024-10-25T17:02:03Z</dcterms:modified>
</cp:coreProperties>
</file>