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s\RpMMA23\0_data\"/>
    </mc:Choice>
  </mc:AlternateContent>
  <xr:revisionPtr revIDLastSave="0" documentId="13_ncr:1_{033C7AC6-6EC6-4673-A446-005E17819482}" xr6:coauthVersionLast="47" xr6:coauthVersionMax="47" xr10:uidLastSave="{00000000-0000-0000-0000-000000000000}"/>
  <bookViews>
    <workbookView xWindow="-120" yWindow="-120" windowWidth="29040" windowHeight="15720" xr2:uid="{F6C9FB39-371D-4E30-9EF3-436647E1BF95}"/>
    <workbookView minimized="1" xWindow="1080" yWindow="1080" windowWidth="21600" windowHeight="11295" xr2:uid="{C44BAF13-6DFB-469F-B3DD-4A59877D84A2}"/>
  </bookViews>
  <sheets>
    <sheet name="Input Data" sheetId="1" r:id="rId1"/>
    <sheet name="Contribution Margin" sheetId="3" r:id="rId2"/>
    <sheet name="Amortiz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D6" i="3"/>
  <c r="C6" i="3"/>
  <c r="H4" i="3"/>
  <c r="H3" i="3"/>
  <c r="A2" i="1"/>
  <c r="A3" i="1"/>
  <c r="A4" i="1"/>
  <c r="A5" i="1"/>
  <c r="D4" i="3" s="1"/>
  <c r="A6" i="1"/>
  <c r="A7" i="1"/>
  <c r="A8" i="1"/>
  <c r="A9" i="1"/>
  <c r="A10" i="1"/>
  <c r="A11" i="1"/>
  <c r="A12" i="1"/>
  <c r="I3" i="3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3" i="2" l="1"/>
  <c r="I3" i="2" s="1"/>
  <c r="L3" i="2" s="1"/>
  <c r="R3" i="2" s="1"/>
  <c r="D3" i="2"/>
  <c r="J3" i="2" s="1"/>
  <c r="M3" i="2" s="1"/>
  <c r="S3" i="2" s="1"/>
  <c r="C4" i="3"/>
  <c r="B4" i="3" s="1"/>
  <c r="H5" i="3"/>
  <c r="C8" i="3"/>
  <c r="I4" i="3"/>
  <c r="I5" i="3" s="1"/>
  <c r="I6" i="3" s="1"/>
  <c r="C3" i="3"/>
  <c r="D3" i="3"/>
  <c r="D5" i="3" s="1"/>
  <c r="D7" i="3" s="1"/>
  <c r="B3" i="2" l="1"/>
  <c r="E3" i="2" s="1"/>
  <c r="G3" i="2"/>
  <c r="F3" i="2"/>
  <c r="D11" i="2"/>
  <c r="J11" i="2" s="1"/>
  <c r="D8" i="2"/>
  <c r="J8" i="2" s="1"/>
  <c r="D13" i="2"/>
  <c r="J13" i="2" s="1"/>
  <c r="D5" i="2"/>
  <c r="J5" i="2" s="1"/>
  <c r="D10" i="2"/>
  <c r="J10" i="2" s="1"/>
  <c r="D6" i="2"/>
  <c r="J6" i="2" s="1"/>
  <c r="D7" i="2"/>
  <c r="J7" i="2" s="1"/>
  <c r="D12" i="2"/>
  <c r="J12" i="2" s="1"/>
  <c r="D4" i="2"/>
  <c r="J4" i="2" s="1"/>
  <c r="D9" i="2"/>
  <c r="J9" i="2" s="1"/>
  <c r="H6" i="3"/>
  <c r="B6" i="3"/>
  <c r="B3" i="3"/>
  <c r="C5" i="3"/>
  <c r="H3" i="2" l="1"/>
  <c r="K3" i="2" s="1"/>
  <c r="Q3" i="2" s="1"/>
  <c r="B5" i="3"/>
  <c r="C7" i="3"/>
  <c r="P5" i="2"/>
  <c r="G4" i="2"/>
  <c r="G5" i="2" s="1"/>
  <c r="G6" i="2" s="1"/>
  <c r="G7" i="2" s="1"/>
  <c r="G8" i="2" s="1"/>
  <c r="G9" i="2" s="1"/>
  <c r="G10" i="2" s="1"/>
  <c r="G11" i="2" s="1"/>
  <c r="G12" i="2" s="1"/>
  <c r="G13" i="2" s="1"/>
  <c r="P6" i="2"/>
  <c r="M4" i="2"/>
  <c r="S4" i="2" s="1"/>
  <c r="P11" i="2"/>
  <c r="P13" i="2"/>
  <c r="P7" i="2"/>
  <c r="P9" i="2"/>
  <c r="P8" i="2"/>
  <c r="P12" i="2"/>
  <c r="P4" i="2"/>
  <c r="P10" i="2"/>
  <c r="B7" i="3" l="1"/>
  <c r="B9" i="3" s="1"/>
  <c r="B10" i="3" s="1"/>
  <c r="C6" i="2"/>
  <c r="I6" i="2" s="1"/>
  <c r="C11" i="2"/>
  <c r="I11" i="2" s="1"/>
  <c r="C8" i="2"/>
  <c r="I8" i="2" s="1"/>
  <c r="C13" i="2"/>
  <c r="I13" i="2" s="1"/>
  <c r="C5" i="2"/>
  <c r="I5" i="2" s="1"/>
  <c r="C9" i="2"/>
  <c r="I9" i="2" s="1"/>
  <c r="C10" i="2"/>
  <c r="I10" i="2" s="1"/>
  <c r="C7" i="2"/>
  <c r="I7" i="2" s="1"/>
  <c r="C12" i="2"/>
  <c r="I12" i="2" s="1"/>
  <c r="C4" i="2"/>
  <c r="I4" i="2" s="1"/>
  <c r="L4" i="2" s="1"/>
  <c r="R4" i="2" s="1"/>
  <c r="M5" i="2"/>
  <c r="O4" i="2" l="1"/>
  <c r="O7" i="2"/>
  <c r="O9" i="2"/>
  <c r="F4" i="2"/>
  <c r="F5" i="2" s="1"/>
  <c r="F6" i="2" s="1"/>
  <c r="F7" i="2" s="1"/>
  <c r="F8" i="2" s="1"/>
  <c r="F9" i="2" s="1"/>
  <c r="F10" i="2" s="1"/>
  <c r="F11" i="2" s="1"/>
  <c r="F12" i="2" s="1"/>
  <c r="F13" i="2" s="1"/>
  <c r="C9" i="3"/>
  <c r="O8" i="2"/>
  <c r="O5" i="2"/>
  <c r="O13" i="2"/>
  <c r="O12" i="2"/>
  <c r="O6" i="2"/>
  <c r="M6" i="2"/>
  <c r="S5" i="2"/>
  <c r="O11" i="2"/>
  <c r="O10" i="2"/>
  <c r="B9" i="2"/>
  <c r="H9" i="2" s="1"/>
  <c r="B6" i="2"/>
  <c r="H6" i="2" s="1"/>
  <c r="B11" i="2"/>
  <c r="H11" i="2" s="1"/>
  <c r="B8" i="2"/>
  <c r="H8" i="2" s="1"/>
  <c r="B12" i="2"/>
  <c r="H12" i="2" s="1"/>
  <c r="B4" i="2"/>
  <c r="H4" i="2" s="1"/>
  <c r="K4" i="2" s="1"/>
  <c r="Q4" i="2" s="1"/>
  <c r="B13" i="2"/>
  <c r="H13" i="2" s="1"/>
  <c r="B5" i="2"/>
  <c r="H5" i="2" s="1"/>
  <c r="B10" i="2"/>
  <c r="H10" i="2" s="1"/>
  <c r="B7" i="2"/>
  <c r="H7" i="2" s="1"/>
  <c r="L5" i="2"/>
  <c r="N9" i="2" l="1"/>
  <c r="N11" i="2"/>
  <c r="N8" i="2"/>
  <c r="N10" i="2"/>
  <c r="N4" i="2"/>
  <c r="N6" i="2"/>
  <c r="M7" i="2"/>
  <c r="N13" i="2"/>
  <c r="E4" i="2"/>
  <c r="E5" i="2" s="1"/>
  <c r="E6" i="2" s="1"/>
  <c r="E7" i="2" s="1"/>
  <c r="E8" i="2" s="1"/>
  <c r="E9" i="2" s="1"/>
  <c r="E10" i="2" s="1"/>
  <c r="E11" i="2" s="1"/>
  <c r="E12" i="2" s="1"/>
  <c r="E13" i="2" s="1"/>
  <c r="N7" i="2"/>
  <c r="L6" i="2"/>
  <c r="R5" i="2"/>
  <c r="N12" i="2"/>
  <c r="N5" i="2"/>
  <c r="K5" i="2"/>
  <c r="L7" i="2" l="1"/>
  <c r="R6" i="2"/>
  <c r="K6" i="2"/>
  <c r="Q5" i="2"/>
  <c r="M8" i="2"/>
  <c r="S7" i="2"/>
  <c r="K7" i="2" l="1"/>
  <c r="Q6" i="2"/>
  <c r="M9" i="2"/>
  <c r="S8" i="2"/>
  <c r="L8" i="2"/>
  <c r="R7" i="2"/>
  <c r="L9" i="2" l="1"/>
  <c r="R8" i="2"/>
  <c r="M10" i="2"/>
  <c r="S9" i="2"/>
  <c r="K8" i="2"/>
  <c r="Q7" i="2"/>
  <c r="K9" i="2" l="1"/>
  <c r="M11" i="2"/>
  <c r="S10" i="2"/>
  <c r="L10" i="2"/>
  <c r="R9" i="2"/>
  <c r="L11" i="2" l="1"/>
  <c r="M12" i="2"/>
  <c r="S11" i="2"/>
  <c r="K10" i="2"/>
  <c r="K11" i="2" l="1"/>
  <c r="M13" i="2"/>
  <c r="S12" i="2"/>
  <c r="L12" i="2"/>
  <c r="S13" i="2" l="1"/>
  <c r="S6" i="2"/>
  <c r="L13" i="2"/>
  <c r="R12" i="2"/>
  <c r="R10" i="2"/>
  <c r="K12" i="2"/>
  <c r="Q11" i="2"/>
  <c r="R13" i="2" l="1"/>
  <c r="R11" i="2"/>
  <c r="K13" i="2"/>
  <c r="Q10" i="2" s="1"/>
  <c r="Q12" i="2"/>
  <c r="Q8" i="2" l="1"/>
  <c r="Q13" i="2"/>
  <c r="Q9" i="2"/>
</calcChain>
</file>

<file path=xl/sharedStrings.xml><?xml version="1.0" encoding="utf-8"?>
<sst xmlns="http://schemas.openxmlformats.org/spreadsheetml/2006/main" count="99" uniqueCount="44">
  <si>
    <t>Rahmen</t>
  </si>
  <si>
    <t>Reifen</t>
  </si>
  <si>
    <t>Zahnrad</t>
  </si>
  <si>
    <t>Lenker</t>
  </si>
  <si>
    <t>Variable</t>
  </si>
  <si>
    <t>Position</t>
  </si>
  <si>
    <t>Machine</t>
  </si>
  <si>
    <t>Product</t>
  </si>
  <si>
    <t xml:space="preserve">Company </t>
  </si>
  <si>
    <t>Revenues</t>
  </si>
  <si>
    <t>Varaible Cost</t>
  </si>
  <si>
    <t>Contribution Margin I</t>
  </si>
  <si>
    <t>Product Fix Cost</t>
  </si>
  <si>
    <t>Company Fix Cost</t>
  </si>
  <si>
    <t>Profit</t>
  </si>
  <si>
    <t>Price</t>
  </si>
  <si>
    <t>Contribution Margin - Multi Stage</t>
  </si>
  <si>
    <t>Year</t>
  </si>
  <si>
    <t>HCB</t>
  </si>
  <si>
    <t>MCB</t>
  </si>
  <si>
    <t>Cumulative Cash Flows</t>
  </si>
  <si>
    <t>Periodic Cash Flows</t>
  </si>
  <si>
    <t>Discounted Periodic Cash Flows</t>
  </si>
  <si>
    <t>Discounted Cumulative Cash Flows</t>
  </si>
  <si>
    <t>Break-Even</t>
  </si>
  <si>
    <t>Contribution Margin II</t>
  </si>
  <si>
    <t>Sales Margin</t>
  </si>
  <si>
    <t>Internal Rate of Return</t>
  </si>
  <si>
    <t>Investment</t>
  </si>
  <si>
    <t>ALL</t>
  </si>
  <si>
    <t>Volume</t>
  </si>
  <si>
    <t>Return</t>
  </si>
  <si>
    <t>Min</t>
  </si>
  <si>
    <t>Max</t>
  </si>
  <si>
    <t>Distribution</t>
  </si>
  <si>
    <t>Type</t>
  </si>
  <si>
    <t>Key</t>
  </si>
  <si>
    <t>Unit Contribution Margin</t>
  </si>
  <si>
    <t>Variable Cost</t>
  </si>
  <si>
    <t>Contribution Margin</t>
  </si>
  <si>
    <t>Helper Column</t>
  </si>
  <si>
    <t>EUR</t>
  </si>
  <si>
    <t>FixProduct</t>
  </si>
  <si>
    <t>FixCompany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</si>
</sst>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7" formatCode="#,##0.00_ &quot;EUR&quot;\ ;[Red]\-#,##0.00\ &quot;EUR&quot;"/>
    <numFmt numFmtId="173" formatCode="#,##0_ &quot;Bikes(s)&quot;\ ;[Red]\-#,##0\ &quot;Bikes(s)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3" fontId="0" fillId="0" borderId="0" xfId="0" applyNumberForma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10" xfId="0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numFmt numFmtId="0" formatCode="General"/>
      <alignment horizontal="center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Amortization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Amortization!$Q$3:$Q$13</c:f>
              <c:numCache>
                <c:formatCode>#,##0.00_ ;[Red]\-#,##0.00\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1-4DF4-BFA9-AE464BA1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722304"/>
        <c:axId val="1871731456"/>
      </c:barChart>
      <c:lineChart>
        <c:grouping val="stacked"/>
        <c:varyColors val="0"/>
        <c:ser>
          <c:idx val="0"/>
          <c:order val="0"/>
          <c:tx>
            <c:v>Company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Amortization!$A$3:$A$13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Amortization!$K$3:$K$13</c:f>
              <c:numCache>
                <c:formatCode>#,##0.00_ ;[Red]\-#,##0.00\ </c:formatCode>
                <c:ptCount val="11"/>
                <c:pt idx="0">
                  <c:v>-400000</c:v>
                </c:pt>
                <c:pt idx="1">
                  <c:v>-323148.14814814815</c:v>
                </c:pt>
                <c:pt idx="2">
                  <c:v>-251989.02606310014</c:v>
                </c:pt>
                <c:pt idx="3">
                  <c:v>-186100.95005842607</c:v>
                </c:pt>
                <c:pt idx="4">
                  <c:v>-125093.47227632045</c:v>
                </c:pt>
                <c:pt idx="5">
                  <c:v>-68605.066922518949</c:v>
                </c:pt>
                <c:pt idx="6">
                  <c:v>-16300.987891221273</c:v>
                </c:pt>
                <c:pt idx="7">
                  <c:v>32128.714915535835</c:v>
                </c:pt>
                <c:pt idx="8">
                  <c:v>76971.032329199821</c:v>
                </c:pt>
                <c:pt idx="9">
                  <c:v>118491.69660111092</c:v>
                </c:pt>
                <c:pt idx="10">
                  <c:v>156936.7561121397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1-4DF4-BFA9-AE464BA1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722304"/>
        <c:axId val="1871731456"/>
      </c:lineChart>
      <c:catAx>
        <c:axId val="1871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731456"/>
        <c:crosses val="autoZero"/>
        <c:auto val="1"/>
        <c:lblAlgn val="ctr"/>
        <c:lblOffset val="100"/>
        <c:noMultiLvlLbl val="0"/>
      </c:catAx>
      <c:valAx>
        <c:axId val="1871731456"/>
        <c:scaling>
          <c:orientation val="minMax"/>
        </c:scaling>
        <c:delete val="0"/>
        <c:axPos val="l"/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7223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Amortization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Amortization!$R$3:$R$13</c:f>
              <c:numCache>
                <c:formatCode>#,##0.00_ ;[Red]\-#,##0.00\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1-438D-A91A-B47DEE74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722304"/>
        <c:axId val="1871731456"/>
      </c:barChart>
      <c:lineChart>
        <c:grouping val="stacked"/>
        <c:varyColors val="0"/>
        <c:ser>
          <c:idx val="0"/>
          <c:order val="0"/>
          <c:tx>
            <c:v>HCB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Amortization!$A$3:$A$13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Amortization!$L$3:$L$13</c:f>
              <c:numCache>
                <c:formatCode>#,##0.00_ ;[Red]\-#,##0.00\ </c:formatCode>
                <c:ptCount val="11"/>
                <c:pt idx="0">
                  <c:v>-250000</c:v>
                </c:pt>
                <c:pt idx="1">
                  <c:v>-214814.81481481483</c:v>
                </c:pt>
                <c:pt idx="2">
                  <c:v>-182235.93964334708</c:v>
                </c:pt>
                <c:pt idx="3">
                  <c:v>-152070.31448458065</c:v>
                </c:pt>
                <c:pt idx="4">
                  <c:v>-124139.18007831543</c:v>
                </c:pt>
                <c:pt idx="5">
                  <c:v>-98277.018591032815</c:v>
                </c:pt>
                <c:pt idx="6">
                  <c:v>-74330.572769474849</c:v>
                </c:pt>
                <c:pt idx="7">
                  <c:v>-52157.93774951376</c:v>
                </c:pt>
                <c:pt idx="8">
                  <c:v>-31627.720138438679</c:v>
                </c:pt>
                <c:pt idx="9">
                  <c:v>-12618.259387443235</c:v>
                </c:pt>
                <c:pt idx="10">
                  <c:v>4983.0931597747658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1-438D-A91A-B47DEE74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722304"/>
        <c:axId val="1871731456"/>
      </c:lineChart>
      <c:catAx>
        <c:axId val="1871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731456"/>
        <c:crosses val="autoZero"/>
        <c:auto val="1"/>
        <c:lblAlgn val="ctr"/>
        <c:lblOffset val="100"/>
        <c:noMultiLvlLbl val="0"/>
      </c:catAx>
      <c:valAx>
        <c:axId val="1871731456"/>
        <c:scaling>
          <c:orientation val="minMax"/>
        </c:scaling>
        <c:delete val="0"/>
        <c:axPos val="l"/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7223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Amortization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Amortization!$S$3:$S$13</c:f>
              <c:numCache>
                <c:formatCode>#,##0.00_ ;[Red]\-#,##0.00\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-150000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0-41CE-AFEA-5D5EF7B4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722304"/>
        <c:axId val="1871731456"/>
      </c:barChart>
      <c:lineChart>
        <c:grouping val="stacked"/>
        <c:varyColors val="0"/>
        <c:ser>
          <c:idx val="0"/>
          <c:order val="0"/>
          <c:tx>
            <c:v>MCB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Amortization!$A$3:$A$13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Amortization!$M$3:$M$13</c:f>
              <c:numCache>
                <c:formatCode>#,##0.00_ ;[Red]\-#,##0.00\ </c:formatCode>
                <c:ptCount val="11"/>
                <c:pt idx="0">
                  <c:v>-150000</c:v>
                </c:pt>
                <c:pt idx="1">
                  <c:v>-94444.444444444438</c:v>
                </c:pt>
                <c:pt idx="2">
                  <c:v>-43004.115226337446</c:v>
                </c:pt>
                <c:pt idx="3">
                  <c:v>4625.8192348727316</c:v>
                </c:pt>
                <c:pt idx="4">
                  <c:v>48727.610402659928</c:v>
                </c:pt>
                <c:pt idx="5">
                  <c:v>89562.602224685106</c:v>
                </c:pt>
                <c:pt idx="6">
                  <c:v>127372.77983767138</c:v>
                </c:pt>
                <c:pt idx="7">
                  <c:v>162382.20355339942</c:v>
                </c:pt>
                <c:pt idx="8">
                  <c:v>194798.33662351797</c:v>
                </c:pt>
                <c:pt idx="9">
                  <c:v>224813.27465140552</c:v>
                </c:pt>
                <c:pt idx="10">
                  <c:v>252604.88393648659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0-41CE-AFEA-5D5EF7B4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722304"/>
        <c:axId val="1871731456"/>
      </c:lineChart>
      <c:catAx>
        <c:axId val="1871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731456"/>
        <c:crosses val="autoZero"/>
        <c:auto val="1"/>
        <c:lblAlgn val="ctr"/>
        <c:lblOffset val="100"/>
        <c:noMultiLvlLbl val="0"/>
      </c:catAx>
      <c:valAx>
        <c:axId val="1871731456"/>
        <c:scaling>
          <c:orientation val="minMax"/>
        </c:scaling>
        <c:delete val="0"/>
        <c:axPos val="l"/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7223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85725</xdr:rowOff>
    </xdr:from>
    <xdr:to>
      <xdr:col>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1991C-1E70-4CA6-8509-DE61A891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85725</xdr:rowOff>
    </xdr:from>
    <xdr:to>
      <xdr:col>13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14A10-86CE-455F-B6CE-6E4994BB5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85725</xdr:rowOff>
    </xdr:from>
    <xdr:to>
      <xdr:col>20</xdr:col>
      <xdr:colOff>190500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5254A-3B35-4CA7-A749-5C490B6D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1365-A8E8-41CB-8B6F-4A72840AE447}" name="var" displayName="var" ref="A1:H25" totalsRowShown="0" headerRowDxfId="5" dataDxfId="4">
  <autoFilter ref="A1:H25" xr:uid="{58441365-A8E8-41CB-8B6F-4A72840AE447}"/>
  <tableColumns count="8">
    <tableColumn id="8" xr3:uid="{0D59BCAD-95AB-4D46-A82E-9A69CFB9FA1D}" name="Key" dataDxfId="0">
      <calculatedColumnFormula>var[[#This Row],[Type]]&amp;"-"&amp;var[[#This Row],[Product]]</calculatedColumnFormula>
    </tableColumn>
    <tableColumn id="4" xr3:uid="{4330EF0E-3475-40FA-AAA9-06F7B553BD89}" name="Type" dataDxfId="9"/>
    <tableColumn id="1" xr3:uid="{35C9CE03-749C-4316-AAF7-36F730B96885}" name="Position" dataDxfId="8"/>
    <tableColumn id="5" xr3:uid="{5E46E072-7A93-4B14-824A-1668E2C9CF47}" name="Product" dataDxfId="3"/>
    <tableColumn id="2" xr3:uid="{4B66E871-7431-46BC-9A65-33CA571FDD07}" name="EUR" dataDxfId="1"/>
    <tableColumn id="3" xr3:uid="{FC7F451F-6575-47C2-9D34-D96B028EDA83}" name="Min" dataDxfId="2"/>
    <tableColumn id="6" xr3:uid="{DBA6AD74-D7BE-4246-B4E3-223D224DCFA1}" name="Max" dataDxfId="7"/>
    <tableColumn id="7" xr3:uid="{20162E6E-93E8-4FA6-ADB5-5BF300556BCC}" name="Distribution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63-9402-43A9-867D-56345EBDDD57}">
  <dimension ref="A1:O25"/>
  <sheetViews>
    <sheetView tabSelected="1" workbookViewId="0">
      <selection activeCell="F8" sqref="F8"/>
    </sheetView>
    <sheetView tabSelected="1" workbookViewId="1">
      <selection activeCell="M6" activeCellId="1" sqref="E2 M6"/>
    </sheetView>
  </sheetViews>
  <sheetFormatPr defaultRowHeight="24.95" customHeight="1" x14ac:dyDescent="0.25"/>
  <cols>
    <col min="1" max="1" width="16.42578125" style="13" bestFit="1" customWidth="1"/>
    <col min="2" max="3" width="15" style="13" customWidth="1"/>
    <col min="4" max="4" width="16.5703125" style="38" bestFit="1" customWidth="1"/>
    <col min="5" max="6" width="14.85546875" style="13" bestFit="1" customWidth="1"/>
    <col min="7" max="7" width="17.85546875" style="14" bestFit="1" customWidth="1"/>
    <col min="8" max="8" width="16.140625" style="14" bestFit="1" customWidth="1"/>
    <col min="9" max="9" width="9" style="14" customWidth="1"/>
    <col min="10" max="11" width="9.140625" style="14"/>
    <col min="16" max="16384" width="9.140625" style="14"/>
  </cols>
  <sheetData>
    <row r="1" spans="1:8" ht="24.95" customHeight="1" x14ac:dyDescent="0.25">
      <c r="A1" s="13" t="s">
        <v>36</v>
      </c>
      <c r="B1" s="13" t="s">
        <v>35</v>
      </c>
      <c r="C1" s="13" t="s">
        <v>5</v>
      </c>
      <c r="D1" s="13" t="s">
        <v>7</v>
      </c>
      <c r="E1" s="13" t="s">
        <v>41</v>
      </c>
      <c r="F1" s="13" t="s">
        <v>32</v>
      </c>
      <c r="G1" s="13" t="s">
        <v>33</v>
      </c>
      <c r="H1" s="13" t="s">
        <v>34</v>
      </c>
    </row>
    <row r="2" spans="1:8" ht="24.95" customHeight="1" x14ac:dyDescent="0.25">
      <c r="A2" s="13" t="str">
        <f>var[[#This Row],[Type]]&amp;"-"&amp;var[[#This Row],[Product]]</f>
        <v>Variable-HCB</v>
      </c>
      <c r="B2" s="13" t="s">
        <v>4</v>
      </c>
      <c r="C2" s="13" t="s">
        <v>0</v>
      </c>
      <c r="D2" s="13" t="s">
        <v>18</v>
      </c>
      <c r="E2" s="39">
        <v>-300</v>
      </c>
      <c r="F2" s="39">
        <v>-250</v>
      </c>
      <c r="G2" s="39">
        <v>-350</v>
      </c>
      <c r="H2" s="13"/>
    </row>
    <row r="3" spans="1:8" ht="24.95" customHeight="1" x14ac:dyDescent="0.25">
      <c r="A3" s="13" t="str">
        <f>var[[#This Row],[Type]]&amp;"-"&amp;var[[#This Row],[Product]]</f>
        <v>Variable-HCB</v>
      </c>
      <c r="B3" s="13" t="s">
        <v>4</v>
      </c>
      <c r="C3" s="13" t="s">
        <v>1</v>
      </c>
      <c r="D3" s="13" t="s">
        <v>18</v>
      </c>
      <c r="E3" s="39">
        <v>-50</v>
      </c>
      <c r="F3" s="39">
        <v>-40</v>
      </c>
      <c r="G3" s="39">
        <v>-100</v>
      </c>
      <c r="H3" s="13"/>
    </row>
    <row r="4" spans="1:8" ht="24.95" customHeight="1" x14ac:dyDescent="0.25">
      <c r="A4" s="13" t="str">
        <f>var[[#This Row],[Type]]&amp;"-"&amp;var[[#This Row],[Product]]</f>
        <v>Variable-HCB</v>
      </c>
      <c r="B4" s="13" t="s">
        <v>4</v>
      </c>
      <c r="C4" s="13" t="s">
        <v>2</v>
      </c>
      <c r="D4" s="13" t="s">
        <v>18</v>
      </c>
      <c r="E4" s="39">
        <v>-150</v>
      </c>
      <c r="F4" s="39">
        <v>-120</v>
      </c>
      <c r="G4" s="39">
        <v>-175</v>
      </c>
      <c r="H4" s="13"/>
    </row>
    <row r="5" spans="1:8" ht="24.95" customHeight="1" x14ac:dyDescent="0.25">
      <c r="A5" s="13" t="str">
        <f>var[[#This Row],[Type]]&amp;"-"&amp;var[[#This Row],[Product]]</f>
        <v>Variable-HCB</v>
      </c>
      <c r="B5" s="13" t="s">
        <v>4</v>
      </c>
      <c r="C5" s="13" t="s">
        <v>3</v>
      </c>
      <c r="D5" s="13" t="s">
        <v>18</v>
      </c>
      <c r="E5" s="39">
        <v>-100</v>
      </c>
      <c r="F5" s="39">
        <v>-80</v>
      </c>
      <c r="G5" s="39">
        <v>-120</v>
      </c>
      <c r="H5" s="13"/>
    </row>
    <row r="6" spans="1:8" ht="24.95" customHeight="1" x14ac:dyDescent="0.25">
      <c r="A6" s="13" t="str">
        <f>var[[#This Row],[Type]]&amp;"-"&amp;var[[#This Row],[Product]]</f>
        <v>Variable-MCB</v>
      </c>
      <c r="B6" s="13" t="s">
        <v>4</v>
      </c>
      <c r="C6" s="13" t="s">
        <v>0</v>
      </c>
      <c r="D6" s="13" t="s">
        <v>19</v>
      </c>
      <c r="E6" s="39">
        <v>-150</v>
      </c>
      <c r="F6" s="39">
        <v>-125</v>
      </c>
      <c r="G6" s="39">
        <v>-178</v>
      </c>
      <c r="H6" s="13"/>
    </row>
    <row r="7" spans="1:8" ht="24.95" customHeight="1" x14ac:dyDescent="0.25">
      <c r="A7" s="13" t="str">
        <f>var[[#This Row],[Type]]&amp;"-"&amp;var[[#This Row],[Product]]</f>
        <v>Variable-MCB</v>
      </c>
      <c r="B7" s="13" t="s">
        <v>4</v>
      </c>
      <c r="C7" s="13" t="s">
        <v>1</v>
      </c>
      <c r="D7" s="13" t="s">
        <v>19</v>
      </c>
      <c r="E7" s="39">
        <v>-20</v>
      </c>
      <c r="F7" s="39">
        <v>-15</v>
      </c>
      <c r="G7" s="39">
        <v>-50</v>
      </c>
      <c r="H7" s="13"/>
    </row>
    <row r="8" spans="1:8" ht="24.95" customHeight="1" x14ac:dyDescent="0.25">
      <c r="A8" s="13" t="str">
        <f>var[[#This Row],[Type]]&amp;"-"&amp;var[[#This Row],[Product]]</f>
        <v>Variable-MCB</v>
      </c>
      <c r="B8" s="13" t="s">
        <v>4</v>
      </c>
      <c r="C8" s="13" t="s">
        <v>2</v>
      </c>
      <c r="D8" s="13" t="s">
        <v>19</v>
      </c>
      <c r="E8" s="39">
        <v>-100</v>
      </c>
      <c r="F8" s="39">
        <v>-80</v>
      </c>
      <c r="G8" s="39">
        <v>-150</v>
      </c>
      <c r="H8" s="13"/>
    </row>
    <row r="9" spans="1:8" ht="24.95" customHeight="1" x14ac:dyDescent="0.25">
      <c r="A9" s="13" t="str">
        <f>var[[#This Row],[Type]]&amp;"-"&amp;var[[#This Row],[Product]]</f>
        <v>Variable-MCB</v>
      </c>
      <c r="B9" s="13" t="s">
        <v>4</v>
      </c>
      <c r="C9" s="13" t="s">
        <v>3</v>
      </c>
      <c r="D9" s="13" t="s">
        <v>19</v>
      </c>
      <c r="E9" s="39">
        <v>-50</v>
      </c>
      <c r="F9" s="39">
        <v>-15</v>
      </c>
      <c r="G9" s="39">
        <v>-100</v>
      </c>
      <c r="H9" s="13"/>
    </row>
    <row r="10" spans="1:8" ht="15" x14ac:dyDescent="0.25">
      <c r="A10" s="13" t="str">
        <f>var[[#This Row],[Type]]&amp;"-"&amp;var[[#This Row],[Product]]</f>
        <v>-</v>
      </c>
      <c r="D10" s="13"/>
      <c r="E10" s="39"/>
      <c r="F10" s="39"/>
      <c r="G10" s="39"/>
      <c r="H10" s="13"/>
    </row>
    <row r="11" spans="1:8" ht="24.95" customHeight="1" x14ac:dyDescent="0.25">
      <c r="A11" s="13" t="str">
        <f>var[[#This Row],[Type]]&amp;"-"&amp;var[[#This Row],[Product]]</f>
        <v>FixProduct-HCB</v>
      </c>
      <c r="B11" s="13" t="s">
        <v>42</v>
      </c>
      <c r="C11" s="13" t="s">
        <v>6</v>
      </c>
      <c r="D11" s="13" t="s">
        <v>18</v>
      </c>
      <c r="E11" s="39">
        <v>-10000</v>
      </c>
      <c r="F11" s="39">
        <v>-8000</v>
      </c>
      <c r="G11" s="39">
        <v>-15000</v>
      </c>
      <c r="H11" s="13"/>
    </row>
    <row r="12" spans="1:8" ht="24.95" customHeight="1" x14ac:dyDescent="0.25">
      <c r="A12" s="13" t="str">
        <f>var[[#This Row],[Type]]&amp;"-"&amp;var[[#This Row],[Product]]</f>
        <v>FixProduct-MCB</v>
      </c>
      <c r="B12" s="13" t="s">
        <v>42</v>
      </c>
      <c r="C12" s="13" t="s">
        <v>6</v>
      </c>
      <c r="D12" s="13" t="s">
        <v>19</v>
      </c>
      <c r="E12" s="39">
        <v>-5000</v>
      </c>
      <c r="F12" s="39">
        <v>-2000</v>
      </c>
      <c r="G12" s="39">
        <v>-15000</v>
      </c>
      <c r="H12" s="13"/>
    </row>
    <row r="13" spans="1:8" ht="15" x14ac:dyDescent="0.25">
      <c r="A13" s="13" t="str">
        <f>var[[#This Row],[Type]]&amp;"-"&amp;var[[#This Row],[Product]]</f>
        <v>-</v>
      </c>
      <c r="D13" s="13"/>
      <c r="E13" s="39"/>
      <c r="F13" s="39"/>
      <c r="G13" s="39"/>
      <c r="H13" s="13"/>
    </row>
    <row r="14" spans="1:8" ht="24.95" customHeight="1" x14ac:dyDescent="0.25">
      <c r="A14" s="13" t="str">
        <f>var[[#This Row],[Type]]&amp;"-"&amp;var[[#This Row],[Product]]</f>
        <v>FixCompany-ALL</v>
      </c>
      <c r="B14" s="13" t="s">
        <v>43</v>
      </c>
      <c r="D14" s="13" t="s">
        <v>29</v>
      </c>
      <c r="E14" s="39">
        <v>-15000</v>
      </c>
      <c r="F14" s="39">
        <v>-15000</v>
      </c>
      <c r="G14" s="39">
        <v>-15000</v>
      </c>
      <c r="H14" s="13"/>
    </row>
    <row r="15" spans="1:8" ht="15" x14ac:dyDescent="0.25">
      <c r="A15" s="13" t="str">
        <f>var[[#This Row],[Type]]&amp;"-"&amp;var[[#This Row],[Product]]</f>
        <v>-</v>
      </c>
      <c r="D15" s="13"/>
      <c r="E15" s="39"/>
      <c r="F15" s="39"/>
      <c r="G15" s="39"/>
      <c r="H15" s="13"/>
    </row>
    <row r="16" spans="1:8" ht="24.95" customHeight="1" x14ac:dyDescent="0.25">
      <c r="A16" s="13" t="str">
        <f>var[[#This Row],[Type]]&amp;"-"&amp;var[[#This Row],[Product]]</f>
        <v>Investment-HCB</v>
      </c>
      <c r="B16" s="13" t="s">
        <v>28</v>
      </c>
      <c r="D16" s="13" t="s">
        <v>18</v>
      </c>
      <c r="E16" s="39">
        <v>-250000</v>
      </c>
      <c r="F16" s="39">
        <v>-200000</v>
      </c>
      <c r="G16" s="39">
        <v>-450000</v>
      </c>
      <c r="H16" s="13"/>
    </row>
    <row r="17" spans="1:8" ht="24.95" customHeight="1" x14ac:dyDescent="0.25">
      <c r="A17" s="13" t="str">
        <f>var[[#This Row],[Type]]&amp;"-"&amp;var[[#This Row],[Product]]</f>
        <v>Investment-MCB</v>
      </c>
      <c r="B17" s="13" t="s">
        <v>28</v>
      </c>
      <c r="D17" s="13" t="s">
        <v>19</v>
      </c>
      <c r="E17" s="39">
        <v>-150000</v>
      </c>
      <c r="F17" s="39">
        <v>-100000</v>
      </c>
      <c r="G17" s="39">
        <v>-400000</v>
      </c>
      <c r="H17" s="13"/>
    </row>
    <row r="18" spans="1:8" ht="15" x14ac:dyDescent="0.25">
      <c r="A18" s="13" t="str">
        <f>var[[#This Row],[Type]]&amp;"-"&amp;var[[#This Row],[Product]]</f>
        <v>-</v>
      </c>
      <c r="D18" s="13"/>
      <c r="E18" s="39"/>
      <c r="G18" s="13"/>
      <c r="H18" s="13"/>
    </row>
    <row r="19" spans="1:8" ht="24.95" customHeight="1" x14ac:dyDescent="0.25">
      <c r="A19" s="13" t="str">
        <f>var[[#This Row],[Type]]&amp;"-"&amp;var[[#This Row],[Product]]</f>
        <v>Volume-HCB</v>
      </c>
      <c r="B19" s="13" t="s">
        <v>30</v>
      </c>
      <c r="D19" s="13" t="s">
        <v>18</v>
      </c>
      <c r="E19" s="40">
        <v>400</v>
      </c>
      <c r="F19" s="40">
        <v>100</v>
      </c>
      <c r="G19" s="40">
        <v>1000</v>
      </c>
      <c r="H19" s="13"/>
    </row>
    <row r="20" spans="1:8" ht="24.95" customHeight="1" x14ac:dyDescent="0.25">
      <c r="A20" s="13" t="str">
        <f>var[[#This Row],[Type]]&amp;"-"&amp;var[[#This Row],[Product]]</f>
        <v>Volume-MCB</v>
      </c>
      <c r="B20" s="13" t="s">
        <v>30</v>
      </c>
      <c r="D20" s="13" t="s">
        <v>19</v>
      </c>
      <c r="E20" s="40">
        <v>500</v>
      </c>
      <c r="F20" s="40">
        <v>100</v>
      </c>
      <c r="G20" s="40">
        <v>2500</v>
      </c>
      <c r="H20" s="13"/>
    </row>
    <row r="21" spans="1:8" ht="15" x14ac:dyDescent="0.25">
      <c r="A21" s="13" t="str">
        <f>var[[#This Row],[Type]]&amp;"-"&amp;var[[#This Row],[Product]]</f>
        <v>-</v>
      </c>
      <c r="D21" s="13"/>
      <c r="E21" s="40"/>
      <c r="F21" s="40"/>
      <c r="G21" s="40"/>
      <c r="H21" s="13"/>
    </row>
    <row r="22" spans="1:8" ht="24.95" customHeight="1" x14ac:dyDescent="0.25">
      <c r="A22" s="13" t="str">
        <f>var[[#This Row],[Type]]&amp;"-"&amp;var[[#This Row],[Product]]</f>
        <v>Price-HCB</v>
      </c>
      <c r="B22" s="13" t="s">
        <v>15</v>
      </c>
      <c r="D22" s="13" t="s">
        <v>18</v>
      </c>
      <c r="E22" s="39">
        <v>720</v>
      </c>
      <c r="F22" s="39">
        <v>400</v>
      </c>
      <c r="G22" s="39">
        <v>1000</v>
      </c>
      <c r="H22" s="13"/>
    </row>
    <row r="23" spans="1:8" ht="24.95" customHeight="1" x14ac:dyDescent="0.25">
      <c r="A23" s="13" t="str">
        <f>var[[#This Row],[Type]]&amp;"-"&amp;var[[#This Row],[Product]]</f>
        <v>Price-MCB</v>
      </c>
      <c r="B23" s="13" t="s">
        <v>15</v>
      </c>
      <c r="D23" s="13" t="s">
        <v>19</v>
      </c>
      <c r="E23" s="39">
        <v>450</v>
      </c>
      <c r="F23" s="39">
        <v>300</v>
      </c>
      <c r="G23" s="39">
        <v>700</v>
      </c>
      <c r="H23" s="13"/>
    </row>
    <row r="24" spans="1:8" ht="24.95" customHeight="1" x14ac:dyDescent="0.25">
      <c r="A24" s="13" t="str">
        <f>var[[#This Row],[Type]]&amp;"-"&amp;var[[#This Row],[Product]]</f>
        <v>-</v>
      </c>
      <c r="D24" s="13"/>
      <c r="E24" s="39"/>
      <c r="F24" s="39"/>
      <c r="G24" s="39"/>
      <c r="H24" s="13"/>
    </row>
    <row r="25" spans="1:8" ht="24.95" customHeight="1" x14ac:dyDescent="0.25">
      <c r="A25" s="13" t="str">
        <f>var[[#This Row],[Type]]&amp;"-"&amp;var[[#This Row],[Product]]</f>
        <v>Return-ALL</v>
      </c>
      <c r="B25" s="13" t="s">
        <v>31</v>
      </c>
      <c r="D25" s="13" t="s">
        <v>29</v>
      </c>
      <c r="E25" s="41">
        <v>0.08</v>
      </c>
      <c r="F25" s="41"/>
      <c r="G25" s="41"/>
      <c r="H25" s="13"/>
    </row>
  </sheetData>
  <phoneticPr fontId="3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7D5F-2011-4ACD-A2CE-E8DE77C9BDFD}">
  <dimension ref="A1:I11"/>
  <sheetViews>
    <sheetView workbookViewId="0">
      <selection activeCell="F12" sqref="F12"/>
    </sheetView>
    <sheetView workbookViewId="1">
      <selection sqref="A1:D1"/>
    </sheetView>
  </sheetViews>
  <sheetFormatPr defaultRowHeight="24.95" customHeight="1" x14ac:dyDescent="0.25"/>
  <cols>
    <col min="1" max="1" width="31.42578125" style="14" bestFit="1" customWidth="1"/>
    <col min="2" max="4" width="11.28515625" style="14" bestFit="1" customWidth="1"/>
    <col min="5" max="5" width="9" customWidth="1"/>
    <col min="6" max="6" width="19.28515625" bestFit="1" customWidth="1"/>
    <col min="8" max="9" width="7.7109375" bestFit="1" customWidth="1"/>
  </cols>
  <sheetData>
    <row r="1" spans="1:9" ht="24.95" customHeight="1" x14ac:dyDescent="0.25">
      <c r="A1" s="32" t="s">
        <v>16</v>
      </c>
      <c r="B1" s="33"/>
      <c r="C1" s="33"/>
      <c r="D1" s="34"/>
      <c r="F1" s="32" t="s">
        <v>37</v>
      </c>
      <c r="G1" s="33"/>
      <c r="H1" s="33"/>
      <c r="I1" s="34"/>
    </row>
    <row r="2" spans="1:9" ht="24.95" customHeight="1" x14ac:dyDescent="0.25">
      <c r="A2" s="7" t="s">
        <v>16</v>
      </c>
      <c r="B2" s="8" t="s">
        <v>8</v>
      </c>
      <c r="C2" s="11" t="s">
        <v>18</v>
      </c>
      <c r="D2" s="12" t="s">
        <v>19</v>
      </c>
      <c r="F2" s="7"/>
      <c r="G2" s="11"/>
      <c r="H2" s="11" t="s">
        <v>18</v>
      </c>
      <c r="I2" s="12" t="s">
        <v>19</v>
      </c>
    </row>
    <row r="3" spans="1:9" ht="24.95" customHeight="1" x14ac:dyDescent="0.25">
      <c r="A3" s="49" t="s">
        <v>9</v>
      </c>
      <c r="B3" s="50">
        <f>C3+D3</f>
        <v>513000</v>
      </c>
      <c r="C3" s="51">
        <f>SUMIF(var[Key],"Volume-HCB",var[EUR])*SUMIF(var[Key],"Price-HCB",var[EUR])</f>
        <v>288000</v>
      </c>
      <c r="D3" s="52">
        <f>SUMIF(var[Key],"Volume-MCB",var[EUR])*SUMIF(var[Key],"Price-MCB",var[EUR])</f>
        <v>225000</v>
      </c>
      <c r="F3" s="7" t="s">
        <v>15</v>
      </c>
      <c r="G3" s="10"/>
      <c r="H3" s="10">
        <f>SUMIF(var[Key],"Price-HCB",var[EUR])</f>
        <v>720</v>
      </c>
      <c r="I3" s="24">
        <f>SUMIF(var[Key],"Price-MCB",var[EUR])</f>
        <v>450</v>
      </c>
    </row>
    <row r="4" spans="1:9" ht="24.95" customHeight="1" x14ac:dyDescent="0.25">
      <c r="A4" s="2" t="s">
        <v>10</v>
      </c>
      <c r="B4" s="9">
        <f>C4+D4</f>
        <v>-400000</v>
      </c>
      <c r="C4" s="3">
        <f>SUMIF(var[Key],"Variable-HCB",var[EUR])*SUMIF(var[Key],"Volume-HCB",var[EUR])</f>
        <v>-240000</v>
      </c>
      <c r="D4" s="6">
        <f>SUMIF(var[Key],"Variable-MCB",var[EUR])*SUMIF(var[Key],"Volume-MCB",var[EUR])</f>
        <v>-160000</v>
      </c>
      <c r="F4" s="42" t="s">
        <v>38</v>
      </c>
      <c r="G4" s="43"/>
      <c r="H4" s="43">
        <f>SUMIF(var[Key],"Variable-HCB",var[EUR])</f>
        <v>-600</v>
      </c>
      <c r="I4" s="23">
        <f>SUMIF(var[Key],"Variable-MCB",var[EUR])</f>
        <v>-320</v>
      </c>
    </row>
    <row r="5" spans="1:9" ht="24.95" customHeight="1" x14ac:dyDescent="0.25">
      <c r="A5" s="44" t="s">
        <v>11</v>
      </c>
      <c r="B5" s="48">
        <f>C5+D5</f>
        <v>113000</v>
      </c>
      <c r="C5" s="45">
        <f>C3+C4</f>
        <v>48000</v>
      </c>
      <c r="D5" s="46">
        <f>D3+D4</f>
        <v>65000</v>
      </c>
      <c r="F5" s="44" t="s">
        <v>39</v>
      </c>
      <c r="G5" s="45"/>
      <c r="H5" s="45">
        <f>H3+H4</f>
        <v>120</v>
      </c>
      <c r="I5" s="46">
        <f>I3+I4</f>
        <v>130</v>
      </c>
    </row>
    <row r="6" spans="1:9" ht="24.95" customHeight="1" x14ac:dyDescent="0.25">
      <c r="A6" s="2" t="s">
        <v>12</v>
      </c>
      <c r="B6" s="9">
        <f>C6+D6</f>
        <v>-15000</v>
      </c>
      <c r="C6" s="3">
        <f>SUMIF(var[Key],"FixProduct-HCB",var[EUR])</f>
        <v>-10000</v>
      </c>
      <c r="D6" s="23">
        <f>SUMIF(var[Key],"FixProduct-MCB",var[EUR])</f>
        <v>-5000</v>
      </c>
      <c r="F6" s="44" t="s">
        <v>24</v>
      </c>
      <c r="G6" s="47"/>
      <c r="H6" s="45">
        <f>IF(-C6/H5&lt;0,"No Break-Even",-C6/H5)</f>
        <v>83.333333333333329</v>
      </c>
      <c r="I6" s="46">
        <f>IF(-D6/I5&lt;0,"No Break-Even",-D6/I5)</f>
        <v>38.46153846153846</v>
      </c>
    </row>
    <row r="7" spans="1:9" ht="24.95" customHeight="1" x14ac:dyDescent="0.25">
      <c r="A7" s="44" t="s">
        <v>25</v>
      </c>
      <c r="B7" s="48">
        <f>C7+D7</f>
        <v>98000</v>
      </c>
      <c r="C7" s="53">
        <f>C5+C6</f>
        <v>38000</v>
      </c>
      <c r="D7" s="46">
        <f>D5+D6</f>
        <v>60000</v>
      </c>
    </row>
    <row r="8" spans="1:9" ht="24.95" customHeight="1" x14ac:dyDescent="0.25">
      <c r="A8" s="2" t="s">
        <v>13</v>
      </c>
      <c r="B8" s="9">
        <f>SUMIF(var[Key],"FixCompany-ALL",var[EUR])</f>
        <v>-15000</v>
      </c>
      <c r="C8" s="28">
        <f>B8</f>
        <v>-15000</v>
      </c>
      <c r="D8" s="29"/>
    </row>
    <row r="9" spans="1:9" ht="24.95" customHeight="1" x14ac:dyDescent="0.25">
      <c r="A9" s="44" t="s">
        <v>14</v>
      </c>
      <c r="B9" s="48">
        <f>B7+B8</f>
        <v>83000</v>
      </c>
      <c r="C9" s="54">
        <f>B9</f>
        <v>83000</v>
      </c>
      <c r="D9" s="55"/>
    </row>
    <row r="10" spans="1:9" ht="24.95" customHeight="1" x14ac:dyDescent="0.25">
      <c r="A10" s="44" t="s">
        <v>26</v>
      </c>
      <c r="B10" s="56">
        <f>B9/B3</f>
        <v>0.1617933723196881</v>
      </c>
      <c r="C10" s="30"/>
      <c r="D10" s="31"/>
    </row>
    <row r="11" spans="1:9" ht="24.95" customHeight="1" x14ac:dyDescent="0.25">
      <c r="A11"/>
      <c r="B11" s="1"/>
      <c r="C11" s="1"/>
      <c r="D11" s="1"/>
    </row>
  </sheetData>
  <mergeCells count="5">
    <mergeCell ref="C8:D8"/>
    <mergeCell ref="C9:D9"/>
    <mergeCell ref="C10:D10"/>
    <mergeCell ref="A1:D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CCB0-11D4-4CF0-90F2-01332E8C2064}">
  <dimension ref="A1:S13"/>
  <sheetViews>
    <sheetView workbookViewId="0">
      <selection activeCell="V10" sqref="V10"/>
    </sheetView>
    <sheetView workbookViewId="1">
      <selection activeCell="S6" sqref="S6"/>
    </sheetView>
  </sheetViews>
  <sheetFormatPr defaultRowHeight="24.95" customHeight="1" x14ac:dyDescent="0.25"/>
  <cols>
    <col min="1" max="1" width="4.85546875" style="13" bestFit="1" customWidth="1"/>
    <col min="2" max="4" width="12.85546875" bestFit="1" customWidth="1"/>
    <col min="5" max="7" width="14" bestFit="1" customWidth="1"/>
    <col min="8" max="10" width="12.85546875" bestFit="1" customWidth="1"/>
    <col min="11" max="13" width="14" bestFit="1" customWidth="1"/>
    <col min="14" max="14" width="9.7109375" bestFit="1" customWidth="1"/>
    <col min="15" max="16" width="7.140625" bestFit="1" customWidth="1"/>
    <col min="17" max="19" width="14.85546875" customWidth="1"/>
  </cols>
  <sheetData>
    <row r="1" spans="1:19" ht="24.95" customHeight="1" x14ac:dyDescent="0.25">
      <c r="B1" s="35" t="s">
        <v>21</v>
      </c>
      <c r="C1" s="36"/>
      <c r="D1" s="37"/>
      <c r="E1" s="35" t="s">
        <v>20</v>
      </c>
      <c r="F1" s="36"/>
      <c r="G1" s="37"/>
      <c r="H1" s="35" t="s">
        <v>22</v>
      </c>
      <c r="I1" s="36"/>
      <c r="J1" s="37"/>
      <c r="K1" s="35" t="s">
        <v>23</v>
      </c>
      <c r="L1" s="36"/>
      <c r="M1" s="37"/>
      <c r="N1" s="35" t="s">
        <v>27</v>
      </c>
      <c r="O1" s="36"/>
      <c r="P1" s="37"/>
      <c r="Q1" s="35" t="s">
        <v>40</v>
      </c>
      <c r="R1" s="36"/>
      <c r="S1" s="37"/>
    </row>
    <row r="2" spans="1:19" ht="24.95" customHeight="1" x14ac:dyDescent="0.25">
      <c r="A2" s="20" t="s">
        <v>17</v>
      </c>
      <c r="B2" s="17" t="s">
        <v>8</v>
      </c>
      <c r="C2" s="18" t="s">
        <v>18</v>
      </c>
      <c r="D2" s="19" t="s">
        <v>19</v>
      </c>
      <c r="E2" s="17" t="s">
        <v>8</v>
      </c>
      <c r="F2" s="18" t="s">
        <v>18</v>
      </c>
      <c r="G2" s="19" t="s">
        <v>19</v>
      </c>
      <c r="H2" s="17" t="s">
        <v>8</v>
      </c>
      <c r="I2" s="18" t="s">
        <v>18</v>
      </c>
      <c r="J2" s="19" t="s">
        <v>19</v>
      </c>
      <c r="K2" s="17" t="s">
        <v>8</v>
      </c>
      <c r="L2" s="18" t="s">
        <v>18</v>
      </c>
      <c r="M2" s="19" t="s">
        <v>19</v>
      </c>
      <c r="N2" s="17" t="s">
        <v>8</v>
      </c>
      <c r="O2" s="18" t="s">
        <v>18</v>
      </c>
      <c r="P2" s="19" t="s">
        <v>19</v>
      </c>
      <c r="Q2" s="17" t="s">
        <v>8</v>
      </c>
      <c r="R2" s="18" t="s">
        <v>18</v>
      </c>
      <c r="S2" s="19" t="s">
        <v>19</v>
      </c>
    </row>
    <row r="3" spans="1:19" ht="24.95" customHeight="1" x14ac:dyDescent="0.25">
      <c r="A3" s="21">
        <v>0</v>
      </c>
      <c r="B3" s="25">
        <f>SUM(C3:D3)</f>
        <v>-400000</v>
      </c>
      <c r="C3" s="26">
        <f>SUMIF(var[Key],"Investment-HCB",var[EUR])</f>
        <v>-250000</v>
      </c>
      <c r="D3" s="27">
        <f>SUMIF(var[Key],"Investment-MCB",var[EUR])</f>
        <v>-150000</v>
      </c>
      <c r="E3" s="15">
        <f>B3</f>
        <v>-400000</v>
      </c>
      <c r="F3" s="3">
        <f>C3</f>
        <v>-250000</v>
      </c>
      <c r="G3" s="4">
        <f>D3</f>
        <v>-150000</v>
      </c>
      <c r="H3" s="15">
        <f>B3/(1+SUMIF(var[Key],"Return-ALL",var[EUR]))^$A3</f>
        <v>-400000</v>
      </c>
      <c r="I3" s="3">
        <f>C3/(1+SUMIF(var[Key],"Return-ALL",var[EUR]))^$A3</f>
        <v>-250000</v>
      </c>
      <c r="J3" s="4">
        <f>D3/(1+SUMIF(var[Key],"Return-ALL",var[EUR]))^$A3</f>
        <v>-150000</v>
      </c>
      <c r="K3" s="15">
        <f>H3</f>
        <v>-400000</v>
      </c>
      <c r="L3" s="3">
        <f>I3</f>
        <v>-250000</v>
      </c>
      <c r="M3" s="4">
        <f>J3</f>
        <v>-150000</v>
      </c>
      <c r="N3" s="15"/>
      <c r="O3" s="3"/>
      <c r="P3" s="4"/>
      <c r="Q3" s="15" t="str">
        <f t="shared" ref="Q3:Q13" si="0">IF(AND(K3&gt;0,K2&lt;0),MIN($K$3:$K$13),"")</f>
        <v/>
      </c>
      <c r="R3" s="3" t="str">
        <f t="shared" ref="R3:R13" si="1">IF(AND(L3&gt;0,L2&lt;0),MIN($L$3:$L$13),"")</f>
        <v/>
      </c>
      <c r="S3" s="4" t="str">
        <f t="shared" ref="S3:S5" si="2">IF(AND(M3&gt;0,M2&lt;0),MIN($M$3:$M$13),"")</f>
        <v/>
      </c>
    </row>
    <row r="4" spans="1:19" ht="24.95" customHeight="1" x14ac:dyDescent="0.25">
      <c r="A4" s="21">
        <v>1</v>
      </c>
      <c r="B4" s="15">
        <f>'Contribution Margin'!$B$9</f>
        <v>83000</v>
      </c>
      <c r="C4" s="3">
        <f>'Contribution Margin'!$C$7</f>
        <v>38000</v>
      </c>
      <c r="D4" s="4">
        <f>'Contribution Margin'!$D$7</f>
        <v>60000</v>
      </c>
      <c r="E4" s="15">
        <f t="shared" ref="E4:E13" si="3">B4+E3</f>
        <v>-317000</v>
      </c>
      <c r="F4" s="3">
        <f t="shared" ref="F4:F13" si="4">C4+F3</f>
        <v>-212000</v>
      </c>
      <c r="G4" s="4">
        <f t="shared" ref="G4:G13" si="5">D4+G3</f>
        <v>-90000</v>
      </c>
      <c r="H4" s="15">
        <f>B4/(1+SUMIF(var[Key],"Return-ALL",var[EUR]))^$A4</f>
        <v>76851.851851851854</v>
      </c>
      <c r="I4" s="3">
        <f>C4/(1+SUMIF(var[Key],"Return-ALL",var[EUR]))^$A4</f>
        <v>35185.185185185182</v>
      </c>
      <c r="J4" s="4">
        <f>D4/(1+SUMIF(var[Key],"Return-ALL",var[EUR]))^$A4</f>
        <v>55555.555555555555</v>
      </c>
      <c r="K4" s="15">
        <f t="shared" ref="K4:K13" si="6">H4+K3</f>
        <v>-323148.14814814815</v>
      </c>
      <c r="L4" s="3">
        <f t="shared" ref="L4:L13" si="7">I4+L3</f>
        <v>-214814.81481481483</v>
      </c>
      <c r="M4" s="4">
        <f t="shared" ref="M4:M13" si="8">J4+M3</f>
        <v>-94444.444444444438</v>
      </c>
      <c r="N4" s="15">
        <f>IRR(B3:B4)</f>
        <v>-0.79250000000000009</v>
      </c>
      <c r="O4" s="3">
        <f>IRR(C3:C4)</f>
        <v>-0.84799999999999998</v>
      </c>
      <c r="P4" s="4">
        <f>IRR(D3:D4)</f>
        <v>-0.6</v>
      </c>
      <c r="Q4" s="15" t="str">
        <f t="shared" si="0"/>
        <v/>
      </c>
      <c r="R4" s="3" t="str">
        <f t="shared" si="1"/>
        <v/>
      </c>
      <c r="S4" s="4" t="str">
        <f t="shared" si="2"/>
        <v/>
      </c>
    </row>
    <row r="5" spans="1:19" ht="24.95" customHeight="1" x14ac:dyDescent="0.25">
      <c r="A5" s="21">
        <v>2</v>
      </c>
      <c r="B5" s="15">
        <f>'Contribution Margin'!$B$9</f>
        <v>83000</v>
      </c>
      <c r="C5" s="3">
        <f>'Contribution Margin'!$C$7</f>
        <v>38000</v>
      </c>
      <c r="D5" s="4">
        <f>'Contribution Margin'!$D$7</f>
        <v>60000</v>
      </c>
      <c r="E5" s="15">
        <f t="shared" si="3"/>
        <v>-234000</v>
      </c>
      <c r="F5" s="3">
        <f t="shared" si="4"/>
        <v>-174000</v>
      </c>
      <c r="G5" s="4">
        <f t="shared" si="5"/>
        <v>-30000</v>
      </c>
      <c r="H5" s="15">
        <f>B5/(1+SUMIF(var[Key],"Return-ALL",var[EUR]))^$A5</f>
        <v>71159.122085048002</v>
      </c>
      <c r="I5" s="3">
        <f>C5/(1+SUMIF(var[Key],"Return-ALL",var[EUR]))^$A5</f>
        <v>32578.87517146776</v>
      </c>
      <c r="J5" s="4">
        <f>D5/(1+SUMIF(var[Key],"Return-ALL",var[EUR]))^$A5</f>
        <v>51440.329218106992</v>
      </c>
      <c r="K5" s="15">
        <f t="shared" si="6"/>
        <v>-251989.02606310014</v>
      </c>
      <c r="L5" s="3">
        <f t="shared" si="7"/>
        <v>-182235.93964334708</v>
      </c>
      <c r="M5" s="4">
        <f t="shared" si="8"/>
        <v>-43004.115226337446</v>
      </c>
      <c r="N5" s="15">
        <f>IRR(B3:B5)</f>
        <v>-0.42906260451500222</v>
      </c>
      <c r="O5" s="3">
        <f>IRR(C3:C5)</f>
        <v>-0.52678972822949288</v>
      </c>
      <c r="P5" s="4">
        <f>IRR(D3:D5)</f>
        <v>-0.13667504192890279</v>
      </c>
      <c r="Q5" s="15" t="str">
        <f t="shared" si="0"/>
        <v/>
      </c>
      <c r="R5" s="3" t="str">
        <f t="shared" si="1"/>
        <v/>
      </c>
      <c r="S5" s="4" t="str">
        <f t="shared" si="2"/>
        <v/>
      </c>
    </row>
    <row r="6" spans="1:19" ht="24.95" customHeight="1" x14ac:dyDescent="0.25">
      <c r="A6" s="21">
        <v>3</v>
      </c>
      <c r="B6" s="15">
        <f>'Contribution Margin'!$B$9</f>
        <v>83000</v>
      </c>
      <c r="C6" s="3">
        <f>'Contribution Margin'!$C$7</f>
        <v>38000</v>
      </c>
      <c r="D6" s="4">
        <f>'Contribution Margin'!$D$7</f>
        <v>60000</v>
      </c>
      <c r="E6" s="15">
        <f t="shared" si="3"/>
        <v>-151000</v>
      </c>
      <c r="F6" s="3">
        <f t="shared" si="4"/>
        <v>-136000</v>
      </c>
      <c r="G6" s="4">
        <f t="shared" si="5"/>
        <v>30000</v>
      </c>
      <c r="H6" s="15">
        <f>B6/(1+SUMIF(var[Key],"Return-ALL",var[EUR]))^$A6</f>
        <v>65888.076004674076</v>
      </c>
      <c r="I6" s="3">
        <f>C6/(1+SUMIF(var[Key],"Return-ALL",var[EUR]))^$A6</f>
        <v>30165.625158766445</v>
      </c>
      <c r="J6" s="4">
        <f>D6/(1+SUMIF(var[Key],"Return-ALL",var[EUR]))^$A6</f>
        <v>47629.934461210178</v>
      </c>
      <c r="K6" s="15">
        <f t="shared" si="6"/>
        <v>-186100.95005842607</v>
      </c>
      <c r="L6" s="3">
        <f t="shared" si="7"/>
        <v>-152070.31448458065</v>
      </c>
      <c r="M6" s="4">
        <f t="shared" si="8"/>
        <v>4625.8192348727316</v>
      </c>
      <c r="N6" s="15">
        <f>IRR(B3:B6)</f>
        <v>-0.20415632283936425</v>
      </c>
      <c r="O6" s="3">
        <f>IRR(C3:C6)</f>
        <v>-0.30930871499850765</v>
      </c>
      <c r="P6" s="4">
        <f>IRR(D3:D6)</f>
        <v>9.7010257403349121E-2</v>
      </c>
      <c r="Q6" s="15" t="str">
        <f>IF(AND(K6&gt;0,K5&lt;0),MIN($K$3:$K$13),"")</f>
        <v/>
      </c>
      <c r="R6" s="3" t="str">
        <f>IF(AND(L6&gt;0,L5&lt;0),MIN($L$3:$L$13),"")</f>
        <v/>
      </c>
      <c r="S6" s="4">
        <f>IF(AND(M6&gt;0,M5&lt;0),MIN($M$3:$M$13),"")</f>
        <v>-150000</v>
      </c>
    </row>
    <row r="7" spans="1:19" ht="24.95" customHeight="1" x14ac:dyDescent="0.25">
      <c r="A7" s="21">
        <v>4</v>
      </c>
      <c r="B7" s="15">
        <f>'Contribution Margin'!$B$9</f>
        <v>83000</v>
      </c>
      <c r="C7" s="3">
        <f>'Contribution Margin'!$C$7</f>
        <v>38000</v>
      </c>
      <c r="D7" s="4">
        <f>'Contribution Margin'!$D$7</f>
        <v>60000</v>
      </c>
      <c r="E7" s="15">
        <f t="shared" si="3"/>
        <v>-68000</v>
      </c>
      <c r="F7" s="3">
        <f t="shared" si="4"/>
        <v>-98000</v>
      </c>
      <c r="G7" s="4">
        <f t="shared" si="5"/>
        <v>90000</v>
      </c>
      <c r="H7" s="15">
        <f>B7/(1+SUMIF(var[Key],"Return-ALL",var[EUR]))^$A7</f>
        <v>61007.47778210562</v>
      </c>
      <c r="I7" s="3">
        <f>C7/(1+SUMIF(var[Key],"Return-ALL",var[EUR]))^$A7</f>
        <v>27931.134406265224</v>
      </c>
      <c r="J7" s="4">
        <f>D7/(1+SUMIF(var[Key],"Return-ALL",var[EUR]))^$A7</f>
        <v>44101.791167787196</v>
      </c>
      <c r="K7" s="15">
        <f t="shared" si="6"/>
        <v>-125093.47227632045</v>
      </c>
      <c r="L7" s="3">
        <f t="shared" si="7"/>
        <v>-124139.18007831543</v>
      </c>
      <c r="M7" s="4">
        <f t="shared" si="8"/>
        <v>48727.610402659928</v>
      </c>
      <c r="N7" s="15">
        <f>IRR(B3:B7)</f>
        <v>-7.0579052083503235E-2</v>
      </c>
      <c r="O7" s="3">
        <f>IRR(C3:C7)</f>
        <v>-0.17308084592913064</v>
      </c>
      <c r="P7" s="4">
        <f>IRR(D3:D7)</f>
        <v>0.21862269609829088</v>
      </c>
      <c r="Q7" s="15" t="str">
        <f t="shared" ref="Q7:Q13" si="9">IF(AND(K7&gt;0,K6&lt;0),MIN($K$3:$K$13),"")</f>
        <v/>
      </c>
      <c r="R7" s="3" t="str">
        <f t="shared" ref="R7:R13" si="10">IF(AND(L7&gt;0,L6&lt;0),MIN($L$3:$L$13),"")</f>
        <v/>
      </c>
      <c r="S7" s="4" t="str">
        <f t="shared" ref="S7:S13" si="11">IF(AND(M7&gt;0,M6&lt;0),MIN($M$3:$M$13),"")</f>
        <v/>
      </c>
    </row>
    <row r="8" spans="1:19" ht="24.95" customHeight="1" x14ac:dyDescent="0.25">
      <c r="A8" s="21">
        <v>5</v>
      </c>
      <c r="B8" s="15">
        <f>'Contribution Margin'!$B$9</f>
        <v>83000</v>
      </c>
      <c r="C8" s="3">
        <f>'Contribution Margin'!$C$7</f>
        <v>38000</v>
      </c>
      <c r="D8" s="4">
        <f>'Contribution Margin'!$D$7</f>
        <v>60000</v>
      </c>
      <c r="E8" s="15">
        <f t="shared" si="3"/>
        <v>15000</v>
      </c>
      <c r="F8" s="3">
        <f t="shared" si="4"/>
        <v>-60000</v>
      </c>
      <c r="G8" s="4">
        <f t="shared" si="5"/>
        <v>150000</v>
      </c>
      <c r="H8" s="15">
        <f>B8/(1+SUMIF(var[Key],"Return-ALL",var[EUR]))^$A8</f>
        <v>56488.4053538015</v>
      </c>
      <c r="I8" s="3">
        <f>C8/(1+SUMIF(var[Key],"Return-ALL",var[EUR]))^$A8</f>
        <v>25862.161487282614</v>
      </c>
      <c r="J8" s="4">
        <f>D8/(1+SUMIF(var[Key],"Return-ALL",var[EUR]))^$A8</f>
        <v>40834.991822025178</v>
      </c>
      <c r="K8" s="15">
        <f t="shared" si="6"/>
        <v>-68605.066922518949</v>
      </c>
      <c r="L8" s="3">
        <f t="shared" si="7"/>
        <v>-98277.018591032815</v>
      </c>
      <c r="M8" s="4">
        <f t="shared" si="8"/>
        <v>89562.602224685106</v>
      </c>
      <c r="N8" s="15">
        <f>IRR(B3:B8)</f>
        <v>1.2398160500485034E-2</v>
      </c>
      <c r="O8" s="3">
        <f>IRR(C3:C8)</f>
        <v>-8.5018912570177685E-2</v>
      </c>
      <c r="P8" s="4">
        <f>IRR(D3:D8)</f>
        <v>0.28649290249767567</v>
      </c>
      <c r="Q8" s="15" t="str">
        <f t="shared" si="9"/>
        <v/>
      </c>
      <c r="R8" s="3" t="str">
        <f t="shared" si="10"/>
        <v/>
      </c>
      <c r="S8" s="4" t="str">
        <f t="shared" si="11"/>
        <v/>
      </c>
    </row>
    <row r="9" spans="1:19" ht="24.95" customHeight="1" x14ac:dyDescent="0.25">
      <c r="A9" s="21">
        <v>6</v>
      </c>
      <c r="B9" s="15">
        <f>'Contribution Margin'!$B$9</f>
        <v>83000</v>
      </c>
      <c r="C9" s="3">
        <f>'Contribution Margin'!$C$7</f>
        <v>38000</v>
      </c>
      <c r="D9" s="4">
        <f>'Contribution Margin'!$D$7</f>
        <v>60000</v>
      </c>
      <c r="E9" s="15">
        <f t="shared" si="3"/>
        <v>98000</v>
      </c>
      <c r="F9" s="3">
        <f t="shared" si="4"/>
        <v>-22000</v>
      </c>
      <c r="G9" s="4">
        <f t="shared" si="5"/>
        <v>210000</v>
      </c>
      <c r="H9" s="15">
        <f>B9/(1+SUMIF(var[Key],"Return-ALL",var[EUR]))^$A9</f>
        <v>52304.079031297675</v>
      </c>
      <c r="I9" s="3">
        <f>C9/(1+SUMIF(var[Key],"Return-ALL",var[EUR]))^$A9</f>
        <v>23946.445821557973</v>
      </c>
      <c r="J9" s="4">
        <f>D9/(1+SUMIF(var[Key],"Return-ALL",var[EUR]))^$A9</f>
        <v>37810.177612986277</v>
      </c>
      <c r="K9" s="15">
        <f t="shared" si="6"/>
        <v>-16300.987891221273</v>
      </c>
      <c r="L9" s="3">
        <f t="shared" si="7"/>
        <v>-74330.572769474849</v>
      </c>
      <c r="M9" s="4">
        <f t="shared" si="8"/>
        <v>127372.77983767138</v>
      </c>
      <c r="N9" s="15">
        <f>IRR(B3:B9)</f>
        <v>6.6446823135517308E-2</v>
      </c>
      <c r="O9" s="3">
        <f>IRR(C3:C9)</f>
        <v>-2.5700239274462633E-2</v>
      </c>
      <c r="P9" s="4">
        <f>IRR(D3:D9)</f>
        <v>0.32661923080510569</v>
      </c>
      <c r="Q9" s="15" t="str">
        <f t="shared" si="9"/>
        <v/>
      </c>
      <c r="R9" s="3" t="str">
        <f t="shared" si="10"/>
        <v/>
      </c>
      <c r="S9" s="4" t="str">
        <f t="shared" si="11"/>
        <v/>
      </c>
    </row>
    <row r="10" spans="1:19" ht="24.95" customHeight="1" x14ac:dyDescent="0.25">
      <c r="A10" s="21">
        <v>7</v>
      </c>
      <c r="B10" s="15">
        <f>'Contribution Margin'!$B$9</f>
        <v>83000</v>
      </c>
      <c r="C10" s="3">
        <f>'Contribution Margin'!$C$7</f>
        <v>38000</v>
      </c>
      <c r="D10" s="4">
        <f>'Contribution Margin'!$D$7</f>
        <v>60000</v>
      </c>
      <c r="E10" s="15">
        <f t="shared" si="3"/>
        <v>181000</v>
      </c>
      <c r="F10" s="3">
        <f t="shared" si="4"/>
        <v>16000</v>
      </c>
      <c r="G10" s="4">
        <f t="shared" si="5"/>
        <v>270000</v>
      </c>
      <c r="H10" s="15">
        <f>B10/(1+SUMIF(var[Key],"Return-ALL",var[EUR]))^$A10</f>
        <v>48429.702806757108</v>
      </c>
      <c r="I10" s="3">
        <f>C10/(1+SUMIF(var[Key],"Return-ALL",var[EUR]))^$A10</f>
        <v>22172.635019961086</v>
      </c>
      <c r="J10" s="4">
        <f>D10/(1+SUMIF(var[Key],"Return-ALL",var[EUR]))^$A10</f>
        <v>35009.423715728029</v>
      </c>
      <c r="K10" s="15">
        <f t="shared" si="6"/>
        <v>32128.714915535835</v>
      </c>
      <c r="L10" s="3">
        <f t="shared" si="7"/>
        <v>-52157.93774951376</v>
      </c>
      <c r="M10" s="4">
        <f t="shared" si="8"/>
        <v>162382.20355339942</v>
      </c>
      <c r="N10" s="15">
        <f>IRR(B3:B10)</f>
        <v>0.10309044704196801</v>
      </c>
      <c r="O10" s="3">
        <f>IRR(C3:C10)</f>
        <v>1.5753802447336041E-2</v>
      </c>
      <c r="P10" s="4">
        <f>IRR(D3:D10)</f>
        <v>0.35140952236614309</v>
      </c>
      <c r="Q10" s="15">
        <f t="shared" si="9"/>
        <v>-400000</v>
      </c>
      <c r="R10" s="3" t="str">
        <f t="shared" si="10"/>
        <v/>
      </c>
      <c r="S10" s="4" t="str">
        <f t="shared" si="11"/>
        <v/>
      </c>
    </row>
    <row r="11" spans="1:19" ht="24.95" customHeight="1" x14ac:dyDescent="0.25">
      <c r="A11" s="21">
        <v>8</v>
      </c>
      <c r="B11" s="15">
        <f>'Contribution Margin'!$B$9</f>
        <v>83000</v>
      </c>
      <c r="C11" s="3">
        <f>'Contribution Margin'!$C$7</f>
        <v>38000</v>
      </c>
      <c r="D11" s="4">
        <f>'Contribution Margin'!$D$7</f>
        <v>60000</v>
      </c>
      <c r="E11" s="15">
        <f t="shared" si="3"/>
        <v>264000</v>
      </c>
      <c r="F11" s="3">
        <f t="shared" si="4"/>
        <v>54000</v>
      </c>
      <c r="G11" s="4">
        <f t="shared" si="5"/>
        <v>330000</v>
      </c>
      <c r="H11" s="15">
        <f>B11/(1+SUMIF(var[Key],"Return-ALL",var[EUR]))^$A11</f>
        <v>44842.317413663986</v>
      </c>
      <c r="I11" s="3">
        <f>C11/(1+SUMIF(var[Key],"Return-ALL",var[EUR]))^$A11</f>
        <v>20530.217611075081</v>
      </c>
      <c r="J11" s="4">
        <f>D11/(1+SUMIF(var[Key],"Return-ALL",var[EUR]))^$A11</f>
        <v>32416.133070118547</v>
      </c>
      <c r="K11" s="15">
        <f t="shared" si="6"/>
        <v>76971.032329199821</v>
      </c>
      <c r="L11" s="3">
        <f t="shared" si="7"/>
        <v>-31627.720138438679</v>
      </c>
      <c r="M11" s="4">
        <f t="shared" si="8"/>
        <v>194798.33662351797</v>
      </c>
      <c r="N11" s="15">
        <f>IRR(B3:B11)</f>
        <v>0.12875597780666204</v>
      </c>
      <c r="O11" s="3">
        <f>IRR(C3:C11)</f>
        <v>4.5629804616135861E-2</v>
      </c>
      <c r="P11" s="4">
        <f>IRR(D3:D11)</f>
        <v>0.36724391422214597</v>
      </c>
      <c r="Q11" s="15" t="str">
        <f t="shared" si="9"/>
        <v/>
      </c>
      <c r="R11" s="3" t="str">
        <f t="shared" si="10"/>
        <v/>
      </c>
      <c r="S11" s="4" t="str">
        <f t="shared" si="11"/>
        <v/>
      </c>
    </row>
    <row r="12" spans="1:19" ht="24.95" customHeight="1" x14ac:dyDescent="0.25">
      <c r="A12" s="21">
        <v>9</v>
      </c>
      <c r="B12" s="15">
        <f>'Contribution Margin'!$B$9</f>
        <v>83000</v>
      </c>
      <c r="C12" s="3">
        <f>'Contribution Margin'!$C$7</f>
        <v>38000</v>
      </c>
      <c r="D12" s="4">
        <f>'Contribution Margin'!$D$7</f>
        <v>60000</v>
      </c>
      <c r="E12" s="15">
        <f t="shared" si="3"/>
        <v>347000</v>
      </c>
      <c r="F12" s="3">
        <f t="shared" si="4"/>
        <v>92000</v>
      </c>
      <c r="G12" s="4">
        <f t="shared" si="5"/>
        <v>390000</v>
      </c>
      <c r="H12" s="15">
        <f>B12/(1+SUMIF(var[Key],"Return-ALL",var[EUR]))^$A12</f>
        <v>41520.664271911097</v>
      </c>
      <c r="I12" s="3">
        <f>C12/(1+SUMIF(var[Key],"Return-ALL",var[EUR]))^$A12</f>
        <v>19009.460750995444</v>
      </c>
      <c r="J12" s="4">
        <f>D12/(1+SUMIF(var[Key],"Return-ALL",var[EUR]))^$A12</f>
        <v>30014.93802788754</v>
      </c>
      <c r="K12" s="15">
        <f t="shared" si="6"/>
        <v>118491.69660111092</v>
      </c>
      <c r="L12" s="3">
        <f t="shared" si="7"/>
        <v>-12618.259387443235</v>
      </c>
      <c r="M12" s="4">
        <f t="shared" si="8"/>
        <v>224813.27465140552</v>
      </c>
      <c r="N12" s="15">
        <f>IRR(B3:B12)</f>
        <v>0.14721355554415139</v>
      </c>
      <c r="O12" s="3">
        <f>IRR(C3:C12)</f>
        <v>6.7718216774604878E-2</v>
      </c>
      <c r="P12" s="4">
        <f>IRR(D3:D12)</f>
        <v>0.37761789001519297</v>
      </c>
      <c r="Q12" s="15" t="str">
        <f t="shared" si="9"/>
        <v/>
      </c>
      <c r="R12" s="3" t="str">
        <f t="shared" si="10"/>
        <v/>
      </c>
      <c r="S12" s="4" t="str">
        <f t="shared" si="11"/>
        <v/>
      </c>
    </row>
    <row r="13" spans="1:19" ht="24.95" customHeight="1" x14ac:dyDescent="0.25">
      <c r="A13" s="22">
        <v>10</v>
      </c>
      <c r="B13" s="16">
        <f>'Contribution Margin'!$B$9</f>
        <v>83000</v>
      </c>
      <c r="C13" s="5">
        <f>'Contribution Margin'!$C$7</f>
        <v>38000</v>
      </c>
      <c r="D13" s="6">
        <f>'Contribution Margin'!$D$7</f>
        <v>60000</v>
      </c>
      <c r="E13" s="16">
        <f t="shared" si="3"/>
        <v>430000</v>
      </c>
      <c r="F13" s="5">
        <f t="shared" si="4"/>
        <v>130000</v>
      </c>
      <c r="G13" s="6">
        <f t="shared" si="5"/>
        <v>450000</v>
      </c>
      <c r="H13" s="16">
        <f>B13/(1+SUMIF(var[Key],"Return-ALL",var[EUR]))^$A13</f>
        <v>38445.05951102879</v>
      </c>
      <c r="I13" s="5">
        <f>C13/(1+SUMIF(var[Key],"Return-ALL",var[EUR]))^$A13</f>
        <v>17601.352547218001</v>
      </c>
      <c r="J13" s="6">
        <f>D13/(1+SUMIF(var[Key],"Return-ALL",var[EUR]))^$A13</f>
        <v>27791.609285081056</v>
      </c>
      <c r="K13" s="16">
        <f t="shared" si="6"/>
        <v>156936.7561121397</v>
      </c>
      <c r="L13" s="5">
        <f t="shared" si="7"/>
        <v>4983.0931597747658</v>
      </c>
      <c r="M13" s="6">
        <f t="shared" si="8"/>
        <v>252604.88393648659</v>
      </c>
      <c r="N13" s="16">
        <f>IRR(B3:B13)</f>
        <v>0.16077710117561583</v>
      </c>
      <c r="O13" s="5">
        <f>IRR(C3:C13)</f>
        <v>8.4399254841095228E-2</v>
      </c>
      <c r="P13" s="6">
        <f>IRR(D3:D13)</f>
        <v>0.38454819521071992</v>
      </c>
      <c r="Q13" s="16" t="str">
        <f t="shared" si="9"/>
        <v/>
      </c>
      <c r="R13" s="5">
        <f t="shared" si="10"/>
        <v>-250000</v>
      </c>
      <c r="S13" s="6" t="str">
        <f t="shared" si="11"/>
        <v/>
      </c>
    </row>
  </sheetData>
  <mergeCells count="6">
    <mergeCell ref="Q1:S1"/>
    <mergeCell ref="K1:M1"/>
    <mergeCell ref="N1:P1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Contribution Margin</vt:lpstr>
      <vt:lpstr>Amortization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2022-04-07T14:02:25Z</dcterms:created>
  <dcterms:modified xsi:type="dcterms:W3CDTF">2022-04-08T15:24:40Z</dcterms:modified>
</cp:coreProperties>
</file>