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ollege\Senior Year\MAE159\Project\Aircraft Design\"/>
    </mc:Choice>
  </mc:AlternateContent>
  <xr:revisionPtr revIDLastSave="0" documentId="13_ncr:1_{A6C18E22-72B0-4D63-8D9C-E537FDC8BAC2}" xr6:coauthVersionLast="47" xr6:coauthVersionMax="47" xr10:uidLastSave="{00000000-0000-0000-0000-000000000000}"/>
  <bookViews>
    <workbookView xWindow="0" yWindow="8120" windowWidth="21585" windowHeight="12664" activeTab="2" xr2:uid="{A447D0EE-41DD-4DF5-92A2-CC15054C7115}"/>
  </bookViews>
  <sheets>
    <sheet name="Sheet1" sheetId="1" r:id="rId1"/>
    <sheet name="Dimensions" sheetId="2" r:id="rId2"/>
    <sheet name="CG" sheetId="3" r:id="rId3"/>
    <sheet name="Cabin" sheetId="4" r:id="rId4"/>
  </sheets>
  <definedNames>
    <definedName name="Family">Sheet1!$A$2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0" i="3" l="1"/>
  <c r="B41" i="3" s="1"/>
  <c r="D41" i="3" s="1"/>
  <c r="D39" i="3"/>
  <c r="C41" i="3"/>
  <c r="C40" i="3"/>
  <c r="C39" i="3"/>
  <c r="B36" i="3"/>
  <c r="B35" i="3"/>
  <c r="B34" i="3"/>
  <c r="H7" i="2"/>
  <c r="E10" i="2"/>
  <c r="B18" i="4"/>
  <c r="B17" i="4"/>
  <c r="B16" i="4"/>
  <c r="B14" i="4"/>
  <c r="B8" i="4"/>
  <c r="B4" i="4"/>
  <c r="B6" i="4" s="1"/>
  <c r="K29" i="3"/>
  <c r="B29" i="3"/>
  <c r="B27" i="3"/>
  <c r="K26" i="3"/>
  <c r="H26" i="3"/>
  <c r="E26" i="3"/>
  <c r="B26" i="3"/>
  <c r="K25" i="3"/>
  <c r="H25" i="3"/>
  <c r="E25" i="3"/>
  <c r="B25" i="3"/>
  <c r="H24" i="3"/>
  <c r="E24" i="3"/>
  <c r="K23" i="3"/>
  <c r="E23" i="3"/>
  <c r="B23" i="3"/>
  <c r="H22" i="3"/>
  <c r="K21" i="3"/>
  <c r="C12" i="3"/>
  <c r="B28" i="3" s="1"/>
  <c r="C11" i="3"/>
  <c r="H27" i="3" s="1"/>
  <c r="C9" i="3"/>
  <c r="C8" i="3"/>
  <c r="K24" i="3" s="1"/>
  <c r="C7" i="3"/>
  <c r="H23" i="3" s="1"/>
  <c r="C6" i="3"/>
  <c r="E22" i="3" s="1"/>
  <c r="C5" i="3"/>
  <c r="B21" i="3" s="1"/>
  <c r="C4" i="3"/>
  <c r="K20" i="3" s="1"/>
  <c r="C3" i="3"/>
  <c r="K19" i="3" s="1"/>
  <c r="H10" i="2"/>
  <c r="B8" i="2"/>
  <c r="N7" i="2"/>
  <c r="N8" i="2" s="1"/>
  <c r="K7" i="2"/>
  <c r="K8" i="2" s="1"/>
  <c r="B7" i="2"/>
  <c r="N6" i="2"/>
  <c r="K6" i="2"/>
  <c r="K10" i="2" s="1"/>
  <c r="Y3" i="1" s="1"/>
  <c r="B6" i="2"/>
  <c r="B5" i="2"/>
  <c r="B17" i="2" s="1"/>
  <c r="J3" i="1" s="1"/>
  <c r="B4" i="2"/>
  <c r="T3" i="2"/>
  <c r="T4" i="2" s="1"/>
  <c r="D3" i="1" s="1"/>
  <c r="N3" i="2"/>
  <c r="T2" i="2"/>
  <c r="T6" i="2" s="1"/>
  <c r="C18" i="3" s="1"/>
  <c r="AE3" i="1"/>
  <c r="AA3" i="1"/>
  <c r="S3" i="1"/>
  <c r="L3" i="1"/>
  <c r="C3" i="1"/>
  <c r="B3" i="1"/>
  <c r="D27" i="3" l="1"/>
  <c r="Z3" i="1"/>
  <c r="V3" i="1"/>
  <c r="K30" i="3"/>
  <c r="K3" i="1"/>
  <c r="C29" i="3"/>
  <c r="C26" i="3"/>
  <c r="C27" i="3"/>
  <c r="C25" i="3"/>
  <c r="E5" i="2"/>
  <c r="T5" i="2"/>
  <c r="E3" i="1" s="1"/>
  <c r="B14" i="2"/>
  <c r="C20" i="3"/>
  <c r="W3" i="1"/>
  <c r="H21" i="3"/>
  <c r="B24" i="3"/>
  <c r="K9" i="2"/>
  <c r="X3" i="1" s="1"/>
  <c r="C14" i="3"/>
  <c r="E19" i="3"/>
  <c r="E21" i="3"/>
  <c r="K28" i="3"/>
  <c r="B20" i="3"/>
  <c r="D20" i="3" s="1"/>
  <c r="B22" i="3"/>
  <c r="H19" i="3"/>
  <c r="K22" i="3"/>
  <c r="B19" i="3"/>
  <c r="E20" i="3"/>
  <c r="H20" i="3"/>
  <c r="M3" i="1"/>
  <c r="F20" i="3" l="1"/>
  <c r="I20" i="3"/>
  <c r="C28" i="3"/>
  <c r="L20" i="3"/>
  <c r="M20" i="3" s="1"/>
  <c r="I19" i="3"/>
  <c r="J19" i="3" s="1"/>
  <c r="D29" i="3"/>
  <c r="I29" i="3"/>
  <c r="J29" i="3" s="1"/>
  <c r="F29" i="3"/>
  <c r="G29" i="3" s="1"/>
  <c r="L29" i="3"/>
  <c r="M29" i="3" s="1"/>
  <c r="B30" i="3"/>
  <c r="L26" i="3"/>
  <c r="M26" i="3" s="1"/>
  <c r="D26" i="3"/>
  <c r="I26" i="3"/>
  <c r="J26" i="3" s="1"/>
  <c r="F26" i="3"/>
  <c r="G26" i="3" s="1"/>
  <c r="J20" i="3"/>
  <c r="E30" i="3"/>
  <c r="T3" i="1"/>
  <c r="H5" i="2"/>
  <c r="H6" i="2" s="1"/>
  <c r="L25" i="3"/>
  <c r="M25" i="3" s="1"/>
  <c r="I25" i="3"/>
  <c r="J25" i="3" s="1"/>
  <c r="F25" i="3"/>
  <c r="G25" i="3" s="1"/>
  <c r="I3" i="1"/>
  <c r="F3" i="1" s="1"/>
  <c r="B16" i="2"/>
  <c r="B15" i="2"/>
  <c r="H3" i="1" s="1"/>
  <c r="G3" i="1" s="1"/>
  <c r="N4" i="2"/>
  <c r="G20" i="3"/>
  <c r="H30" i="3"/>
  <c r="I27" i="3"/>
  <c r="J27" i="3" s="1"/>
  <c r="L27" i="3"/>
  <c r="M27" i="3" s="1"/>
  <c r="F27" i="3"/>
  <c r="G27" i="3" s="1"/>
  <c r="D25" i="3"/>
  <c r="H8" i="2" l="1"/>
  <c r="Q2" i="2"/>
  <c r="Q3" i="2"/>
  <c r="AB3" i="1" s="1"/>
  <c r="N12" i="2"/>
  <c r="I28" i="3"/>
  <c r="J28" i="3" s="1"/>
  <c r="F28" i="3"/>
  <c r="G28" i="3" s="1"/>
  <c r="L28" i="3"/>
  <c r="M28" i="3" s="1"/>
  <c r="D28" i="3"/>
  <c r="Q11" i="2"/>
  <c r="O23" i="3"/>
  <c r="O22" i="3"/>
  <c r="C19" i="3"/>
  <c r="E6" i="2"/>
  <c r="Q4" i="2" l="1"/>
  <c r="Q6" i="2"/>
  <c r="Q5" i="2"/>
  <c r="H11" i="2"/>
  <c r="H9" i="2"/>
  <c r="C22" i="3"/>
  <c r="F19" i="3"/>
  <c r="G19" i="3" s="1"/>
  <c r="L19" i="3"/>
  <c r="M19" i="3" s="1"/>
  <c r="D19" i="3"/>
  <c r="AF3" i="1"/>
  <c r="C21" i="3"/>
  <c r="E7" i="2"/>
  <c r="P3" i="1" s="1"/>
  <c r="F22" i="3" l="1"/>
  <c r="G22" i="3" s="1"/>
  <c r="C24" i="3"/>
  <c r="I22" i="3"/>
  <c r="J22" i="3" s="1"/>
  <c r="L22" i="3"/>
  <c r="M22" i="3" s="1"/>
  <c r="D22" i="3"/>
  <c r="E8" i="2"/>
  <c r="L21" i="3"/>
  <c r="M21" i="3" s="1"/>
  <c r="I21" i="3"/>
  <c r="J21" i="3" s="1"/>
  <c r="F21" i="3"/>
  <c r="G21" i="3" s="1"/>
  <c r="D21" i="3"/>
  <c r="AC3" i="1"/>
  <c r="Q7" i="2"/>
  <c r="Q9" i="2" s="1"/>
  <c r="R9" i="2" s="1"/>
  <c r="Q10" i="2"/>
  <c r="AD3" i="1" s="1"/>
  <c r="L24" i="3" l="1"/>
  <c r="M24" i="3" s="1"/>
  <c r="I24" i="3"/>
  <c r="J24" i="3" s="1"/>
  <c r="F24" i="3"/>
  <c r="G24" i="3" s="1"/>
  <c r="D24" i="3"/>
  <c r="E9" i="2"/>
  <c r="U3" i="1" s="1"/>
  <c r="O3" i="1" s="1"/>
  <c r="E11" i="2"/>
  <c r="R3" i="1"/>
  <c r="N3" i="1" s="1"/>
  <c r="Q3" i="1" l="1"/>
  <c r="C23" i="3"/>
  <c r="I23" i="3" l="1"/>
  <c r="J23" i="3" s="1"/>
  <c r="J30" i="3" s="1"/>
  <c r="O18" i="3" s="1"/>
  <c r="F23" i="3"/>
  <c r="G23" i="3" s="1"/>
  <c r="G30" i="3" s="1"/>
  <c r="O17" i="3" s="1"/>
  <c r="L23" i="3"/>
  <c r="M23" i="3" s="1"/>
  <c r="M30" i="3" s="1"/>
  <c r="O19" i="3" s="1"/>
  <c r="D23" i="3"/>
  <c r="D30" i="3" s="1"/>
  <c r="O16" i="3" s="1"/>
  <c r="D31" i="3" s="1"/>
</calcChain>
</file>

<file path=xl/sharedStrings.xml><?xml version="1.0" encoding="utf-8"?>
<sst xmlns="http://schemas.openxmlformats.org/spreadsheetml/2006/main" count="213" uniqueCount="148">
  <si>
    <t>Design Table for: OverallSizingSketch</t>
  </si>
  <si>
    <t/>
  </si>
  <si>
    <t>Default</t>
  </si>
  <si>
    <t>Fuselage Length@Fuselage</t>
  </si>
  <si>
    <t>Fuselage Diameter@Fuselage</t>
  </si>
  <si>
    <t>Nose Length@Fuselage</t>
  </si>
  <si>
    <t>Aft Body Length@Fuselage</t>
  </si>
  <si>
    <t>1/4 Root Chord@Wing</t>
  </si>
  <si>
    <t>1/4 Tip Chord@Wing</t>
  </si>
  <si>
    <t>Tip Chord@Wing</t>
  </si>
  <si>
    <t>Root Chord@Wing</t>
  </si>
  <si>
    <t>y_MAC@Wing</t>
  </si>
  <si>
    <t>Wing MAC Location@Wing</t>
  </si>
  <si>
    <t>Sweep Angle@Wing</t>
  </si>
  <si>
    <t>b@Wing</t>
  </si>
  <si>
    <t>Wing Sizing</t>
  </si>
  <si>
    <t>H Tail Sizing</t>
  </si>
  <si>
    <t>V Tail Sizing</t>
  </si>
  <si>
    <t>Engine Sizing</t>
  </si>
  <si>
    <t>Wing Parameters</t>
  </si>
  <si>
    <t>Rectangular Frustum Parameter</t>
  </si>
  <si>
    <t>Fuselage</t>
  </si>
  <si>
    <t>Aspect Ratio</t>
  </si>
  <si>
    <t>AR</t>
  </si>
  <si>
    <t>Thrust Max</t>
  </si>
  <si>
    <t>t/c</t>
  </si>
  <si>
    <t>Base Height</t>
  </si>
  <si>
    <t>Fuselage Length</t>
  </si>
  <si>
    <t>Sweep</t>
  </si>
  <si>
    <t>Taper</t>
  </si>
  <si>
    <t>Bypass Ratio</t>
  </si>
  <si>
    <t>Base Width</t>
  </si>
  <si>
    <t>Fuselage Diameter</t>
  </si>
  <si>
    <t>MAC</t>
  </si>
  <si>
    <t>Volume Coeff</t>
  </si>
  <si>
    <t>Fan Diameter</t>
  </si>
  <si>
    <t>Root Chord</t>
  </si>
  <si>
    <t>A_1</t>
  </si>
  <si>
    <t>Nose Length</t>
  </si>
  <si>
    <t>b</t>
  </si>
  <si>
    <t>Tail Arm</t>
  </si>
  <si>
    <t>Engine Length</t>
  </si>
  <si>
    <t>Weight of Fuel</t>
  </si>
  <si>
    <t>Tip Height</t>
  </si>
  <si>
    <t>Afterbody Length</t>
  </si>
  <si>
    <t>S</t>
  </si>
  <si>
    <t>Nacelle Diameter</t>
  </si>
  <si>
    <t>Fuel (Gallons)</t>
  </si>
  <si>
    <t>Tip Width</t>
  </si>
  <si>
    <t>Wing 1/4 MAC Position</t>
  </si>
  <si>
    <t>Nacelle Inlet Length</t>
  </si>
  <si>
    <t>Fuel (in^3)</t>
  </si>
  <si>
    <t>A_2</t>
  </si>
  <si>
    <t>C_root</t>
  </si>
  <si>
    <t>Nacelle Total Length</t>
  </si>
  <si>
    <t>Fuel Per Tank</t>
  </si>
  <si>
    <t>Length of Tank</t>
  </si>
  <si>
    <t>Difference</t>
  </si>
  <si>
    <t>C_tip</t>
  </si>
  <si>
    <t>y_Engine</t>
  </si>
  <si>
    <t>Tank Height</t>
  </si>
  <si>
    <t>Volume of Tank</t>
  </si>
  <si>
    <t>Thickness/Chord</t>
  </si>
  <si>
    <t>Engine Offset</t>
  </si>
  <si>
    <t>Front Spar Location</t>
  </si>
  <si>
    <t>Centroid Location</t>
  </si>
  <si>
    <t>Engine Qty</t>
  </si>
  <si>
    <t>Rear Spar Location</t>
  </si>
  <si>
    <t>Front Spar from Leading Edge</t>
  </si>
  <si>
    <t>Abreast</t>
  </si>
  <si>
    <t>Fuel Tip Chord</t>
  </si>
  <si>
    <t>Aisles</t>
  </si>
  <si>
    <t>y_MAC</t>
  </si>
  <si>
    <t>W_takeoff</t>
  </si>
  <si>
    <t>Component</t>
  </si>
  <si>
    <t>Coefficient</t>
  </si>
  <si>
    <t>Weight</t>
  </si>
  <si>
    <t>Configurations</t>
  </si>
  <si>
    <t>Cargo</t>
  </si>
  <si>
    <t>Fuel</t>
  </si>
  <si>
    <t>PAX</t>
  </si>
  <si>
    <t>Wing</t>
  </si>
  <si>
    <t>Design</t>
  </si>
  <si>
    <t>Empty</t>
  </si>
  <si>
    <t>Landing Gear</t>
  </si>
  <si>
    <t>Ferry</t>
  </si>
  <si>
    <t>Nacelle + Pylon</t>
  </si>
  <si>
    <t>Landing</t>
  </si>
  <si>
    <t>Tails</t>
  </si>
  <si>
    <t>Power Plant</t>
  </si>
  <si>
    <t>Fixed Equipment</t>
  </si>
  <si>
    <t>Passenger</t>
  </si>
  <si>
    <t>Total</t>
  </si>
  <si>
    <t>Component CG</t>
  </si>
  <si>
    <t>Length</t>
  </si>
  <si>
    <t>Moment</t>
  </si>
  <si>
    <t>1/4 MAC (Airplane Desired CG)</t>
  </si>
  <si>
    <t>CG Design</t>
  </si>
  <si>
    <t>CG Empty</t>
  </si>
  <si>
    <t>CG Ferry</t>
  </si>
  <si>
    <t>CG Landing</t>
  </si>
  <si>
    <t>Forward</t>
  </si>
  <si>
    <t>Aft</t>
  </si>
  <si>
    <t>Sum</t>
  </si>
  <si>
    <t>Delta 1/4 MAC</t>
  </si>
  <si>
    <t>(to a reference pt 1200in in front of nose)</t>
  </si>
  <si>
    <t>1/4 Root Chord Tail@Tail</t>
  </si>
  <si>
    <t>1/4 Tip Chord Tail@Tail</t>
  </si>
  <si>
    <t>b Tail@Tail</t>
  </si>
  <si>
    <t>MAC Tail@Tail</t>
  </si>
  <si>
    <t>Root Chord Tail@Tail</t>
  </si>
  <si>
    <t>Sweep Tail@Tail</t>
  </si>
  <si>
    <t>Tail Arm@Tail</t>
  </si>
  <si>
    <t>Tip Chord Tail@Tail</t>
  </si>
  <si>
    <t>Nacelle Length@Nacelle Pylon</t>
  </si>
  <si>
    <t>Nacelle Diameter@Nacelle Pylon</t>
  </si>
  <si>
    <t>y_Engine@Nacelle Pylon</t>
  </si>
  <si>
    <t>Engine Offset@Nacelle Pylon</t>
  </si>
  <si>
    <t>Nacelle CG@Nacelle Pylon</t>
  </si>
  <si>
    <t>Fuel Tank Length@Fuel Tank</t>
  </si>
  <si>
    <t>Base Width@Fuel Tank</t>
  </si>
  <si>
    <t>Tip Width@Fuel Tank</t>
  </si>
  <si>
    <t>Centroid@Fuel Tank</t>
  </si>
  <si>
    <t>D1@Fuselage</t>
  </si>
  <si>
    <t>Aft CG@Wing</t>
  </si>
  <si>
    <t>If negative, move stuff back</t>
  </si>
  <si>
    <t>First Class Seats</t>
  </si>
  <si>
    <t>Economy Seats</t>
  </si>
  <si>
    <t>Passengers</t>
  </si>
  <si>
    <t>Rows</t>
  </si>
  <si>
    <t>Galley Carts</t>
  </si>
  <si>
    <t>LAV</t>
  </si>
  <si>
    <t>38in x 40in</t>
  </si>
  <si>
    <t>12in x 34in</t>
  </si>
  <si>
    <t>Seat Pitch</t>
  </si>
  <si>
    <t>40in</t>
  </si>
  <si>
    <t>Depth/Recline</t>
  </si>
  <si>
    <t>28in/36in</t>
  </si>
  <si>
    <t>Bulkhead to seat nose</t>
  </si>
  <si>
    <t>24in</t>
  </si>
  <si>
    <t>Aisle Width</t>
  </si>
  <si>
    <t>20in</t>
  </si>
  <si>
    <t xml:space="preserve">Rows </t>
  </si>
  <si>
    <t>32in</t>
  </si>
  <si>
    <t>18in</t>
  </si>
  <si>
    <t>Main Gear per Wheel</t>
  </si>
  <si>
    <t>Nose Gear per Wheel</t>
  </si>
  <si>
    <t>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</si>
</sst>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textRotation="90"/>
    </xf>
    <xf numFmtId="0" fontId="0" fillId="0" borderId="0" xfId="0" applyNumberFormat="1" applyAlignment="1">
      <alignment textRotation="90"/>
    </xf>
    <xf numFmtId="0" fontId="0" fillId="0" borderId="0" xfId="0" applyAlignment="1">
      <alignment textRotation="90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3" xfId="0" applyFill="1" applyBorder="1"/>
    <xf numFmtId="0" fontId="0" fillId="2" borderId="4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9" xfId="0" applyBorder="1"/>
    <xf numFmtId="0" fontId="0" fillId="2" borderId="10" xfId="0" applyFill="1" applyBorder="1"/>
    <xf numFmtId="0" fontId="0" fillId="3" borderId="10" xfId="0" applyFill="1" applyBorder="1"/>
    <xf numFmtId="0" fontId="0" fillId="2" borderId="1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NumberFormat="1" applyBorder="1"/>
    <xf numFmtId="0" fontId="0" fillId="0" borderId="8" xfId="0" applyNumberFormat="1" applyBorder="1"/>
    <xf numFmtId="0" fontId="0" fillId="0" borderId="17" xfId="0" applyNumberFormat="1" applyBorder="1"/>
    <xf numFmtId="0" fontId="1" fillId="0" borderId="0" xfId="0" applyFont="1"/>
    <xf numFmtId="0" fontId="1" fillId="0" borderId="0" xfId="0" applyNumberFormat="1" applyFont="1"/>
    <xf numFmtId="0" fontId="0" fillId="4" borderId="3" xfId="0" applyFill="1" applyBorder="1"/>
    <xf numFmtId="0" fontId="0" fillId="4" borderId="14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29F21-7B9B-4A22-BA57-6C93179FD173}">
  <dimension ref="A1:AF4"/>
  <sheetViews>
    <sheetView topLeftCell="G1" zoomScale="70" zoomScaleNormal="70" workbookViewId="0">
      <selection activeCell="J7" sqref="J7"/>
    </sheetView>
  </sheetViews>
  <sheetFormatPr defaultRowHeight="14.85" x14ac:dyDescent="0.25"/>
  <cols>
    <col min="1" max="1" width="7.5703125" style="1" bestFit="1" customWidth="1"/>
    <col min="2" max="2" width="5.85546875" style="2" bestFit="1" customWidth="1"/>
    <col min="3" max="3" width="4.140625" style="2" bestFit="1" customWidth="1"/>
    <col min="4" max="4" width="12.42578125" style="2" bestFit="1" customWidth="1"/>
    <col min="5" max="5" width="4.140625" style="2" bestFit="1" customWidth="1"/>
    <col min="6" max="12" width="12.42578125" style="2" bestFit="1" customWidth="1"/>
    <col min="13" max="13" width="11.42578125" style="2" bestFit="1" customWidth="1"/>
    <col min="14" max="18" width="12.42578125" style="2" customWidth="1"/>
    <col min="19" max="19" width="3.85546875" style="2" bestFit="1" customWidth="1"/>
    <col min="20" max="21" width="12.42578125" style="2" customWidth="1"/>
    <col min="22" max="30" width="14.140625" bestFit="1" customWidth="1"/>
    <col min="31" max="32" width="5.85546875" bestFit="1" customWidth="1"/>
  </cols>
  <sheetData>
    <row r="1" spans="1:32" x14ac:dyDescent="0.25">
      <c r="A1" s="1" t="s">
        <v>0</v>
      </c>
    </row>
    <row r="2" spans="1:32" s="5" customFormat="1" ht="163.30000000000001" x14ac:dyDescent="0.25">
      <c r="A2" s="3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106</v>
      </c>
      <c r="O2" s="4" t="s">
        <v>107</v>
      </c>
      <c r="P2" s="4" t="s">
        <v>108</v>
      </c>
      <c r="Q2" s="4" t="s">
        <v>109</v>
      </c>
      <c r="R2" s="4" t="s">
        <v>110</v>
      </c>
      <c r="S2" s="4" t="s">
        <v>111</v>
      </c>
      <c r="T2" s="4" t="s">
        <v>112</v>
      </c>
      <c r="U2" s="4" t="s">
        <v>113</v>
      </c>
      <c r="V2" s="5" t="s">
        <v>114</v>
      </c>
      <c r="W2" s="5" t="s">
        <v>115</v>
      </c>
      <c r="X2" s="5" t="s">
        <v>116</v>
      </c>
      <c r="Y2" s="5" t="s">
        <v>117</v>
      </c>
      <c r="Z2" s="5" t="s">
        <v>118</v>
      </c>
      <c r="AA2" s="5" t="s">
        <v>119</v>
      </c>
      <c r="AB2" s="5" t="s">
        <v>120</v>
      </c>
      <c r="AC2" s="5" t="s">
        <v>121</v>
      </c>
      <c r="AD2" s="5" t="s">
        <v>122</v>
      </c>
      <c r="AE2" s="5" t="s">
        <v>123</v>
      </c>
      <c r="AF2" s="5" t="s">
        <v>124</v>
      </c>
    </row>
    <row r="3" spans="1:32" x14ac:dyDescent="0.25">
      <c r="A3" s="1" t="s">
        <v>2</v>
      </c>
      <c r="B3" s="2">
        <f>Dimensions!T2</f>
        <v>1902</v>
      </c>
      <c r="C3" s="2">
        <f>Dimensions!T3</f>
        <v>157.19999999999999</v>
      </c>
      <c r="D3" s="2">
        <f>Dimensions!T4</f>
        <v>235.79999999999998</v>
      </c>
      <c r="E3" s="2">
        <f>Dimensions!T5</f>
        <v>314.39999999999998</v>
      </c>
      <c r="F3" s="2">
        <f>0.25*I3</f>
        <v>49.274739979019671</v>
      </c>
      <c r="G3" s="2">
        <f>0.25*H3</f>
        <v>24.637369989509835</v>
      </c>
      <c r="H3" s="2">
        <f>Dimensions!B15</f>
        <v>98.549479958039342</v>
      </c>
      <c r="I3" s="2">
        <f>Dimensions!B14</f>
        <v>197.09895991607868</v>
      </c>
      <c r="J3" s="2">
        <f>Dimensions!B17</f>
        <v>394.19791983215742</v>
      </c>
      <c r="K3" s="2">
        <f>CG!C18-CG!B15</f>
        <v>951</v>
      </c>
      <c r="L3" s="2">
        <f>90-Dimensions!B3</f>
        <v>54</v>
      </c>
      <c r="M3" s="2">
        <f>Dimensions!B5/2</f>
        <v>886.94531962235419</v>
      </c>
      <c r="N3" s="2">
        <f>0.25*R3</f>
        <v>55.173379079881272</v>
      </c>
      <c r="O3" s="2">
        <f>0.25*U3</f>
        <v>19.310682677958443</v>
      </c>
      <c r="P3" s="2">
        <f>Dimensions!E7/2</f>
        <v>260.69421615243903</v>
      </c>
      <c r="Q3" s="2">
        <f>Dimensions!E11</f>
        <v>160.47960631135837</v>
      </c>
      <c r="R3" s="2">
        <f>Dimensions!E8</f>
        <v>220.69351631952509</v>
      </c>
      <c r="S3" s="2">
        <f>90-Dimensions!E10</f>
        <v>54</v>
      </c>
      <c r="T3" s="2">
        <f>Dimensions!E5+150</f>
        <v>796.94531962235419</v>
      </c>
      <c r="U3" s="2">
        <f>Dimensions!E9</f>
        <v>77.242730711833772</v>
      </c>
      <c r="V3">
        <f>Dimensions!K8</f>
        <v>292.05</v>
      </c>
      <c r="W3">
        <f>Dimensions!K6</f>
        <v>126.50000000000001</v>
      </c>
      <c r="X3">
        <f>Dimensions!K9</f>
        <v>354.77812784894172</v>
      </c>
      <c r="Y3">
        <f>Dimensions!K10</f>
        <v>126.50000000000001</v>
      </c>
      <c r="Z3">
        <f>0.4*Dimensions!K8</f>
        <v>116.82000000000001</v>
      </c>
      <c r="AA3">
        <f>Dimensions!Q8</f>
        <v>850</v>
      </c>
      <c r="AB3">
        <f>Dimensions!Q3</f>
        <v>114.31739675132563</v>
      </c>
      <c r="AC3">
        <f>Dimensions!Q6</f>
        <v>59.539618973547867</v>
      </c>
      <c r="AD3">
        <f>Dimensions!Q10</f>
        <v>338.58850898673086</v>
      </c>
      <c r="AE3">
        <f>CG!B15</f>
        <v>120</v>
      </c>
      <c r="AF3">
        <f>CG!O23</f>
        <v>1086.329919104584</v>
      </c>
    </row>
    <row r="4" spans="1:32" x14ac:dyDescent="0.25">
      <c r="A4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2D7B0-BE0E-43ED-8A37-7190159E3DD9}">
  <dimension ref="A1:T17"/>
  <sheetViews>
    <sheetView topLeftCell="B1" zoomScale="70" zoomScaleNormal="70" workbookViewId="0">
      <selection activeCell="H8" sqref="H8"/>
    </sheetView>
  </sheetViews>
  <sheetFormatPr defaultRowHeight="14.85" x14ac:dyDescent="0.25"/>
  <cols>
    <col min="1" max="1" width="17.85546875" bestFit="1" customWidth="1"/>
    <col min="2" max="2" width="9.140625" style="2"/>
    <col min="4" max="4" width="13.42578125" bestFit="1" customWidth="1"/>
    <col min="7" max="7" width="13.42578125" bestFit="1" customWidth="1"/>
    <col min="10" max="10" width="19.28515625" bestFit="1" customWidth="1"/>
    <col min="13" max="13" width="18.140625" bestFit="1" customWidth="1"/>
    <col min="16" max="16" width="29.42578125" bestFit="1" customWidth="1"/>
    <col min="19" max="19" width="21.5703125" bestFit="1" customWidth="1"/>
  </cols>
  <sheetData>
    <row r="1" spans="1:20" x14ac:dyDescent="0.25">
      <c r="A1" s="35" t="s">
        <v>15</v>
      </c>
      <c r="B1" s="36"/>
      <c r="C1" s="35"/>
      <c r="D1" s="35" t="s">
        <v>16</v>
      </c>
      <c r="E1" s="35"/>
      <c r="F1" s="35"/>
      <c r="G1" s="35" t="s">
        <v>17</v>
      </c>
      <c r="H1" s="35"/>
      <c r="I1" s="35"/>
      <c r="J1" s="35" t="s">
        <v>18</v>
      </c>
      <c r="K1" s="35"/>
      <c r="L1" s="35"/>
      <c r="M1" s="35" t="s">
        <v>19</v>
      </c>
      <c r="N1" s="35"/>
      <c r="O1" s="35"/>
      <c r="P1" s="35" t="s">
        <v>20</v>
      </c>
      <c r="Q1" s="35"/>
      <c r="R1" s="35"/>
      <c r="S1" s="35" t="s">
        <v>21</v>
      </c>
    </row>
    <row r="2" spans="1:20" x14ac:dyDescent="0.25">
      <c r="A2" t="s">
        <v>22</v>
      </c>
      <c r="B2" s="2">
        <v>12</v>
      </c>
      <c r="D2" t="s">
        <v>23</v>
      </c>
      <c r="E2">
        <v>3.5</v>
      </c>
      <c r="G2" t="s">
        <v>23</v>
      </c>
      <c r="H2">
        <v>1.6</v>
      </c>
      <c r="J2" t="s">
        <v>24</v>
      </c>
      <c r="K2">
        <v>72790</v>
      </c>
      <c r="M2" t="s">
        <v>25</v>
      </c>
      <c r="N2">
        <v>0.1366</v>
      </c>
      <c r="P2" t="s">
        <v>26</v>
      </c>
      <c r="Q2">
        <f>N4*N2*N9</f>
        <v>24.231346132082713</v>
      </c>
      <c r="S2" t="s">
        <v>27</v>
      </c>
      <c r="T2">
        <f>158.5*12</f>
        <v>1902</v>
      </c>
    </row>
    <row r="3" spans="1:20" x14ac:dyDescent="0.25">
      <c r="A3" t="s">
        <v>28</v>
      </c>
      <c r="B3" s="2">
        <v>36</v>
      </c>
      <c r="D3" t="s">
        <v>29</v>
      </c>
      <c r="E3">
        <v>0.35</v>
      </c>
      <c r="G3" t="s">
        <v>29</v>
      </c>
      <c r="H3">
        <v>0.5</v>
      </c>
      <c r="J3" t="s">
        <v>30</v>
      </c>
      <c r="K3">
        <v>5</v>
      </c>
      <c r="M3" t="s">
        <v>29</v>
      </c>
      <c r="N3">
        <f>B9</f>
        <v>0.5</v>
      </c>
      <c r="P3" t="s">
        <v>31</v>
      </c>
      <c r="Q3">
        <f>(N11-N10)*N4</f>
        <v>114.31739675132563</v>
      </c>
      <c r="S3" t="s">
        <v>32</v>
      </c>
      <c r="T3">
        <f>13.1*12</f>
        <v>157.19999999999999</v>
      </c>
    </row>
    <row r="4" spans="1:20" x14ac:dyDescent="0.25">
      <c r="A4" t="s">
        <v>33</v>
      </c>
      <c r="B4" s="2">
        <f>12.31*12</f>
        <v>147.72</v>
      </c>
      <c r="D4" t="s">
        <v>34</v>
      </c>
      <c r="E4">
        <v>1.25</v>
      </c>
      <c r="G4" t="s">
        <v>34</v>
      </c>
      <c r="H4">
        <v>7.9000000000000001E-2</v>
      </c>
      <c r="J4" t="s">
        <v>35</v>
      </c>
      <c r="K4">
        <v>115</v>
      </c>
      <c r="M4" t="s">
        <v>36</v>
      </c>
      <c r="N4">
        <f>B14</f>
        <v>197.09895991607868</v>
      </c>
      <c r="P4" t="s">
        <v>37</v>
      </c>
      <c r="Q4">
        <f>Q2*Q3</f>
        <v>2770.0644095999992</v>
      </c>
      <c r="S4" t="s">
        <v>38</v>
      </c>
      <c r="T4">
        <f>1.5*T3</f>
        <v>235.79999999999998</v>
      </c>
    </row>
    <row r="5" spans="1:20" x14ac:dyDescent="0.25">
      <c r="A5" t="s">
        <v>39</v>
      </c>
      <c r="B5" s="2">
        <f>(B2*B6)^(1/2)</f>
        <v>1773.8906392447084</v>
      </c>
      <c r="D5" t="s">
        <v>40</v>
      </c>
      <c r="E5">
        <f>0.5*B5-240</f>
        <v>646.94531962235419</v>
      </c>
      <c r="G5" t="s">
        <v>40</v>
      </c>
      <c r="H5">
        <f>E5</f>
        <v>646.94531962235419</v>
      </c>
      <c r="J5" t="s">
        <v>41</v>
      </c>
      <c r="K5">
        <v>185</v>
      </c>
      <c r="M5" t="s">
        <v>42</v>
      </c>
      <c r="N5">
        <v>81619</v>
      </c>
      <c r="P5" t="s">
        <v>43</v>
      </c>
      <c r="Q5">
        <f>N12*N2*N9</f>
        <v>12.620346132082716</v>
      </c>
      <c r="S5" t="s">
        <v>44</v>
      </c>
      <c r="T5">
        <f>2*T3</f>
        <v>314.39999999999998</v>
      </c>
    </row>
    <row r="6" spans="1:20" x14ac:dyDescent="0.25">
      <c r="A6" t="s">
        <v>45</v>
      </c>
      <c r="B6" s="2">
        <f>1821*144</f>
        <v>262224</v>
      </c>
      <c r="D6" t="s">
        <v>45</v>
      </c>
      <c r="E6">
        <f>(E4*B6*B16)/E5</f>
        <v>77670.256383239554</v>
      </c>
      <c r="G6" t="s">
        <v>45</v>
      </c>
      <c r="H6">
        <f>(H4*B6*B5)/H5</f>
        <v>56801.368068154276</v>
      </c>
      <c r="J6" t="s">
        <v>46</v>
      </c>
      <c r="K6">
        <f>1.1*K4</f>
        <v>126.50000000000001</v>
      </c>
      <c r="M6" t="s">
        <v>47</v>
      </c>
      <c r="N6">
        <f>(38244/256620)*N5</f>
        <v>12163.654570960955</v>
      </c>
      <c r="P6" t="s">
        <v>48</v>
      </c>
      <c r="Q6">
        <f>(N11-N10)*N12</f>
        <v>59.539618973547867</v>
      </c>
      <c r="S6" t="s">
        <v>49</v>
      </c>
      <c r="T6">
        <f>0.5*T2</f>
        <v>951</v>
      </c>
    </row>
    <row r="7" spans="1:20" x14ac:dyDescent="0.25">
      <c r="A7" t="s">
        <v>27</v>
      </c>
      <c r="B7" s="2">
        <f>158.5*12</f>
        <v>1902</v>
      </c>
      <c r="D7" t="s">
        <v>39</v>
      </c>
      <c r="E7">
        <f>(E2*E6)^(1/2)</f>
        <v>521.38843230487805</v>
      </c>
      <c r="G7" t="s">
        <v>39</v>
      </c>
      <c r="H7">
        <f>(H2*H6)^(1/2)</f>
        <v>301.4667293567349</v>
      </c>
      <c r="J7" t="s">
        <v>50</v>
      </c>
      <c r="K7">
        <f>0.7*K4</f>
        <v>80.5</v>
      </c>
      <c r="M7" t="s">
        <v>51</v>
      </c>
      <c r="N7">
        <f>(5113/38244)*N6*(12^3)</f>
        <v>2810090.4544306756</v>
      </c>
      <c r="P7" t="s">
        <v>52</v>
      </c>
      <c r="Q7">
        <f>Q6*Q5</f>
        <v>751.41060001849348</v>
      </c>
    </row>
    <row r="8" spans="1:20" x14ac:dyDescent="0.25">
      <c r="A8" t="s">
        <v>32</v>
      </c>
      <c r="B8" s="2">
        <f>13.1*12</f>
        <v>157.19999999999999</v>
      </c>
      <c r="D8" t="s">
        <v>53</v>
      </c>
      <c r="E8">
        <f>(2*E6)/(E7*(1+E3))</f>
        <v>220.69351631952509</v>
      </c>
      <c r="G8" t="s">
        <v>53</v>
      </c>
      <c r="H8">
        <f>(2*H6)/(H7*(1+H3))</f>
        <v>251.22227446394575</v>
      </c>
      <c r="J8" t="s">
        <v>54</v>
      </c>
      <c r="K8">
        <f>1.1*(K7+K5)</f>
        <v>292.05</v>
      </c>
      <c r="M8" t="s">
        <v>55</v>
      </c>
      <c r="N8">
        <f>N7/2</f>
        <v>1405045.2272153378</v>
      </c>
      <c r="P8" t="s">
        <v>56</v>
      </c>
      <c r="Q8">
        <v>850</v>
      </c>
      <c r="R8" t="s">
        <v>57</v>
      </c>
    </row>
    <row r="9" spans="1:20" x14ac:dyDescent="0.25">
      <c r="A9" t="s">
        <v>29</v>
      </c>
      <c r="B9" s="2">
        <v>0.5</v>
      </c>
      <c r="D9" t="s">
        <v>58</v>
      </c>
      <c r="E9">
        <f>E8*E3</f>
        <v>77.242730711833772</v>
      </c>
      <c r="G9" t="s">
        <v>58</v>
      </c>
      <c r="H9">
        <f>H3*H8</f>
        <v>125.61113723197288</v>
      </c>
      <c r="J9" t="s">
        <v>59</v>
      </c>
      <c r="K9">
        <f>(2/5)*(1/2)*B5</f>
        <v>354.77812784894172</v>
      </c>
      <c r="M9" t="s">
        <v>60</v>
      </c>
      <c r="N9">
        <v>0.9</v>
      </c>
      <c r="P9" t="s">
        <v>61</v>
      </c>
      <c r="Q9">
        <f>(1/3)*Q8*(Q4+Q7+(Q4*Q7)^(1/2))</f>
        <v>1406523.3689026742</v>
      </c>
      <c r="R9">
        <f>N8-Q9</f>
        <v>-1478.1416873363778</v>
      </c>
    </row>
    <row r="10" spans="1:20" x14ac:dyDescent="0.25">
      <c r="A10" t="s">
        <v>62</v>
      </c>
      <c r="B10" s="2">
        <v>0.13600000000000001</v>
      </c>
      <c r="D10" t="s">
        <v>28</v>
      </c>
      <c r="E10">
        <f>(B3)</f>
        <v>36</v>
      </c>
      <c r="G10" t="s">
        <v>28</v>
      </c>
      <c r="H10">
        <f>E10</f>
        <v>36</v>
      </c>
      <c r="J10" t="s">
        <v>63</v>
      </c>
      <c r="K10">
        <f>K6</f>
        <v>126.50000000000001</v>
      </c>
      <c r="M10" t="s">
        <v>64</v>
      </c>
      <c r="N10">
        <v>0.17</v>
      </c>
      <c r="P10" t="s">
        <v>65</v>
      </c>
      <c r="Q10">
        <f>(Q8*(Q4+(2*(Q4*Q7)^(1/2))+3*Q7))/(4*(Q4+((Q4*Q7)^(1/2))+Q7))</f>
        <v>338.58850898673086</v>
      </c>
    </row>
    <row r="11" spans="1:20" x14ac:dyDescent="0.25">
      <c r="A11" t="s">
        <v>66</v>
      </c>
      <c r="B11" s="2">
        <v>2</v>
      </c>
      <c r="D11" t="s">
        <v>33</v>
      </c>
      <c r="E11">
        <f>(2/3)*E8*(1+E3-(E3/(1+E3)))</f>
        <v>160.47960631135837</v>
      </c>
      <c r="G11" t="s">
        <v>33</v>
      </c>
      <c r="H11">
        <f>(2/3)*H8*(1+H3-(H3/(1+H3)))</f>
        <v>195.39510236084669</v>
      </c>
      <c r="M11" t="s">
        <v>67</v>
      </c>
      <c r="N11">
        <v>0.75</v>
      </c>
      <c r="P11" t="s">
        <v>68</v>
      </c>
      <c r="Q11">
        <f>N10*B16</f>
        <v>26.060862477792632</v>
      </c>
    </row>
    <row r="12" spans="1:20" x14ac:dyDescent="0.25">
      <c r="A12" t="s">
        <v>69</v>
      </c>
      <c r="B12" s="2">
        <v>6</v>
      </c>
      <c r="M12" t="s">
        <v>70</v>
      </c>
      <c r="N12">
        <f>N4-(N4*((1-N3)/(B5/2)))*Q8</f>
        <v>102.65451547163426</v>
      </c>
    </row>
    <row r="13" spans="1:20" x14ac:dyDescent="0.25">
      <c r="A13" t="s">
        <v>71</v>
      </c>
      <c r="B13" s="2">
        <v>1</v>
      </c>
    </row>
    <row r="14" spans="1:20" x14ac:dyDescent="0.25">
      <c r="A14" t="s">
        <v>53</v>
      </c>
      <c r="B14" s="2">
        <f>(2*B6)/(B5*(1+B9))</f>
        <v>197.09895991607868</v>
      </c>
    </row>
    <row r="15" spans="1:20" x14ac:dyDescent="0.25">
      <c r="A15" t="s">
        <v>58</v>
      </c>
      <c r="B15" s="2">
        <f>B14*B9</f>
        <v>98.549479958039342</v>
      </c>
    </row>
    <row r="16" spans="1:20" x14ac:dyDescent="0.25">
      <c r="A16" t="s">
        <v>33</v>
      </c>
      <c r="B16" s="2">
        <f>(2/3)*B14*(1+B9-(B9/(1+B9)))</f>
        <v>153.299191045839</v>
      </c>
    </row>
    <row r="17" spans="1:2" x14ac:dyDescent="0.25">
      <c r="A17" t="s">
        <v>72</v>
      </c>
      <c r="B17" s="2">
        <f>(B5/6)*((1+2*B9)/(1+B9))</f>
        <v>394.19791983215742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E7737-86DF-4076-B887-06496A955A25}">
  <dimension ref="A1:BL42"/>
  <sheetViews>
    <sheetView tabSelected="1" topLeftCell="A7" workbookViewId="0">
      <selection activeCell="B41" sqref="B41"/>
    </sheetView>
  </sheetViews>
  <sheetFormatPr defaultRowHeight="14.85" x14ac:dyDescent="0.25"/>
  <cols>
    <col min="1" max="1" width="37.140625" bestFit="1" customWidth="1"/>
    <col min="2" max="2" width="9.140625" style="2"/>
  </cols>
  <sheetData>
    <row r="1" spans="1:64" ht="15.6" thickBot="1" x14ac:dyDescent="0.3">
      <c r="A1" t="s">
        <v>73</v>
      </c>
      <c r="B1" s="2">
        <v>288610</v>
      </c>
    </row>
    <row r="2" spans="1:64" x14ac:dyDescent="0.25">
      <c r="A2" t="s">
        <v>74</v>
      </c>
      <c r="B2" s="2" t="s">
        <v>75</v>
      </c>
      <c r="C2" t="s">
        <v>76</v>
      </c>
      <c r="E2" s="10" t="s">
        <v>77</v>
      </c>
      <c r="F2" s="11" t="s">
        <v>78</v>
      </c>
      <c r="G2" s="11" t="s">
        <v>79</v>
      </c>
      <c r="H2" s="12" t="s">
        <v>80</v>
      </c>
    </row>
    <row r="3" spans="1:64" x14ac:dyDescent="0.25">
      <c r="A3" t="s">
        <v>81</v>
      </c>
      <c r="B3" s="2">
        <v>7.4999999999999997E-3</v>
      </c>
      <c r="C3">
        <f>B3*B1^(1.195)</f>
        <v>25126.57860390588</v>
      </c>
      <c r="E3" s="7" t="s">
        <v>82</v>
      </c>
      <c r="F3" s="14"/>
      <c r="G3" s="14"/>
      <c r="H3" s="15"/>
    </row>
    <row r="4" spans="1:64" x14ac:dyDescent="0.25">
      <c r="A4" t="s">
        <v>21</v>
      </c>
      <c r="B4" s="2">
        <v>1530</v>
      </c>
      <c r="C4">
        <f>B4*B1^0.235</f>
        <v>29367.339499890135</v>
      </c>
      <c r="E4" s="7" t="s">
        <v>83</v>
      </c>
      <c r="F4" s="16"/>
      <c r="G4" s="16"/>
      <c r="H4" s="17"/>
    </row>
    <row r="5" spans="1:64" x14ac:dyDescent="0.25">
      <c r="A5" t="s">
        <v>84</v>
      </c>
      <c r="B5" s="2">
        <v>0.04</v>
      </c>
      <c r="C5">
        <f>B5*B1</f>
        <v>11544.4</v>
      </c>
      <c r="E5" s="7" t="s">
        <v>85</v>
      </c>
      <c r="F5" s="16"/>
      <c r="G5" s="14"/>
      <c r="H5" s="17"/>
    </row>
    <row r="6" spans="1:64" ht="15.6" thickBot="1" x14ac:dyDescent="0.3">
      <c r="A6" t="s">
        <v>86</v>
      </c>
      <c r="B6" s="2">
        <v>2.24E-2</v>
      </c>
      <c r="C6">
        <f>B6*B1</f>
        <v>6464.8639999999996</v>
      </c>
      <c r="E6" s="18" t="s">
        <v>87</v>
      </c>
      <c r="F6" s="19"/>
      <c r="G6" s="20"/>
      <c r="H6" s="21"/>
    </row>
    <row r="7" spans="1:64" x14ac:dyDescent="0.25">
      <c r="A7" t="s">
        <v>88</v>
      </c>
      <c r="B7" s="2">
        <v>1.2999999999999999E-3</v>
      </c>
      <c r="C7">
        <f>B7*B1</f>
        <v>375.19299999999998</v>
      </c>
    </row>
    <row r="8" spans="1:64" x14ac:dyDescent="0.25">
      <c r="A8" t="s">
        <v>89</v>
      </c>
      <c r="B8" s="2">
        <v>0.155</v>
      </c>
      <c r="C8">
        <f>B8*B1</f>
        <v>44734.55</v>
      </c>
    </row>
    <row r="9" spans="1:64" x14ac:dyDescent="0.25">
      <c r="A9" t="s">
        <v>90</v>
      </c>
      <c r="B9" s="2">
        <v>3.5000000000000003E-2</v>
      </c>
      <c r="C9">
        <f>B9*B1</f>
        <v>10101.35</v>
      </c>
    </row>
    <row r="10" spans="1:64" x14ac:dyDescent="0.25">
      <c r="A10" t="s">
        <v>90</v>
      </c>
      <c r="C10">
        <v>28200</v>
      </c>
    </row>
    <row r="11" spans="1:64" x14ac:dyDescent="0.25">
      <c r="A11" t="s">
        <v>79</v>
      </c>
      <c r="B11" s="2">
        <v>0.2828</v>
      </c>
      <c r="C11">
        <f>B11*B1</f>
        <v>81618.907999999996</v>
      </c>
    </row>
    <row r="12" spans="1:64" x14ac:dyDescent="0.25">
      <c r="A12" t="s">
        <v>91</v>
      </c>
      <c r="C12">
        <f>215*200</f>
        <v>43000</v>
      </c>
    </row>
    <row r="13" spans="1:64" x14ac:dyDescent="0.25">
      <c r="A13" t="s">
        <v>78</v>
      </c>
      <c r="C13">
        <v>4000</v>
      </c>
    </row>
    <row r="14" spans="1:64" x14ac:dyDescent="0.25">
      <c r="A14" t="s">
        <v>92</v>
      </c>
      <c r="C14">
        <f>SUM(C3:C13)</f>
        <v>284533.18310379604</v>
      </c>
    </row>
    <row r="15" spans="1:64" ht="15.6" thickBot="1" x14ac:dyDescent="0.3">
      <c r="A15" t="s">
        <v>105</v>
      </c>
      <c r="B15" s="2">
        <v>120</v>
      </c>
    </row>
    <row r="16" spans="1:64" x14ac:dyDescent="0.25">
      <c r="A16" s="6"/>
      <c r="B16" s="39" t="s">
        <v>82</v>
      </c>
      <c r="C16" s="40"/>
      <c r="D16" s="41"/>
      <c r="E16" s="39" t="s">
        <v>83</v>
      </c>
      <c r="F16" s="40"/>
      <c r="G16" s="41"/>
      <c r="H16" s="39" t="s">
        <v>85</v>
      </c>
      <c r="I16" s="40"/>
      <c r="J16" s="41"/>
      <c r="K16" s="39" t="s">
        <v>87</v>
      </c>
      <c r="L16" s="40"/>
      <c r="M16" s="41"/>
      <c r="N16" t="s">
        <v>97</v>
      </c>
      <c r="O16">
        <f>D30/B30</f>
        <v>1062.6966450886484</v>
      </c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</row>
    <row r="17" spans="1:64" x14ac:dyDescent="0.25">
      <c r="A17" s="22" t="s">
        <v>93</v>
      </c>
      <c r="B17" s="32" t="s">
        <v>76</v>
      </c>
      <c r="C17" s="8" t="s">
        <v>94</v>
      </c>
      <c r="D17" s="9" t="s">
        <v>95</v>
      </c>
      <c r="E17" s="7" t="s">
        <v>76</v>
      </c>
      <c r="F17" s="8" t="s">
        <v>94</v>
      </c>
      <c r="G17" s="9" t="s">
        <v>95</v>
      </c>
      <c r="H17" s="7" t="s">
        <v>76</v>
      </c>
      <c r="I17" s="8" t="s">
        <v>94</v>
      </c>
      <c r="J17" s="9" t="s">
        <v>95</v>
      </c>
      <c r="K17" s="7" t="s">
        <v>76</v>
      </c>
      <c r="L17" s="8" t="s">
        <v>94</v>
      </c>
      <c r="M17" s="9" t="s">
        <v>95</v>
      </c>
      <c r="N17" t="s">
        <v>98</v>
      </c>
      <c r="O17">
        <f>G30/E30</f>
        <v>1074.1689322629607</v>
      </c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</row>
    <row r="18" spans="1:64" x14ac:dyDescent="0.25">
      <c r="A18" s="22" t="s">
        <v>96</v>
      </c>
      <c r="B18" s="32"/>
      <c r="C18" s="37">
        <f>B15+Dimensions!T6</f>
        <v>1071</v>
      </c>
      <c r="D18" s="9"/>
      <c r="E18" s="7"/>
      <c r="F18" s="8"/>
      <c r="G18" s="9"/>
      <c r="H18" s="7"/>
      <c r="I18" s="8"/>
      <c r="J18" s="9"/>
      <c r="K18" s="7"/>
      <c r="L18" s="8"/>
      <c r="M18" s="9"/>
      <c r="N18" t="s">
        <v>99</v>
      </c>
      <c r="O18">
        <f>J30/H30</f>
        <v>1056.9996359104641</v>
      </c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</row>
    <row r="19" spans="1:64" x14ac:dyDescent="0.25">
      <c r="A19" s="22" t="s">
        <v>81</v>
      </c>
      <c r="B19" s="32">
        <f t="shared" ref="B19:B29" si="0">C3</f>
        <v>25126.57860390588</v>
      </c>
      <c r="C19" s="8">
        <f>C18+(0.25*Dimensions!B16)</f>
        <v>1109.3247977614596</v>
      </c>
      <c r="D19" s="9">
        <f t="shared" ref="D19:D29" si="1">B19*C19</f>
        <v>27873536.728215311</v>
      </c>
      <c r="E19" s="7">
        <f t="shared" ref="E19:E26" si="2">C3</f>
        <v>25126.57860390588</v>
      </c>
      <c r="F19" s="8">
        <f>C19</f>
        <v>1109.3247977614596</v>
      </c>
      <c r="G19" s="9">
        <f>E19*F19</f>
        <v>27873536.728215311</v>
      </c>
      <c r="H19" s="7">
        <f t="shared" ref="H19:H27" si="3">C3</f>
        <v>25126.57860390588</v>
      </c>
      <c r="I19" s="8">
        <f>C20</f>
        <v>1071</v>
      </c>
      <c r="J19" s="9">
        <f>H19*I19</f>
        <v>26910565.684783198</v>
      </c>
      <c r="K19" s="7">
        <f t="shared" ref="K19:K26" si="4">C3</f>
        <v>25126.57860390588</v>
      </c>
      <c r="L19" s="8">
        <f t="shared" ref="L19:L29" si="5">C19</f>
        <v>1109.3247977614596</v>
      </c>
      <c r="M19" s="9">
        <f>K19*L19</f>
        <v>27873536.728215311</v>
      </c>
      <c r="N19" t="s">
        <v>100</v>
      </c>
      <c r="O19">
        <f>M30/K30</f>
        <v>1073.434928623823</v>
      </c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</row>
    <row r="20" spans="1:64" x14ac:dyDescent="0.25">
      <c r="A20" s="22" t="s">
        <v>21</v>
      </c>
      <c r="B20" s="32">
        <f t="shared" si="0"/>
        <v>29367.339499890135</v>
      </c>
      <c r="C20" s="8">
        <f>B15+(0.5*Dimensions!T2)</f>
        <v>1071</v>
      </c>
      <c r="D20" s="9">
        <f t="shared" si="1"/>
        <v>31452420.604382336</v>
      </c>
      <c r="E20" s="7">
        <f t="shared" si="2"/>
        <v>29367.339499890135</v>
      </c>
      <c r="F20" s="8">
        <f>C20</f>
        <v>1071</v>
      </c>
      <c r="G20" s="9">
        <f>E20*F20</f>
        <v>31452420.604382336</v>
      </c>
      <c r="H20" s="7">
        <f t="shared" si="3"/>
        <v>29367.339499890135</v>
      </c>
      <c r="I20" s="8">
        <f t="shared" ref="I20:I29" si="6">C20</f>
        <v>1071</v>
      </c>
      <c r="J20" s="9">
        <f>H20*I20</f>
        <v>31452420.604382336</v>
      </c>
      <c r="K20" s="7">
        <f t="shared" si="4"/>
        <v>29367.339499890135</v>
      </c>
      <c r="L20" s="8">
        <f t="shared" si="5"/>
        <v>1071</v>
      </c>
      <c r="M20" s="9">
        <f>K20*L20</f>
        <v>31452420.604382336</v>
      </c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</row>
    <row r="21" spans="1:64" x14ac:dyDescent="0.25">
      <c r="A21" s="22" t="s">
        <v>84</v>
      </c>
      <c r="B21" s="32">
        <f t="shared" si="0"/>
        <v>11544.4</v>
      </c>
      <c r="C21" s="37">
        <f>O23</f>
        <v>1086.329919104584</v>
      </c>
      <c r="D21" s="9">
        <f t="shared" si="1"/>
        <v>12541027.118110958</v>
      </c>
      <c r="E21" s="7">
        <f t="shared" si="2"/>
        <v>11544.4</v>
      </c>
      <c r="F21" s="8">
        <f t="shared" ref="F21:F26" si="7">C21</f>
        <v>1086.329919104584</v>
      </c>
      <c r="G21" s="9">
        <f t="shared" ref="G21:G29" si="8">E21*F21</f>
        <v>12541027.118110958</v>
      </c>
      <c r="H21" s="7">
        <f t="shared" si="3"/>
        <v>11544.4</v>
      </c>
      <c r="I21" s="8">
        <f t="shared" si="6"/>
        <v>1086.329919104584</v>
      </c>
      <c r="J21" s="9">
        <f t="shared" ref="J21:J29" si="9">H21*I21</f>
        <v>12541027.118110958</v>
      </c>
      <c r="K21" s="7">
        <f t="shared" si="4"/>
        <v>11544.4</v>
      </c>
      <c r="L21" s="8">
        <f t="shared" si="5"/>
        <v>1086.329919104584</v>
      </c>
      <c r="M21" s="9">
        <f t="shared" ref="M21:M29" si="10">K21*L21</f>
        <v>12541027.118110958</v>
      </c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</row>
    <row r="22" spans="1:64" x14ac:dyDescent="0.25">
      <c r="A22" s="22" t="s">
        <v>86</v>
      </c>
      <c r="B22" s="32">
        <f t="shared" si="0"/>
        <v>6464.8639999999996</v>
      </c>
      <c r="C22" s="8">
        <f>C19-(0.5*Dimensions!K8)</f>
        <v>963.29979776145967</v>
      </c>
      <c r="D22" s="9">
        <f t="shared" si="1"/>
        <v>6227602.183755341</v>
      </c>
      <c r="E22" s="7">
        <f t="shared" si="2"/>
        <v>6464.8639999999996</v>
      </c>
      <c r="F22" s="8">
        <f t="shared" si="7"/>
        <v>963.29979776145967</v>
      </c>
      <c r="G22" s="9">
        <f t="shared" si="8"/>
        <v>6227602.183755341</v>
      </c>
      <c r="H22" s="7">
        <f t="shared" si="3"/>
        <v>6464.8639999999996</v>
      </c>
      <c r="I22" s="8">
        <f t="shared" si="6"/>
        <v>963.29979776145967</v>
      </c>
      <c r="J22" s="9">
        <f t="shared" si="9"/>
        <v>6227602.183755341</v>
      </c>
      <c r="K22" s="7">
        <f t="shared" si="4"/>
        <v>6464.8639999999996</v>
      </c>
      <c r="L22" s="8">
        <f t="shared" si="5"/>
        <v>963.29979776145967</v>
      </c>
      <c r="M22" s="9">
        <f t="shared" si="10"/>
        <v>6227602.183755341</v>
      </c>
      <c r="N22" t="s">
        <v>101</v>
      </c>
      <c r="O22">
        <f>CG!C18-Dimensions!B16*0.1</f>
        <v>1055.670080895416</v>
      </c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</row>
    <row r="23" spans="1:64" x14ac:dyDescent="0.25">
      <c r="A23" s="22" t="s">
        <v>88</v>
      </c>
      <c r="B23" s="32">
        <f t="shared" si="0"/>
        <v>375.19299999999998</v>
      </c>
      <c r="C23" s="8">
        <f>C19+Dimensions!E5+(0.25*Dimensions!E11)</f>
        <v>1796.3900189616534</v>
      </c>
      <c r="D23" s="9">
        <f t="shared" si="1"/>
        <v>673992.96038427961</v>
      </c>
      <c r="E23" s="7">
        <f t="shared" si="2"/>
        <v>375.19299999999998</v>
      </c>
      <c r="F23" s="8">
        <f t="shared" si="7"/>
        <v>1796.3900189616534</v>
      </c>
      <c r="G23" s="9">
        <f t="shared" si="8"/>
        <v>673992.96038427961</v>
      </c>
      <c r="H23" s="7">
        <f t="shared" si="3"/>
        <v>375.19299999999998</v>
      </c>
      <c r="I23" s="8">
        <f t="shared" si="6"/>
        <v>1796.3900189616534</v>
      </c>
      <c r="J23" s="9">
        <f t="shared" si="9"/>
        <v>673992.96038427961</v>
      </c>
      <c r="K23" s="7">
        <f t="shared" si="4"/>
        <v>375.19299999999998</v>
      </c>
      <c r="L23" s="8">
        <f t="shared" si="5"/>
        <v>1796.3900189616534</v>
      </c>
      <c r="M23" s="9">
        <f t="shared" si="10"/>
        <v>673992.96038427961</v>
      </c>
      <c r="N23" t="s">
        <v>102</v>
      </c>
      <c r="O23">
        <f>CG!C18+Dimensions!B16*0.1</f>
        <v>1086.329919104584</v>
      </c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</row>
    <row r="24" spans="1:64" x14ac:dyDescent="0.25">
      <c r="A24" s="22" t="s">
        <v>89</v>
      </c>
      <c r="B24" s="32">
        <f t="shared" si="0"/>
        <v>44734.55</v>
      </c>
      <c r="C24" s="8">
        <f>C22</f>
        <v>963.29979776145967</v>
      </c>
      <c r="D24" s="9">
        <f t="shared" si="1"/>
        <v>43092782.967949912</v>
      </c>
      <c r="E24" s="7">
        <f t="shared" si="2"/>
        <v>44734.55</v>
      </c>
      <c r="F24" s="8">
        <f t="shared" si="7"/>
        <v>963.29979776145967</v>
      </c>
      <c r="G24" s="9">
        <f t="shared" si="8"/>
        <v>43092782.967949912</v>
      </c>
      <c r="H24" s="7">
        <f t="shared" si="3"/>
        <v>44734.55</v>
      </c>
      <c r="I24" s="8">
        <f t="shared" si="6"/>
        <v>963.29979776145967</v>
      </c>
      <c r="J24" s="9">
        <f t="shared" si="9"/>
        <v>43092782.967949912</v>
      </c>
      <c r="K24" s="7">
        <f t="shared" si="4"/>
        <v>44734.55</v>
      </c>
      <c r="L24" s="8">
        <f t="shared" si="5"/>
        <v>963.29979776145967</v>
      </c>
      <c r="M24" s="9">
        <f t="shared" si="10"/>
        <v>43092782.967949912</v>
      </c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</row>
    <row r="25" spans="1:64" x14ac:dyDescent="0.25">
      <c r="A25" s="22" t="s">
        <v>90</v>
      </c>
      <c r="B25" s="32">
        <f t="shared" si="0"/>
        <v>10101.35</v>
      </c>
      <c r="C25" s="37">
        <f>C18+120</f>
        <v>1191</v>
      </c>
      <c r="D25" s="9">
        <f t="shared" si="1"/>
        <v>12030707.85</v>
      </c>
      <c r="E25" s="7">
        <f t="shared" si="2"/>
        <v>10101.35</v>
      </c>
      <c r="F25" s="8">
        <f t="shared" si="7"/>
        <v>1191</v>
      </c>
      <c r="G25" s="9">
        <f t="shared" si="8"/>
        <v>12030707.85</v>
      </c>
      <c r="H25" s="7">
        <f t="shared" si="3"/>
        <v>10101.35</v>
      </c>
      <c r="I25" s="8">
        <f t="shared" si="6"/>
        <v>1191</v>
      </c>
      <c r="J25" s="9">
        <f t="shared" si="9"/>
        <v>12030707.85</v>
      </c>
      <c r="K25" s="7">
        <f t="shared" si="4"/>
        <v>10101.35</v>
      </c>
      <c r="L25" s="8">
        <f t="shared" si="5"/>
        <v>1191</v>
      </c>
      <c r="M25" s="9">
        <f t="shared" si="10"/>
        <v>12030707.85</v>
      </c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</row>
    <row r="26" spans="1:64" x14ac:dyDescent="0.25">
      <c r="A26" s="22" t="s">
        <v>90</v>
      </c>
      <c r="B26" s="32">
        <f t="shared" si="0"/>
        <v>28200</v>
      </c>
      <c r="C26" s="37">
        <f>C18+120</f>
        <v>1191</v>
      </c>
      <c r="D26" s="9">
        <f t="shared" si="1"/>
        <v>33586200</v>
      </c>
      <c r="E26" s="7">
        <f t="shared" si="2"/>
        <v>28200</v>
      </c>
      <c r="F26" s="8">
        <f t="shared" si="7"/>
        <v>1191</v>
      </c>
      <c r="G26" s="9">
        <f t="shared" si="8"/>
        <v>33586200</v>
      </c>
      <c r="H26" s="7">
        <f t="shared" si="3"/>
        <v>28200</v>
      </c>
      <c r="I26" s="8">
        <f t="shared" si="6"/>
        <v>1191</v>
      </c>
      <c r="J26" s="9">
        <f t="shared" si="9"/>
        <v>33586200</v>
      </c>
      <c r="K26" s="7">
        <f t="shared" si="4"/>
        <v>28200</v>
      </c>
      <c r="L26" s="8">
        <f t="shared" si="5"/>
        <v>1191</v>
      </c>
      <c r="M26" s="9">
        <f t="shared" si="10"/>
        <v>33586200</v>
      </c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</row>
    <row r="27" spans="1:64" x14ac:dyDescent="0.25">
      <c r="A27" s="22" t="s">
        <v>79</v>
      </c>
      <c r="B27" s="32">
        <f t="shared" si="0"/>
        <v>81618.907999999996</v>
      </c>
      <c r="C27" s="8">
        <f>C18-35</f>
        <v>1036</v>
      </c>
      <c r="D27" s="9">
        <f t="shared" si="1"/>
        <v>84557188.687999994</v>
      </c>
      <c r="E27" s="7">
        <v>0</v>
      </c>
      <c r="F27" s="8">
        <f>C27</f>
        <v>1036</v>
      </c>
      <c r="G27" s="9">
        <f t="shared" si="8"/>
        <v>0</v>
      </c>
      <c r="H27" s="7">
        <f t="shared" si="3"/>
        <v>81618.907999999996</v>
      </c>
      <c r="I27" s="8">
        <f t="shared" si="6"/>
        <v>1036</v>
      </c>
      <c r="J27" s="9">
        <f t="shared" si="9"/>
        <v>84557188.687999994</v>
      </c>
      <c r="K27" s="7">
        <v>0</v>
      </c>
      <c r="L27" s="8">
        <f t="shared" si="5"/>
        <v>1036</v>
      </c>
      <c r="M27" s="9">
        <f t="shared" si="10"/>
        <v>0</v>
      </c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</row>
    <row r="28" spans="1:64" x14ac:dyDescent="0.25">
      <c r="A28" s="22" t="s">
        <v>91</v>
      </c>
      <c r="B28" s="32">
        <f t="shared" si="0"/>
        <v>43000</v>
      </c>
      <c r="C28" s="37">
        <f>C20</f>
        <v>1071</v>
      </c>
      <c r="D28" s="9">
        <f t="shared" si="1"/>
        <v>46053000</v>
      </c>
      <c r="E28" s="7">
        <v>0</v>
      </c>
      <c r="F28" s="8">
        <f>C28</f>
        <v>1071</v>
      </c>
      <c r="G28" s="9">
        <f t="shared" si="8"/>
        <v>0</v>
      </c>
      <c r="H28" s="7">
        <v>0</v>
      </c>
      <c r="I28" s="8">
        <f t="shared" si="6"/>
        <v>1071</v>
      </c>
      <c r="J28" s="9">
        <f t="shared" si="9"/>
        <v>0</v>
      </c>
      <c r="K28" s="7">
        <f>C12</f>
        <v>43000</v>
      </c>
      <c r="L28" s="8">
        <f t="shared" si="5"/>
        <v>1071</v>
      </c>
      <c r="M28" s="9">
        <f t="shared" si="10"/>
        <v>46053000</v>
      </c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</row>
    <row r="29" spans="1:64" ht="15.6" thickBot="1" x14ac:dyDescent="0.3">
      <c r="A29" s="23" t="s">
        <v>78</v>
      </c>
      <c r="B29" s="33">
        <f t="shared" si="0"/>
        <v>4000</v>
      </c>
      <c r="C29" s="38">
        <f>C18</f>
        <v>1071</v>
      </c>
      <c r="D29" s="25">
        <f t="shared" si="1"/>
        <v>4284000</v>
      </c>
      <c r="E29" s="13">
        <v>0</v>
      </c>
      <c r="F29" s="24">
        <f t="shared" ref="F29" si="11">C29</f>
        <v>1071</v>
      </c>
      <c r="G29" s="25">
        <f t="shared" si="8"/>
        <v>0</v>
      </c>
      <c r="H29" s="13">
        <v>0</v>
      </c>
      <c r="I29" s="24">
        <f t="shared" si="6"/>
        <v>1071</v>
      </c>
      <c r="J29" s="25">
        <f t="shared" si="9"/>
        <v>0</v>
      </c>
      <c r="K29" s="13">
        <f>C13</f>
        <v>4000</v>
      </c>
      <c r="L29" s="24">
        <f t="shared" si="5"/>
        <v>1071</v>
      </c>
      <c r="M29" s="25">
        <f t="shared" si="10"/>
        <v>4284000</v>
      </c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</row>
    <row r="30" spans="1:64" ht="15.6" thickBot="1" x14ac:dyDescent="0.3">
      <c r="A30" s="26" t="s">
        <v>103</v>
      </c>
      <c r="B30" s="34">
        <f>SUM(B19:B29)</f>
        <v>284533.18310379604</v>
      </c>
      <c r="C30" s="28"/>
      <c r="D30" s="29">
        <f>SUM(D19:D29)</f>
        <v>302372459.10079813</v>
      </c>
      <c r="E30" s="27">
        <f>SUM(E19:E29)</f>
        <v>155914.27510379604</v>
      </c>
      <c r="F30" s="28"/>
      <c r="G30" s="29">
        <f>SUM(G19:G29)</f>
        <v>167478270.41279811</v>
      </c>
      <c r="H30" s="27">
        <f>SUM(H19:H29)</f>
        <v>237533.18310379604</v>
      </c>
      <c r="I30" s="28"/>
      <c r="J30" s="29">
        <f>SUM(J19:J29)</f>
        <v>251072488.05736601</v>
      </c>
      <c r="K30" s="27">
        <f>SUM(K19:K29)</f>
        <v>202914.27510379604</v>
      </c>
      <c r="L30" s="28"/>
      <c r="M30" s="29">
        <f>SUM(M19:M29)</f>
        <v>217815270.41279811</v>
      </c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</row>
    <row r="31" spans="1:64" x14ac:dyDescent="0.25">
      <c r="B31" s="2" t="s">
        <v>104</v>
      </c>
      <c r="D31">
        <f>O16-C18</f>
        <v>-8.3033549113515619</v>
      </c>
    </row>
    <row r="32" spans="1:64" x14ac:dyDescent="0.25">
      <c r="D32" t="s">
        <v>125</v>
      </c>
    </row>
    <row r="33" spans="1:4" x14ac:dyDescent="0.25">
      <c r="A33" t="s">
        <v>84</v>
      </c>
      <c r="C33" t="s">
        <v>147</v>
      </c>
    </row>
    <row r="34" spans="1:4" x14ac:dyDescent="0.25">
      <c r="A34" t="s">
        <v>73</v>
      </c>
      <c r="B34" s="2">
        <f>B1</f>
        <v>288610</v>
      </c>
    </row>
    <row r="35" spans="1:4" x14ac:dyDescent="0.25">
      <c r="A35" t="s">
        <v>145</v>
      </c>
      <c r="B35" s="2">
        <f>B34/8</f>
        <v>36076.25</v>
      </c>
      <c r="C35">
        <v>55.8</v>
      </c>
    </row>
    <row r="36" spans="1:4" x14ac:dyDescent="0.25">
      <c r="A36" t="s">
        <v>146</v>
      </c>
      <c r="B36" s="2">
        <f>0.15*B34/2</f>
        <v>21645.75</v>
      </c>
      <c r="C36">
        <v>39.200000000000003</v>
      </c>
    </row>
    <row r="38" spans="1:4" x14ac:dyDescent="0.25">
      <c r="B38" s="2" t="s">
        <v>94</v>
      </c>
      <c r="C38" t="s">
        <v>76</v>
      </c>
      <c r="D38" t="s">
        <v>95</v>
      </c>
    </row>
    <row r="39" spans="1:4" x14ac:dyDescent="0.25">
      <c r="B39" s="2">
        <v>0</v>
      </c>
      <c r="C39">
        <f>B34</f>
        <v>288610</v>
      </c>
      <c r="D39">
        <f>C39*B39</f>
        <v>0</v>
      </c>
    </row>
    <row r="40" spans="1:4" x14ac:dyDescent="0.25">
      <c r="B40" s="2">
        <v>-40.22</v>
      </c>
      <c r="C40">
        <f>0.9*C39</f>
        <v>259749</v>
      </c>
      <c r="D40">
        <f>C40*B40</f>
        <v>-10447104.779999999</v>
      </c>
    </row>
    <row r="41" spans="1:4" x14ac:dyDescent="0.25">
      <c r="B41" s="2">
        <f>-D40/C41</f>
        <v>361.97999999999996</v>
      </c>
      <c r="C41">
        <f>0.1*C39</f>
        <v>28861</v>
      </c>
      <c r="D41">
        <f>C41*B41</f>
        <v>10447104.779999999</v>
      </c>
    </row>
    <row r="42" spans="1:4" x14ac:dyDescent="0.25">
      <c r="D42">
        <v>0</v>
      </c>
    </row>
  </sheetData>
  <mergeCells count="4">
    <mergeCell ref="B16:D16"/>
    <mergeCell ref="E16:G16"/>
    <mergeCell ref="H16:J16"/>
    <mergeCell ref="K16:M16"/>
  </mergeCells>
  <pageMargins left="0.7" right="0.7" top="0.75" bottom="0.75" header="0.3" footer="0.3"/>
  <ignoredErrors>
    <ignoredError sqref="C27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3221-1688-488E-A568-9FBE20DE9873}">
  <dimension ref="A2:C22"/>
  <sheetViews>
    <sheetView workbookViewId="0">
      <selection activeCell="H14" sqref="H14"/>
    </sheetView>
  </sheetViews>
  <sheetFormatPr defaultRowHeight="14.85" x14ac:dyDescent="0.25"/>
  <cols>
    <col min="1" max="1" width="13.140625" bestFit="1" customWidth="1"/>
  </cols>
  <sheetData>
    <row r="2" spans="1:3" x14ac:dyDescent="0.25">
      <c r="A2" t="s">
        <v>128</v>
      </c>
      <c r="B2">
        <v>200</v>
      </c>
    </row>
    <row r="4" spans="1:3" x14ac:dyDescent="0.25">
      <c r="A4" t="s">
        <v>126</v>
      </c>
      <c r="B4">
        <f>0.08*200</f>
        <v>16</v>
      </c>
    </row>
    <row r="5" spans="1:3" x14ac:dyDescent="0.25">
      <c r="A5" t="s">
        <v>69</v>
      </c>
      <c r="B5">
        <v>4</v>
      </c>
    </row>
    <row r="6" spans="1:3" x14ac:dyDescent="0.25">
      <c r="A6" t="s">
        <v>129</v>
      </c>
      <c r="B6">
        <f>B4/B5</f>
        <v>4</v>
      </c>
    </row>
    <row r="7" spans="1:3" x14ac:dyDescent="0.25">
      <c r="A7" t="s">
        <v>131</v>
      </c>
      <c r="B7">
        <v>2</v>
      </c>
      <c r="C7" t="s">
        <v>132</v>
      </c>
    </row>
    <row r="8" spans="1:3" x14ac:dyDescent="0.25">
      <c r="A8" t="s">
        <v>130</v>
      </c>
      <c r="B8">
        <f>B4*0.3</f>
        <v>4.8</v>
      </c>
      <c r="C8" t="s">
        <v>133</v>
      </c>
    </row>
    <row r="9" spans="1:3" x14ac:dyDescent="0.25">
      <c r="A9" t="s">
        <v>134</v>
      </c>
      <c r="B9" t="s">
        <v>135</v>
      </c>
    </row>
    <row r="10" spans="1:3" x14ac:dyDescent="0.25">
      <c r="A10" t="s">
        <v>136</v>
      </c>
      <c r="B10" t="s">
        <v>137</v>
      </c>
    </row>
    <row r="11" spans="1:3" x14ac:dyDescent="0.25">
      <c r="A11" t="s">
        <v>138</v>
      </c>
      <c r="B11" t="s">
        <v>139</v>
      </c>
    </row>
    <row r="12" spans="1:3" x14ac:dyDescent="0.25">
      <c r="A12" t="s">
        <v>140</v>
      </c>
      <c r="B12" t="s">
        <v>141</v>
      </c>
    </row>
    <row r="14" spans="1:3" x14ac:dyDescent="0.25">
      <c r="A14" t="s">
        <v>127</v>
      </c>
      <c r="B14">
        <f>B2-B4</f>
        <v>184</v>
      </c>
    </row>
    <row r="15" spans="1:3" x14ac:dyDescent="0.25">
      <c r="A15" t="s">
        <v>69</v>
      </c>
      <c r="B15">
        <v>6</v>
      </c>
    </row>
    <row r="16" spans="1:3" x14ac:dyDescent="0.25">
      <c r="A16" t="s">
        <v>142</v>
      </c>
      <c r="B16">
        <f>B14/B15</f>
        <v>30.666666666666668</v>
      </c>
    </row>
    <row r="17" spans="1:2" x14ac:dyDescent="0.25">
      <c r="A17" t="s">
        <v>131</v>
      </c>
      <c r="B17">
        <f>B14/50</f>
        <v>3.68</v>
      </c>
    </row>
    <row r="18" spans="1:2" x14ac:dyDescent="0.25">
      <c r="A18" t="s">
        <v>130</v>
      </c>
      <c r="B18">
        <f>0.08*B14</f>
        <v>14.72</v>
      </c>
    </row>
    <row r="19" spans="1:2" x14ac:dyDescent="0.25">
      <c r="A19" t="s">
        <v>134</v>
      </c>
      <c r="B19" t="s">
        <v>143</v>
      </c>
    </row>
    <row r="20" spans="1:2" x14ac:dyDescent="0.25">
      <c r="A20" t="s">
        <v>136</v>
      </c>
      <c r="B20" t="s">
        <v>137</v>
      </c>
    </row>
    <row r="21" spans="1:2" x14ac:dyDescent="0.25">
      <c r="A21" t="s">
        <v>138</v>
      </c>
      <c r="B21" t="s">
        <v>144</v>
      </c>
    </row>
    <row r="22" spans="1:2" x14ac:dyDescent="0.25">
      <c r="A22" t="s">
        <v>140</v>
      </c>
      <c r="B2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Dimensions</vt:lpstr>
      <vt:lpstr>CG</vt:lpstr>
      <vt:lpstr>Cabin</vt:lpstr>
      <vt:lpstr>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Lu</dc:creator>
  <cp:lastModifiedBy>Matthieu Lu</cp:lastModifiedBy>
  <dcterms:created xsi:type="dcterms:W3CDTF">2022-05-19T06:23:57Z</dcterms:created>
  <dcterms:modified xsi:type="dcterms:W3CDTF">2022-05-28T21:40:26Z</dcterms:modified>
</cp:coreProperties>
</file>