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<sst xmlns="http://schemas.openxmlformats.org/spreadsheetml/2006/main" count="57" uniqueCount="48">
  <si>
    <t>DATA</t>
  </si>
  <si>
    <t>CF1</t>
  </si>
  <si>
    <t>CF2</t>
  </si>
  <si>
    <t>CF3</t>
  </si>
  <si>
    <t>CF4</t>
  </si>
  <si>
    <t>CF5</t>
  </si>
  <si>
    <t>Revenue</t>
  </si>
  <si>
    <t>20ft</t>
  </si>
  <si>
    <t>40ft</t>
  </si>
  <si>
    <t>Steel per container (kg)</t>
  </si>
  <si>
    <t xml:space="preserve">Subsituted by plastic 80% </t>
  </si>
  <si>
    <t>Unit Volume</t>
  </si>
  <si>
    <t>Average Lease Price per Unit growing at</t>
  </si>
  <si>
    <t>Weight of plastic per recycled container (kg)</t>
  </si>
  <si>
    <t>Weight of steel per recycled container (kg)</t>
  </si>
  <si>
    <t>Final weight</t>
  </si>
  <si>
    <t>Difference</t>
  </si>
  <si>
    <t>Production Costs</t>
  </si>
  <si>
    <t>Cost per 1000kg of plastic (opportunity cost) 550eur</t>
  </si>
  <si>
    <t>Raw materils per unit growing at</t>
  </si>
  <si>
    <t>Cost per 1000kg of steel  600eur</t>
  </si>
  <si>
    <t>Total material costs</t>
  </si>
  <si>
    <t>(material costs in case of 100% steel)</t>
  </si>
  <si>
    <t>Maintenance expense growing at</t>
  </si>
  <si>
    <t>Investment per plant</t>
  </si>
  <si>
    <t>Plant capacity  200-600kg/h - we use 400kg/h</t>
  </si>
  <si>
    <t>Time for one container to be made in h</t>
  </si>
  <si>
    <t>Assuming 8h activity per day we can produce x units</t>
  </si>
  <si>
    <t>Salaried labor costs</t>
  </si>
  <si>
    <t>Per year units produced(250work days)</t>
  </si>
  <si>
    <t>Labor growing at</t>
  </si>
  <si>
    <t>Lease price per one container per year</t>
  </si>
  <si>
    <t>Total labor costs</t>
  </si>
  <si>
    <t>100-150per/month/ 175-225per/month</t>
  </si>
  <si>
    <t>Revenue per year</t>
  </si>
  <si>
    <t>Profit</t>
  </si>
  <si>
    <t>S&amp;G&amp;A / revenue</t>
  </si>
  <si>
    <t>Salary</t>
  </si>
  <si>
    <t>Machine worker (1000 eur/month)</t>
  </si>
  <si>
    <t>Truck driver(1000 eur/month)</t>
  </si>
  <si>
    <t>3 people putting the parts together(1000 eur/month)</t>
  </si>
  <si>
    <t>Depreciation per year, EUR</t>
  </si>
  <si>
    <t>Cash Flow</t>
  </si>
  <si>
    <t>CF0</t>
  </si>
  <si>
    <t>S&amp;G&amp;A</t>
  </si>
  <si>
    <t>CIT- (20%)</t>
  </si>
  <si>
    <t>Net Profit</t>
  </si>
  <si>
    <t>DA+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</si>
</sst>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EUR]\ * #,##0.00_-;\-[$EUR]\ * #,##0.00_-;_-[$EUR]\ * &quot;-&quot;??_-;_-@"/>
    <numFmt numFmtId="165" formatCode="_-[$€-2]\ * #,##0_-;\-[$€-2]\ * #,##0_-;_-[$€-2]\ * &quot;-&quot;_-;_-@"/>
  </numFmts>
  <fonts count="8">
    <font>
      <sz val="11.0"/>
      <color theme="1"/>
      <name val="Arial"/>
    </font>
    <font>
      <b/>
      <sz val="14.0"/>
      <color theme="1"/>
      <name val="Calibri"/>
    </font>
    <font>
      <b/>
      <sz val="16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4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1" numFmtId="0" xfId="0" applyBorder="1" applyFont="1"/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2" fillId="0" fontId="5" numFmtId="0" xfId="0" applyBorder="1" applyFont="1"/>
    <xf borderId="2" fillId="3" fontId="1" numFmtId="0" xfId="0" applyBorder="1" applyFill="1" applyFont="1"/>
    <xf borderId="0" fillId="0" fontId="5" numFmtId="9" xfId="0" applyFont="1" applyNumberFormat="1"/>
    <xf borderId="2" fillId="0" fontId="4" numFmtId="0" xfId="0" applyBorder="1" applyFont="1"/>
    <xf borderId="2" fillId="0" fontId="4" numFmtId="9" xfId="0" applyBorder="1" applyFont="1" applyNumberFormat="1"/>
    <xf borderId="2" fillId="0" fontId="4" numFmtId="1" xfId="0" applyBorder="1" applyFont="1" applyNumberFormat="1"/>
    <xf borderId="2" fillId="0" fontId="5" numFmtId="1" xfId="0" applyBorder="1" applyFont="1" applyNumberFormat="1"/>
    <xf borderId="2" fillId="0" fontId="6" numFmtId="0" xfId="0" applyBorder="1" applyFont="1"/>
    <xf borderId="2" fillId="4" fontId="1" numFmtId="0" xfId="0" applyBorder="1" applyFill="1" applyFont="1"/>
    <xf borderId="2" fillId="0" fontId="6" numFmtId="1" xfId="0" applyBorder="1" applyFont="1" applyNumberFormat="1"/>
    <xf borderId="2" fillId="4" fontId="1" numFmtId="1" xfId="0" applyBorder="1" applyFont="1" applyNumberFormat="1"/>
    <xf borderId="2" fillId="0" fontId="5" numFmtId="9" xfId="0" applyBorder="1" applyFont="1" applyNumberFormat="1"/>
    <xf borderId="2" fillId="0" fontId="5" numFmtId="2" xfId="0" applyBorder="1" applyFont="1" applyNumberFormat="1"/>
    <xf borderId="2" fillId="0" fontId="5" numFmtId="0" xfId="0" applyAlignment="1" applyBorder="1" applyFont="1">
      <alignment shrinkToFit="0" wrapText="1"/>
    </xf>
    <xf borderId="0" fillId="0" fontId="5" numFmtId="164" xfId="0" applyFont="1" applyNumberFormat="1"/>
    <xf borderId="2" fillId="0" fontId="7" numFmtId="0" xfId="0" applyBorder="1" applyFont="1"/>
    <xf borderId="2" fillId="0" fontId="2" numFmtId="0" xfId="0" applyBorder="1" applyFont="1"/>
    <xf borderId="2" fillId="5" fontId="1" numFmtId="0" xfId="0" applyBorder="1" applyFill="1" applyFont="1"/>
    <xf borderId="0" fillId="0" fontId="4" numFmtId="1" xfId="0" applyFont="1" applyNumberFormat="1"/>
    <xf borderId="2" fillId="0" fontId="2" numFmtId="165" xfId="0" applyBorder="1" applyFont="1" applyNumberFormat="1"/>
    <xf borderId="2" fillId="6" fontId="2" numFmtId="165" xfId="0" applyBorder="1" applyFill="1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33.88"/>
    <col customWidth="1" min="3" max="5" width="16.38"/>
    <col customWidth="1" min="6" max="6" width="20.5"/>
    <col customWidth="1" min="7" max="8" width="13.5"/>
    <col customWidth="1" min="9" max="26" width="7.63"/>
  </cols>
  <sheetData>
    <row r="1">
      <c r="A1" s="1"/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/>
      <c r="B2" s="8" t="s">
        <v>6</v>
      </c>
      <c r="C2" s="10"/>
      <c r="D2" s="10"/>
      <c r="E2" s="10"/>
      <c r="F2" s="10"/>
      <c r="G2" s="10"/>
      <c r="H2" s="1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10" t="s">
        <v>11</v>
      </c>
      <c r="C3" s="10"/>
      <c r="D3" s="10">
        <v>2727.0</v>
      </c>
      <c r="E3" s="10">
        <v>2727.0</v>
      </c>
      <c r="F3" s="10">
        <v>2727.0</v>
      </c>
      <c r="G3" s="10">
        <v>2727.0</v>
      </c>
      <c r="H3" s="10">
        <v>2727.0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10" t="s">
        <v>12</v>
      </c>
      <c r="C4" s="11">
        <v>0.04</v>
      </c>
      <c r="D4" s="10">
        <v>120.0</v>
      </c>
      <c r="E4" s="12">
        <f t="shared" ref="E4:H4" si="1">D4*(1+$C$4)</f>
        <v>124.8</v>
      </c>
      <c r="F4" s="12">
        <f t="shared" si="1"/>
        <v>129.792</v>
      </c>
      <c r="G4" s="12">
        <f t="shared" si="1"/>
        <v>134.98368</v>
      </c>
      <c r="H4" s="12">
        <f t="shared" si="1"/>
        <v>140.3830272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8" t="s">
        <v>6</v>
      </c>
      <c r="C5" s="10"/>
      <c r="D5" s="14">
        <f t="shared" ref="D5:H5" si="2">D3*D4</f>
        <v>327240</v>
      </c>
      <c r="E5" s="16">
        <f t="shared" si="2"/>
        <v>340329.6</v>
      </c>
      <c r="F5" s="16">
        <f t="shared" si="2"/>
        <v>353942.784</v>
      </c>
      <c r="G5" s="16">
        <f t="shared" si="2"/>
        <v>368100.4954</v>
      </c>
      <c r="H5" s="12">
        <f t="shared" si="2"/>
        <v>382824.5152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0"/>
      <c r="C6" s="10"/>
      <c r="D6" s="10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8" t="s">
        <v>17</v>
      </c>
      <c r="C7" s="10"/>
      <c r="D7" s="10"/>
      <c r="E7" s="10"/>
      <c r="F7" s="10"/>
      <c r="G7" s="10"/>
      <c r="H7" s="1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0" t="s">
        <v>19</v>
      </c>
      <c r="C8" s="11">
        <v>0.04</v>
      </c>
      <c r="D8" s="12">
        <v>430.0</v>
      </c>
      <c r="E8" s="12">
        <f t="shared" ref="E8:H8" si="3">D8*(1+$C$8)</f>
        <v>447.2</v>
      </c>
      <c r="F8" s="12">
        <f t="shared" si="3"/>
        <v>465.088</v>
      </c>
      <c r="G8" s="12">
        <f t="shared" si="3"/>
        <v>483.69152</v>
      </c>
      <c r="H8" s="12">
        <f t="shared" si="3"/>
        <v>503.0391808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0" t="s">
        <v>23</v>
      </c>
      <c r="C9" s="11">
        <v>0.05</v>
      </c>
      <c r="D9" s="12">
        <v>30.0</v>
      </c>
      <c r="E9" s="12">
        <f t="shared" ref="E9:H9" si="4">D9*(1+$C$9)</f>
        <v>31.5</v>
      </c>
      <c r="F9" s="12">
        <f t="shared" si="4"/>
        <v>33.075</v>
      </c>
      <c r="G9" s="12">
        <f t="shared" si="4"/>
        <v>34.72875</v>
      </c>
      <c r="H9" s="12">
        <f t="shared" si="4"/>
        <v>36.4651875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8" t="s">
        <v>17</v>
      </c>
      <c r="C10" s="10"/>
      <c r="D10" s="16">
        <f t="shared" ref="D10:H10" si="5">D8+D9</f>
        <v>460</v>
      </c>
      <c r="E10" s="16">
        <f t="shared" si="5"/>
        <v>478.7</v>
      </c>
      <c r="F10" s="16">
        <f t="shared" si="5"/>
        <v>498.163</v>
      </c>
      <c r="G10" s="16">
        <f t="shared" si="5"/>
        <v>518.42027</v>
      </c>
      <c r="H10" s="12">
        <f t="shared" si="5"/>
        <v>539.5043683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8" t="s">
        <v>28</v>
      </c>
      <c r="C12" s="10"/>
      <c r="D12" s="10"/>
      <c r="E12" s="10"/>
      <c r="F12" s="10"/>
      <c r="G12" s="10"/>
      <c r="H12" s="1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0" t="s">
        <v>30</v>
      </c>
      <c r="C13" s="11">
        <v>0.05</v>
      </c>
      <c r="D13" s="12">
        <f>12*5*1000</f>
        <v>60000</v>
      </c>
      <c r="E13" s="12">
        <f t="shared" ref="E13:H13" si="6">D13*(1+$C$13)</f>
        <v>63000</v>
      </c>
      <c r="F13" s="12">
        <f t="shared" si="6"/>
        <v>66150</v>
      </c>
      <c r="G13" s="12">
        <f t="shared" si="6"/>
        <v>69457.5</v>
      </c>
      <c r="H13" s="12">
        <f t="shared" si="6"/>
        <v>72930.375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8" t="s">
        <v>32</v>
      </c>
      <c r="C14" s="10"/>
      <c r="D14" s="16">
        <f t="shared" ref="D14:H14" si="7">D13</f>
        <v>60000</v>
      </c>
      <c r="E14" s="16">
        <f t="shared" si="7"/>
        <v>63000</v>
      </c>
      <c r="F14" s="16">
        <f t="shared" si="7"/>
        <v>66150</v>
      </c>
      <c r="G14" s="16">
        <f t="shared" si="7"/>
        <v>69457.5</v>
      </c>
      <c r="H14" s="12">
        <f t="shared" si="7"/>
        <v>72930.375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0"/>
      <c r="C15" s="10"/>
      <c r="D15" s="10"/>
      <c r="E15" s="10"/>
      <c r="F15" s="10"/>
      <c r="G15" s="10"/>
      <c r="H15" s="10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8" t="s">
        <v>36</v>
      </c>
      <c r="C16" s="11">
        <v>0.1</v>
      </c>
      <c r="D16" s="16">
        <f t="shared" ref="D16:H16" si="8">D5*$C$16</f>
        <v>32724</v>
      </c>
      <c r="E16" s="16">
        <f t="shared" si="8"/>
        <v>34032.96</v>
      </c>
      <c r="F16" s="16">
        <f t="shared" si="8"/>
        <v>35394.2784</v>
      </c>
      <c r="G16" s="16">
        <f t="shared" si="8"/>
        <v>36810.04954</v>
      </c>
      <c r="H16" s="16">
        <f t="shared" si="8"/>
        <v>38282.45152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0"/>
      <c r="C17" s="10"/>
      <c r="D17" s="12"/>
      <c r="E17" s="12"/>
      <c r="F17" s="12"/>
      <c r="G17" s="12"/>
      <c r="H17" s="1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8" t="s">
        <v>41</v>
      </c>
      <c r="C18" s="10"/>
      <c r="D18" s="16">
        <v>60000.0</v>
      </c>
      <c r="E18" s="16">
        <v>60000.0</v>
      </c>
      <c r="F18" s="16">
        <v>60000.0</v>
      </c>
      <c r="G18" s="16">
        <v>60000.0</v>
      </c>
      <c r="H18" s="16">
        <v>60000.0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22"/>
      <c r="C19" s="10"/>
      <c r="D19" s="10"/>
      <c r="E19" s="10"/>
      <c r="F19" s="10"/>
      <c r="G19" s="10"/>
      <c r="H19" s="1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23" t="s">
        <v>42</v>
      </c>
      <c r="C20" s="24" t="s">
        <v>43</v>
      </c>
      <c r="D20" s="24" t="s">
        <v>1</v>
      </c>
      <c r="E20" s="24" t="s">
        <v>2</v>
      </c>
      <c r="F20" s="24" t="s">
        <v>3</v>
      </c>
      <c r="G20" s="24" t="s">
        <v>4</v>
      </c>
      <c r="H20" s="24" t="s">
        <v>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22" t="s">
        <v>6</v>
      </c>
      <c r="C21" s="10"/>
      <c r="D21" s="12">
        <f t="shared" ref="D21:H21" si="9">D5</f>
        <v>327240</v>
      </c>
      <c r="E21" s="12">
        <f t="shared" si="9"/>
        <v>340329.6</v>
      </c>
      <c r="F21" s="12">
        <f t="shared" si="9"/>
        <v>353942.784</v>
      </c>
      <c r="G21" s="12">
        <f t="shared" si="9"/>
        <v>368100.4954</v>
      </c>
      <c r="H21" s="12">
        <f t="shared" si="9"/>
        <v>382824.5152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22" t="str">
        <f t="shared" ref="B22:B23" si="11">'[1]CF construction'!A12</f>
        <v>#REF!</v>
      </c>
      <c r="C22" s="10"/>
      <c r="D22" s="12">
        <f t="shared" ref="D22:H22" si="10">D10+D14</f>
        <v>60460</v>
      </c>
      <c r="E22" s="12">
        <f t="shared" si="10"/>
        <v>63478.7</v>
      </c>
      <c r="F22" s="12">
        <f t="shared" si="10"/>
        <v>66648.163</v>
      </c>
      <c r="G22" s="12">
        <f t="shared" si="10"/>
        <v>69975.92027</v>
      </c>
      <c r="H22" s="12">
        <f t="shared" si="10"/>
        <v>73469.87937</v>
      </c>
      <c r="I22" s="2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22" t="str">
        <f t="shared" si="11"/>
        <v>#REF!</v>
      </c>
      <c r="C23" s="10"/>
      <c r="D23" s="12">
        <f t="shared" ref="D23:H23" si="12">D21-D22</f>
        <v>266780</v>
      </c>
      <c r="E23" s="12">
        <f t="shared" si="12"/>
        <v>276850.9</v>
      </c>
      <c r="F23" s="12">
        <f t="shared" si="12"/>
        <v>287294.621</v>
      </c>
      <c r="G23" s="12">
        <f t="shared" si="12"/>
        <v>298124.5751</v>
      </c>
      <c r="H23" s="12">
        <f t="shared" si="12"/>
        <v>309354.6358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22" t="s">
        <v>44</v>
      </c>
      <c r="C24" s="10"/>
      <c r="D24" s="12">
        <f t="shared" ref="D24:H24" si="13">D16</f>
        <v>32724</v>
      </c>
      <c r="E24" s="12">
        <f t="shared" si="13"/>
        <v>34032.96</v>
      </c>
      <c r="F24" s="12">
        <f t="shared" si="13"/>
        <v>35394.2784</v>
      </c>
      <c r="G24" s="12">
        <f t="shared" si="13"/>
        <v>36810.04954</v>
      </c>
      <c r="H24" s="12">
        <f t="shared" si="13"/>
        <v>38282.45152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22" t="str">
        <f t="shared" ref="B25:B26" si="15">'[1]CF construction'!A15</f>
        <v>#REF!</v>
      </c>
      <c r="C25" s="10"/>
      <c r="D25" s="12">
        <f t="shared" ref="D25:H25" si="14">D23-D24</f>
        <v>234056</v>
      </c>
      <c r="E25" s="12">
        <f t="shared" si="14"/>
        <v>242817.94</v>
      </c>
      <c r="F25" s="12">
        <f t="shared" si="14"/>
        <v>251900.3426</v>
      </c>
      <c r="G25" s="12">
        <f t="shared" si="14"/>
        <v>261314.5256</v>
      </c>
      <c r="H25" s="12">
        <f t="shared" si="14"/>
        <v>271072.1843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22" t="str">
        <f t="shared" si="15"/>
        <v>#REF!</v>
      </c>
      <c r="C26" s="10"/>
      <c r="D26" s="12">
        <f t="shared" ref="D26:H26" si="16">D18</f>
        <v>60000</v>
      </c>
      <c r="E26" s="12">
        <f t="shared" si="16"/>
        <v>60000</v>
      </c>
      <c r="F26" s="12">
        <f t="shared" si="16"/>
        <v>60000</v>
      </c>
      <c r="G26" s="12">
        <f t="shared" si="16"/>
        <v>60000</v>
      </c>
      <c r="H26" s="12">
        <f t="shared" si="16"/>
        <v>60000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22" t="str">
        <f>'[1]CF construction'!A19</f>
        <v>#REF!</v>
      </c>
      <c r="C27" s="10"/>
      <c r="D27" s="12">
        <f t="shared" ref="D27:H27" si="17">D25-D26</f>
        <v>174056</v>
      </c>
      <c r="E27" s="12">
        <f t="shared" si="17"/>
        <v>182817.94</v>
      </c>
      <c r="F27" s="12">
        <f t="shared" si="17"/>
        <v>191900.3426</v>
      </c>
      <c r="G27" s="12">
        <f t="shared" si="17"/>
        <v>201314.5256</v>
      </c>
      <c r="H27" s="12">
        <f t="shared" si="17"/>
        <v>211072.1843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22" t="s">
        <v>45</v>
      </c>
      <c r="C28" s="10"/>
      <c r="D28" s="12">
        <f t="shared" ref="D28:H28" si="18">D27*0.2</f>
        <v>34811.2</v>
      </c>
      <c r="E28" s="12">
        <f t="shared" si="18"/>
        <v>36563.588</v>
      </c>
      <c r="F28" s="12">
        <f t="shared" si="18"/>
        <v>38380.06852</v>
      </c>
      <c r="G28" s="12">
        <f t="shared" si="18"/>
        <v>40262.90511</v>
      </c>
      <c r="H28" s="12">
        <f t="shared" si="18"/>
        <v>42214.43686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22" t="s">
        <v>46</v>
      </c>
      <c r="C29" s="10"/>
      <c r="D29" s="12">
        <f t="shared" ref="D29:H29" si="19">D27-D28</f>
        <v>139244.8</v>
      </c>
      <c r="E29" s="12">
        <f t="shared" si="19"/>
        <v>146254.352</v>
      </c>
      <c r="F29" s="12">
        <f t="shared" si="19"/>
        <v>153520.2741</v>
      </c>
      <c r="G29" s="12">
        <f t="shared" si="19"/>
        <v>161051.6204</v>
      </c>
      <c r="H29" s="12">
        <f t="shared" si="19"/>
        <v>168857.7474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22" t="str">
        <f>'[1]CF construction'!A25</f>
        <v>#REF!</v>
      </c>
      <c r="C30" s="10">
        <v>-300000.0</v>
      </c>
      <c r="D30" s="10"/>
      <c r="E30" s="10"/>
      <c r="F30" s="10"/>
      <c r="G30" s="10"/>
      <c r="H30" s="10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22" t="s">
        <v>47</v>
      </c>
      <c r="C31" s="10"/>
      <c r="D31" s="12">
        <f t="shared" ref="D31:H31" si="20">D26</f>
        <v>60000</v>
      </c>
      <c r="E31" s="12">
        <f t="shared" si="20"/>
        <v>60000</v>
      </c>
      <c r="F31" s="12">
        <f t="shared" si="20"/>
        <v>60000</v>
      </c>
      <c r="G31" s="12">
        <f t="shared" si="20"/>
        <v>60000</v>
      </c>
      <c r="H31" s="12">
        <f t="shared" si="20"/>
        <v>60000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26" t="str">
        <f>'[1]CF construction'!A27</f>
        <v>#REF!</v>
      </c>
      <c r="C32" s="27">
        <f>C30</f>
        <v>-300000</v>
      </c>
      <c r="D32" s="27">
        <f t="shared" ref="D32:H32" si="21">D31+D29</f>
        <v>199244.8</v>
      </c>
      <c r="E32" s="27">
        <f t="shared" si="21"/>
        <v>206254.352</v>
      </c>
      <c r="F32" s="27">
        <f t="shared" si="21"/>
        <v>213520.2741</v>
      </c>
      <c r="G32" s="27">
        <f t="shared" si="21"/>
        <v>221051.6204</v>
      </c>
      <c r="H32" s="27">
        <f t="shared" si="21"/>
        <v>228857.7474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22"/>
      <c r="C33" s="10"/>
      <c r="D33" s="10"/>
      <c r="E33" s="10"/>
      <c r="F33" s="10"/>
      <c r="G33" s="10"/>
      <c r="H33" s="1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22"/>
      <c r="C34" s="10"/>
      <c r="D34" s="10"/>
      <c r="E34" s="10"/>
      <c r="F34" s="10"/>
      <c r="G34" s="10"/>
      <c r="H34" s="1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0"/>
      <c r="C35" s="10"/>
      <c r="D35" s="10"/>
      <c r="E35" s="10"/>
      <c r="F35" s="10"/>
      <c r="G35" s="10"/>
      <c r="H35" s="10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2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13"/>
    <col customWidth="1" min="2" max="3" width="7.75"/>
    <col customWidth="1" min="4" max="9" width="7.63"/>
    <col customWidth="1" min="10" max="10" width="44.13"/>
    <col customWidth="1" min="11" max="26" width="7.63"/>
  </cols>
  <sheetData>
    <row r="1" ht="14.25" customHeight="1">
      <c r="A1" s="2" t="s">
        <v>0</v>
      </c>
      <c r="B1" s="4"/>
      <c r="C1" s="5"/>
    </row>
    <row r="2" ht="14.25" customHeight="1">
      <c r="A2" s="7"/>
      <c r="B2" s="7" t="s">
        <v>7</v>
      </c>
      <c r="C2" s="7" t="s">
        <v>8</v>
      </c>
      <c r="K2" s="9"/>
    </row>
    <row r="3" ht="14.25" customHeight="1">
      <c r="A3" s="7" t="s">
        <v>9</v>
      </c>
      <c r="B3" s="7">
        <v>2200.0</v>
      </c>
      <c r="C3" s="7">
        <v>3800.0</v>
      </c>
    </row>
    <row r="4" ht="14.25" customHeight="1">
      <c r="A4" s="7" t="s">
        <v>10</v>
      </c>
      <c r="B4" s="7">
        <f t="shared" ref="B4:C4" si="1">B3*0.8</f>
        <v>1760</v>
      </c>
      <c r="C4" s="7">
        <f t="shared" si="1"/>
        <v>3040</v>
      </c>
    </row>
    <row r="5" ht="14.25" customHeight="1">
      <c r="A5" s="7"/>
      <c r="B5" s="7"/>
      <c r="C5" s="7"/>
    </row>
    <row r="6" ht="14.25" customHeight="1">
      <c r="A6" s="7" t="s">
        <v>13</v>
      </c>
      <c r="B6" s="13">
        <f t="shared" ref="B6:C6" si="2">B4/6</f>
        <v>293.3333333</v>
      </c>
      <c r="C6" s="13">
        <f t="shared" si="2"/>
        <v>506.6666667</v>
      </c>
    </row>
    <row r="7" ht="14.25" customHeight="1">
      <c r="A7" s="7" t="s">
        <v>14</v>
      </c>
      <c r="B7" s="13">
        <f t="shared" ref="B7:C7" si="3">B3-B4</f>
        <v>440</v>
      </c>
      <c r="C7" s="13">
        <f t="shared" si="3"/>
        <v>760</v>
      </c>
    </row>
    <row r="8" ht="14.25" customHeight="1">
      <c r="A8" s="15" t="s">
        <v>15</v>
      </c>
      <c r="B8" s="17">
        <f t="shared" ref="B8:C8" si="4">B6+B7</f>
        <v>733.3333333</v>
      </c>
      <c r="C8" s="17">
        <f t="shared" si="4"/>
        <v>1266.666667</v>
      </c>
    </row>
    <row r="9" ht="14.25" customHeight="1">
      <c r="A9" s="7"/>
      <c r="B9" s="7"/>
      <c r="C9" s="7"/>
    </row>
    <row r="10" ht="14.25" customHeight="1">
      <c r="A10" s="7" t="s">
        <v>16</v>
      </c>
      <c r="B10" s="18">
        <f>1-(B8/B3)</f>
        <v>0.6666666667</v>
      </c>
      <c r="C10" s="18">
        <f>1-(C8/C4)</f>
        <v>0.5833333333</v>
      </c>
    </row>
    <row r="11" ht="14.25" customHeight="1">
      <c r="A11" s="7"/>
      <c r="B11" s="7"/>
      <c r="C11" s="7"/>
    </row>
    <row r="12" ht="14.25" customHeight="1">
      <c r="A12" s="7" t="s">
        <v>18</v>
      </c>
      <c r="B12" s="13">
        <f t="shared" ref="B12:C12" si="5">(B6/1000)*550</f>
        <v>161.3333333</v>
      </c>
      <c r="C12" s="13">
        <f t="shared" si="5"/>
        <v>278.6666667</v>
      </c>
    </row>
    <row r="13" ht="14.25" customHeight="1">
      <c r="A13" s="7" t="s">
        <v>20</v>
      </c>
      <c r="B13" s="7">
        <f t="shared" ref="B13:C13" si="6">(B7/1000)*600</f>
        <v>264</v>
      </c>
      <c r="C13" s="7">
        <f t="shared" si="6"/>
        <v>456</v>
      </c>
    </row>
    <row r="14" ht="14.25" customHeight="1">
      <c r="A14" s="15" t="s">
        <v>21</v>
      </c>
      <c r="B14" s="17">
        <f t="shared" ref="B14:C14" si="7">B12+B13</f>
        <v>425.3333333</v>
      </c>
      <c r="C14" s="17">
        <f t="shared" si="7"/>
        <v>734.6666667</v>
      </c>
    </row>
    <row r="15" ht="14.25" customHeight="1">
      <c r="A15" s="7"/>
      <c r="B15" s="7"/>
      <c r="C15" s="7"/>
    </row>
    <row r="16" ht="14.25" customHeight="1">
      <c r="A16" s="7" t="s">
        <v>22</v>
      </c>
      <c r="B16" s="7">
        <f t="shared" ref="B16:C16" si="8">(B3/1000)*600</f>
        <v>1320</v>
      </c>
      <c r="C16" s="7">
        <f t="shared" si="8"/>
        <v>2280</v>
      </c>
    </row>
    <row r="17" ht="14.25" customHeight="1">
      <c r="A17" s="7"/>
      <c r="B17" s="7"/>
      <c r="C17" s="7"/>
    </row>
    <row r="18" ht="14.25" customHeight="1">
      <c r="A18" s="7" t="s">
        <v>16</v>
      </c>
      <c r="B18" s="18">
        <f t="shared" ref="B18:C18" si="9">1-(B14/B16)</f>
        <v>0.6777777778</v>
      </c>
      <c r="C18" s="18">
        <f t="shared" si="9"/>
        <v>0.6777777778</v>
      </c>
    </row>
    <row r="19" ht="14.25" customHeight="1">
      <c r="A19" s="7"/>
      <c r="B19" s="7"/>
      <c r="C19" s="7"/>
    </row>
    <row r="20" ht="14.25" customHeight="1">
      <c r="A20" s="15" t="s">
        <v>24</v>
      </c>
      <c r="B20" s="15">
        <v>300000.0</v>
      </c>
      <c r="C20" s="15">
        <v>300000.0</v>
      </c>
    </row>
    <row r="21" ht="14.25" customHeight="1">
      <c r="A21" s="7" t="s">
        <v>25</v>
      </c>
      <c r="B21" s="7"/>
      <c r="C21" s="7"/>
    </row>
    <row r="22" ht="14.25" customHeight="1">
      <c r="A22" s="7" t="s">
        <v>26</v>
      </c>
      <c r="B22" s="19">
        <f t="shared" ref="B22:C22" si="10">B6/400</f>
        <v>0.7333333333</v>
      </c>
      <c r="C22" s="19">
        <f t="shared" si="10"/>
        <v>1.266666667</v>
      </c>
    </row>
    <row r="23" ht="14.25" customHeight="1">
      <c r="A23" s="20" t="s">
        <v>27</v>
      </c>
      <c r="B23" s="19">
        <f t="shared" ref="B23:C23" si="11">8/B22</f>
        <v>10.90909091</v>
      </c>
      <c r="C23" s="19">
        <f t="shared" si="11"/>
        <v>6.315789474</v>
      </c>
    </row>
    <row r="24" ht="14.25" customHeight="1">
      <c r="A24" s="15" t="s">
        <v>29</v>
      </c>
      <c r="B24" s="17">
        <f t="shared" ref="B24:C24" si="12">B23*250</f>
        <v>2727.272727</v>
      </c>
      <c r="C24" s="17">
        <f t="shared" si="12"/>
        <v>1578.947368</v>
      </c>
    </row>
    <row r="25" ht="14.25" customHeight="1">
      <c r="A25" s="7"/>
      <c r="B25" s="7"/>
      <c r="C25" s="7"/>
    </row>
    <row r="26" ht="14.25" customHeight="1">
      <c r="A26" s="15" t="s">
        <v>31</v>
      </c>
      <c r="B26" s="15">
        <f>10*12</f>
        <v>120</v>
      </c>
      <c r="C26" s="15">
        <f>15*12</f>
        <v>180</v>
      </c>
    </row>
    <row r="27" ht="14.25" customHeight="1">
      <c r="A27" s="7" t="s">
        <v>33</v>
      </c>
      <c r="B27" s="7"/>
      <c r="C27" s="7"/>
    </row>
    <row r="28" ht="14.25" customHeight="1">
      <c r="A28" s="7" t="s">
        <v>34</v>
      </c>
      <c r="B28" s="13">
        <f t="shared" ref="B28:C28" si="13">B24*B26</f>
        <v>327272.7273</v>
      </c>
      <c r="C28" s="13">
        <f t="shared" si="13"/>
        <v>284210.5263</v>
      </c>
    </row>
    <row r="29" ht="14.25" customHeight="1">
      <c r="A29" s="7"/>
      <c r="B29" s="7"/>
      <c r="C29" s="7"/>
    </row>
    <row r="30" ht="14.25" customHeight="1">
      <c r="A30" s="7" t="s">
        <v>35</v>
      </c>
      <c r="B30" s="13">
        <f t="shared" ref="B30:C30" si="14">B28-B20-B14</f>
        <v>26847.39394</v>
      </c>
      <c r="C30" s="13">
        <f t="shared" si="14"/>
        <v>-16524.14035</v>
      </c>
    </row>
    <row r="31" ht="14.25" customHeight="1">
      <c r="A31" s="7"/>
      <c r="B31" s="7"/>
      <c r="C31" s="7"/>
    </row>
    <row r="32" ht="14.25" customHeight="1">
      <c r="A32" s="15" t="s">
        <v>37</v>
      </c>
      <c r="B32" s="15">
        <f t="shared" ref="B32:C32" si="15">SUM(B33:B35)</f>
        <v>60000</v>
      </c>
      <c r="C32" s="15">
        <f t="shared" si="15"/>
        <v>60000</v>
      </c>
    </row>
    <row r="33" ht="14.25" customHeight="1">
      <c r="A33" s="7" t="s">
        <v>38</v>
      </c>
      <c r="B33" s="7">
        <f t="shared" ref="B33:C33" si="16">12*1000</f>
        <v>12000</v>
      </c>
      <c r="C33" s="7">
        <f t="shared" si="16"/>
        <v>12000</v>
      </c>
    </row>
    <row r="34" ht="14.25" customHeight="1">
      <c r="A34" s="7" t="s">
        <v>39</v>
      </c>
      <c r="B34" s="7">
        <f t="shared" ref="B34:C34" si="17">12*1000</f>
        <v>12000</v>
      </c>
      <c r="C34" s="7">
        <f t="shared" si="17"/>
        <v>12000</v>
      </c>
    </row>
    <row r="35" ht="14.25" customHeight="1">
      <c r="A35" s="7" t="s">
        <v>40</v>
      </c>
      <c r="B35" s="7">
        <f t="shared" ref="B35:C35" si="18">3*12*1000</f>
        <v>36000</v>
      </c>
      <c r="C35" s="7">
        <f t="shared" si="18"/>
        <v>36000</v>
      </c>
    </row>
    <row r="36" ht="14.25" customHeight="1"/>
    <row r="37" ht="14.25" customHeight="1">
      <c r="B37" s="21"/>
      <c r="C37" s="21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