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Spettrometro_reticolo/"/>
    </mc:Choice>
  </mc:AlternateContent>
  <xr:revisionPtr revIDLastSave="0" documentId="13_ncr:1_{0AA28067-D44D-734D-979D-2148A04322F8}" xr6:coauthVersionLast="47" xr6:coauthVersionMax="47" xr10:uidLastSave="{00000000-0000-0000-0000-000000000000}"/>
  <bookViews>
    <workbookView xWindow="0" yWindow="760" windowWidth="34200" windowHeight="21380" xr2:uid="{5A8F692D-025E-1145-B6A4-35A903341100}"/>
  </bookViews>
  <sheets>
    <sheet name="Cosa contiene questo file" sheetId="3" r:id="rId1"/>
    <sheet name="1_ortogonalita" sheetId="1" r:id="rId2"/>
    <sheet name="2_passo" sheetId="4" r:id="rId3"/>
    <sheet name="3_lambda" sheetId="5" r:id="rId4"/>
    <sheet name="4_potere dispersivo" sheetId="6" r:id="rId5"/>
    <sheet name="5_potere risolutivo" sheetId="7" r:id="rId6"/>
    <sheet name="Export_passo" sheetId="8" r:id="rId7"/>
    <sheet name="Export_lambda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5" l="1"/>
  <c r="F7" i="5" s="1"/>
  <c r="G7" i="5" s="1"/>
  <c r="E13" i="5"/>
  <c r="M6" i="7"/>
  <c r="M7" i="7"/>
  <c r="M8" i="7"/>
  <c r="M9" i="7"/>
  <c r="M5" i="7"/>
  <c r="C26" i="7" l="1"/>
  <c r="J30" i="7"/>
  <c r="J29" i="7"/>
  <c r="J28" i="7"/>
  <c r="J27" i="7"/>
  <c r="J13" i="7"/>
  <c r="J14" i="7"/>
  <c r="J15" i="7"/>
  <c r="J16" i="7"/>
  <c r="G25" i="6"/>
  <c r="F25" i="6"/>
  <c r="F22" i="6"/>
  <c r="F21" i="6"/>
  <c r="L27" i="6"/>
  <c r="L26" i="6"/>
  <c r="J12" i="6"/>
  <c r="J13" i="6"/>
  <c r="I12" i="6"/>
  <c r="I13" i="6"/>
  <c r="P1" i="9" a="1"/>
  <c r="P1" i="9" s="1"/>
  <c r="M1" i="9" a="1"/>
  <c r="M1" i="9" s="1"/>
  <c r="J1" i="9" a="1"/>
  <c r="J1" i="9" s="1"/>
  <c r="G1" i="9" a="1"/>
  <c r="G1" i="9" s="1"/>
  <c r="E40" i="5"/>
  <c r="F40" i="5" s="1"/>
  <c r="G40" i="5" s="1"/>
  <c r="E66" i="5"/>
  <c r="F66" i="5" s="1"/>
  <c r="G66" i="5" s="1"/>
  <c r="E62" i="5"/>
  <c r="F62" i="5" s="1"/>
  <c r="G62" i="5" s="1"/>
  <c r="E63" i="5"/>
  <c r="F63" i="5" s="1"/>
  <c r="G63" i="5" s="1"/>
  <c r="E64" i="5"/>
  <c r="F64" i="5" s="1"/>
  <c r="G64" i="5" s="1"/>
  <c r="E65" i="5"/>
  <c r="F65" i="5" s="1"/>
  <c r="G65" i="5" s="1"/>
  <c r="E57" i="5"/>
  <c r="F57" i="5" s="1"/>
  <c r="G57" i="5" s="1"/>
  <c r="C21" i="7" s="1"/>
  <c r="E58" i="5"/>
  <c r="F58" i="5" s="1"/>
  <c r="G58" i="5" s="1"/>
  <c r="C22" i="7" s="1"/>
  <c r="E59" i="5"/>
  <c r="F59" i="5" s="1"/>
  <c r="G59" i="5" s="1"/>
  <c r="C23" i="7" s="1"/>
  <c r="E60" i="5"/>
  <c r="F60" i="5" s="1"/>
  <c r="G60" i="5" s="1"/>
  <c r="C24" i="7" s="1"/>
  <c r="E61" i="5"/>
  <c r="E48" i="5"/>
  <c r="F48" i="5" s="1"/>
  <c r="G48" i="5" s="1"/>
  <c r="E49" i="5"/>
  <c r="F49" i="5" s="1"/>
  <c r="G49" i="5" s="1"/>
  <c r="E50" i="5"/>
  <c r="F50" i="5" s="1"/>
  <c r="G50" i="5" s="1"/>
  <c r="E51" i="5"/>
  <c r="F51" i="5" s="1"/>
  <c r="G51" i="5" s="1"/>
  <c r="E52" i="5"/>
  <c r="F52" i="5" s="1"/>
  <c r="G52" i="5" s="1"/>
  <c r="E53" i="5"/>
  <c r="F53" i="5" s="1"/>
  <c r="G53" i="5" s="1"/>
  <c r="E44" i="5"/>
  <c r="F44" i="5" s="1"/>
  <c r="G44" i="5" s="1"/>
  <c r="E45" i="5"/>
  <c r="F45" i="5" s="1"/>
  <c r="G45" i="5" s="1"/>
  <c r="E46" i="5"/>
  <c r="F46" i="5" s="1"/>
  <c r="G46" i="5" s="1"/>
  <c r="E47" i="5"/>
  <c r="F47" i="5" s="1"/>
  <c r="G47" i="5" s="1"/>
  <c r="E75" i="5"/>
  <c r="F75" i="5" s="1"/>
  <c r="E76" i="5"/>
  <c r="F76" i="5" s="1"/>
  <c r="G76" i="5" s="1"/>
  <c r="E77" i="5"/>
  <c r="F77" i="5" s="1"/>
  <c r="G77" i="5" s="1"/>
  <c r="E78" i="5"/>
  <c r="F78" i="5" s="1"/>
  <c r="G78" i="5" s="1"/>
  <c r="E79" i="5"/>
  <c r="F79" i="5" s="1"/>
  <c r="G79" i="5" s="1"/>
  <c r="E70" i="5"/>
  <c r="F70" i="5" s="1"/>
  <c r="G70" i="5" s="1"/>
  <c r="F19" i="6" s="1"/>
  <c r="E71" i="5"/>
  <c r="F71" i="5"/>
  <c r="G71" i="5" s="1"/>
  <c r="E22" i="7" s="1"/>
  <c r="E72" i="5"/>
  <c r="F72" i="5" s="1"/>
  <c r="G72" i="5" s="1"/>
  <c r="E23" i="7" s="1"/>
  <c r="E73" i="5"/>
  <c r="F73" i="5" s="1"/>
  <c r="G73" i="5" s="1"/>
  <c r="E24" i="7" s="1"/>
  <c r="E74" i="5"/>
  <c r="F74" i="5" s="1"/>
  <c r="G74" i="5" s="1"/>
  <c r="E25" i="7" s="1"/>
  <c r="E87" i="5"/>
  <c r="F87" i="5"/>
  <c r="G87" i="5" s="1"/>
  <c r="E88" i="5"/>
  <c r="F88" i="5" s="1"/>
  <c r="G88" i="5" s="1"/>
  <c r="F18" i="1"/>
  <c r="D4" i="1"/>
  <c r="H24" i="7" l="1"/>
  <c r="H23" i="7"/>
  <c r="G75" i="5"/>
  <c r="G23" i="6"/>
  <c r="H22" i="7"/>
  <c r="F20" i="6"/>
  <c r="G22" i="6"/>
  <c r="G19" i="6"/>
  <c r="E21" i="7"/>
  <c r="G21" i="7" s="1"/>
  <c r="G20" i="6"/>
  <c r="G21" i="6"/>
  <c r="H21" i="7"/>
  <c r="G23" i="7"/>
  <c r="J23" i="7" s="1"/>
  <c r="G22" i="7"/>
  <c r="J22" i="7" s="1"/>
  <c r="G24" i="7"/>
  <c r="J24" i="7" s="1"/>
  <c r="L25" i="6"/>
  <c r="L24" i="6"/>
  <c r="L28" i="6"/>
  <c r="E26" i="7" l="1"/>
  <c r="F23" i="6"/>
  <c r="J21" i="7"/>
  <c r="E18" i="5"/>
  <c r="E19" i="5"/>
  <c r="E20" i="5"/>
  <c r="E21" i="5"/>
  <c r="E22" i="5"/>
  <c r="E23" i="5"/>
  <c r="E24" i="5"/>
  <c r="E25" i="5"/>
  <c r="E9" i="5"/>
  <c r="E30" i="5"/>
  <c r="E31" i="5"/>
  <c r="E37" i="5"/>
  <c r="E5" i="5"/>
  <c r="E6" i="5"/>
  <c r="E8" i="5"/>
  <c r="E10" i="5"/>
  <c r="E11" i="5"/>
  <c r="E12" i="5"/>
  <c r="E26" i="5"/>
  <c r="S1" i="9" a="1"/>
  <c r="S1" i="9" s="1"/>
  <c r="D1" i="9" a="1"/>
  <c r="D1" i="9" s="1"/>
  <c r="A1" i="9" a="1"/>
  <c r="A1" i="9" s="1"/>
  <c r="A1" i="8" a="1"/>
  <c r="A1" i="8" s="1"/>
  <c r="D14" i="1"/>
  <c r="E92" i="5"/>
  <c r="E91" i="5"/>
  <c r="E90" i="5"/>
  <c r="E89" i="5"/>
  <c r="E84" i="5"/>
  <c r="E83" i="5"/>
  <c r="E86" i="5"/>
  <c r="E85" i="5"/>
  <c r="E39" i="5"/>
  <c r="E38" i="5"/>
  <c r="E36" i="5"/>
  <c r="E35" i="5"/>
  <c r="E34" i="5"/>
  <c r="E33" i="5"/>
  <c r="E32" i="5"/>
  <c r="E17" i="5"/>
  <c r="E4" i="5"/>
  <c r="F15" i="4"/>
  <c r="F14" i="4"/>
  <c r="F13" i="4"/>
  <c r="F12" i="4"/>
  <c r="F11" i="4"/>
  <c r="F10" i="4"/>
  <c r="F9" i="4"/>
  <c r="F8" i="4"/>
  <c r="F7" i="4"/>
  <c r="F6" i="4"/>
  <c r="D3" i="4"/>
  <c r="D2" i="4"/>
  <c r="E21" i="1"/>
  <c r="J21" i="1"/>
  <c r="E22" i="1"/>
  <c r="J22" i="1"/>
  <c r="E23" i="1"/>
  <c r="J23" i="1"/>
  <c r="E24" i="1"/>
  <c r="J24" i="1"/>
  <c r="E25" i="1"/>
  <c r="J25" i="1"/>
  <c r="E26" i="1"/>
  <c r="J26" i="1"/>
  <c r="E27" i="1"/>
  <c r="J27" i="1"/>
  <c r="J20" i="1"/>
  <c r="J19" i="1"/>
  <c r="J18" i="1"/>
  <c r="E20" i="1"/>
  <c r="E19" i="1"/>
  <c r="E18" i="1"/>
  <c r="D5" i="1"/>
  <c r="D6" i="1"/>
  <c r="D7" i="1"/>
  <c r="D8" i="1"/>
  <c r="D9" i="1"/>
  <c r="D10" i="1"/>
  <c r="D11" i="1"/>
  <c r="D12" i="1"/>
  <c r="D13" i="1"/>
  <c r="G26" i="7" l="1"/>
  <c r="H26" i="7"/>
  <c r="F22" i="5"/>
  <c r="G9" i="6" s="1"/>
  <c r="K25" i="1"/>
  <c r="F25" i="5"/>
  <c r="F27" i="1"/>
  <c r="O27" i="1" s="1"/>
  <c r="K26" i="1"/>
  <c r="F13" i="5"/>
  <c r="G13" i="5" s="1"/>
  <c r="F9" i="5"/>
  <c r="F26" i="1"/>
  <c r="F12" i="5"/>
  <c r="G12" i="5" s="1"/>
  <c r="F21" i="5"/>
  <c r="G8" i="6" s="1"/>
  <c r="F19" i="1"/>
  <c r="O19" i="1" s="1"/>
  <c r="F25" i="1"/>
  <c r="F11" i="5"/>
  <c r="G11" i="5" s="1"/>
  <c r="F20" i="5"/>
  <c r="G7" i="6" s="1"/>
  <c r="K24" i="1"/>
  <c r="F24" i="1"/>
  <c r="O24" i="1" s="1"/>
  <c r="F37" i="5"/>
  <c r="K22" i="1"/>
  <c r="F19" i="5"/>
  <c r="G6" i="6" s="1"/>
  <c r="K19" i="1"/>
  <c r="F22" i="1"/>
  <c r="F31" i="5"/>
  <c r="F23" i="5"/>
  <c r="F20" i="1"/>
  <c r="K21" i="1"/>
  <c r="K23" i="1"/>
  <c r="F10" i="5"/>
  <c r="F24" i="5"/>
  <c r="F21" i="1"/>
  <c r="F23" i="1"/>
  <c r="O23" i="1" s="1"/>
  <c r="F8" i="5"/>
  <c r="K20" i="1"/>
  <c r="F35" i="5"/>
  <c r="K18" i="1"/>
  <c r="G6" i="4"/>
  <c r="I6" i="4" s="1"/>
  <c r="F6" i="5"/>
  <c r="F18" i="5"/>
  <c r="G5" i="6" s="1"/>
  <c r="K27" i="1"/>
  <c r="F26" i="5"/>
  <c r="F5" i="5"/>
  <c r="F30" i="5"/>
  <c r="F83" i="5"/>
  <c r="G83" i="5" s="1"/>
  <c r="O21" i="1"/>
  <c r="O20" i="1"/>
  <c r="G12" i="4"/>
  <c r="I12" i="4" s="1"/>
  <c r="F4" i="5"/>
  <c r="F39" i="5"/>
  <c r="F91" i="5"/>
  <c r="G13" i="4"/>
  <c r="I13" i="4" s="1"/>
  <c r="G14" i="4"/>
  <c r="I14" i="4" s="1"/>
  <c r="F36" i="5"/>
  <c r="F84" i="5"/>
  <c r="G84" i="5" s="1"/>
  <c r="G7" i="4"/>
  <c r="I7" i="4" s="1"/>
  <c r="G15" i="4"/>
  <c r="I15" i="4" s="1"/>
  <c r="F61" i="5"/>
  <c r="G61" i="5" s="1"/>
  <c r="C25" i="7" s="1"/>
  <c r="F89" i="5"/>
  <c r="G8" i="4"/>
  <c r="I8" i="4" s="1"/>
  <c r="F17" i="5"/>
  <c r="G10" i="6" s="1"/>
  <c r="F32" i="5"/>
  <c r="F85" i="5"/>
  <c r="G9" i="4"/>
  <c r="I9" i="4" s="1"/>
  <c r="F33" i="5"/>
  <c r="F38" i="5"/>
  <c r="F86" i="5"/>
  <c r="F90" i="5"/>
  <c r="G10" i="4"/>
  <c r="I10" i="4" s="1"/>
  <c r="G11" i="4"/>
  <c r="I11" i="4" s="1"/>
  <c r="F34" i="5"/>
  <c r="F92" i="5"/>
  <c r="P26" i="1"/>
  <c r="P22" i="1"/>
  <c r="P25" i="1"/>
  <c r="P21" i="1"/>
  <c r="P24" i="1"/>
  <c r="P20" i="1"/>
  <c r="P27" i="1"/>
  <c r="P23" i="1"/>
  <c r="P19" i="1"/>
  <c r="I14" i="6" l="1"/>
  <c r="D26" i="6"/>
  <c r="H25" i="7"/>
  <c r="G25" i="7"/>
  <c r="J25" i="7" s="1"/>
  <c r="G4" i="5"/>
  <c r="D20" i="6"/>
  <c r="I20" i="6" s="1"/>
  <c r="D6" i="6"/>
  <c r="I6" i="6" s="1"/>
  <c r="G9" i="5"/>
  <c r="D24" i="6"/>
  <c r="D10" i="6"/>
  <c r="I10" i="6" s="1"/>
  <c r="J26" i="7"/>
  <c r="D23" i="6"/>
  <c r="I23" i="6" s="1"/>
  <c r="D9" i="6"/>
  <c r="I9" i="6" s="1"/>
  <c r="G10" i="5"/>
  <c r="D5" i="6"/>
  <c r="I5" i="6" s="1"/>
  <c r="G8" i="5"/>
  <c r="D19" i="6"/>
  <c r="I19" i="6" s="1"/>
  <c r="D22" i="6"/>
  <c r="I22" i="6" s="1"/>
  <c r="G6" i="5"/>
  <c r="D8" i="6"/>
  <c r="I8" i="6" s="1"/>
  <c r="D21" i="6"/>
  <c r="I21" i="6" s="1"/>
  <c r="D7" i="6"/>
  <c r="I7" i="6" s="1"/>
  <c r="G5" i="5"/>
  <c r="M27" i="1"/>
  <c r="O26" i="1"/>
  <c r="P18" i="1"/>
  <c r="O18" i="1"/>
  <c r="M24" i="1"/>
  <c r="O22" i="1"/>
  <c r="M22" i="1" s="1"/>
  <c r="M25" i="1"/>
  <c r="G26" i="5"/>
  <c r="O25" i="1"/>
  <c r="M20" i="1"/>
  <c r="M19" i="1"/>
  <c r="M23" i="1"/>
  <c r="M26" i="1"/>
  <c r="M21" i="1"/>
  <c r="I16" i="4"/>
  <c r="C8" i="7" l="1"/>
  <c r="C6" i="6"/>
  <c r="C20" i="6"/>
  <c r="J20" i="6" s="1"/>
  <c r="L20" i="6" s="1"/>
  <c r="C10" i="6"/>
  <c r="C12" i="7"/>
  <c r="C24" i="6"/>
  <c r="J14" i="6"/>
  <c r="C16" i="7"/>
  <c r="C26" i="6"/>
  <c r="C22" i="6"/>
  <c r="J22" i="6" s="1"/>
  <c r="C10" i="7"/>
  <c r="C8" i="6"/>
  <c r="L22" i="6"/>
  <c r="C7" i="7"/>
  <c r="C19" i="6"/>
  <c r="C5" i="6"/>
  <c r="C21" i="6"/>
  <c r="J21" i="6" s="1"/>
  <c r="C9" i="7"/>
  <c r="C7" i="6"/>
  <c r="C9" i="6"/>
  <c r="C11" i="7"/>
  <c r="C23" i="6"/>
  <c r="J23" i="6" s="1"/>
  <c r="L23" i="6" s="1"/>
  <c r="L21" i="6"/>
  <c r="M18" i="1"/>
  <c r="I17" i="4"/>
  <c r="G22" i="5"/>
  <c r="G19" i="5"/>
  <c r="G38" i="5"/>
  <c r="G24" i="5"/>
  <c r="G23" i="5"/>
  <c r="G18" i="5"/>
  <c r="G32" i="5"/>
  <c r="G20" i="5"/>
  <c r="G31" i="5"/>
  <c r="G14" i="5"/>
  <c r="G33" i="5"/>
  <c r="G30" i="5"/>
  <c r="G41" i="5" s="1"/>
  <c r="G25" i="5"/>
  <c r="G36" i="5"/>
  <c r="G35" i="5"/>
  <c r="G21" i="5"/>
  <c r="G34" i="5"/>
  <c r="G37" i="5"/>
  <c r="G39" i="5"/>
  <c r="G85" i="5"/>
  <c r="G89" i="5"/>
  <c r="G54" i="5"/>
  <c r="G80" i="5"/>
  <c r="F29" i="6" s="1"/>
  <c r="G86" i="5"/>
  <c r="G17" i="5"/>
  <c r="G67" i="5"/>
  <c r="G91" i="5"/>
  <c r="G92" i="5"/>
  <c r="G90" i="5"/>
  <c r="F5" i="6" l="1"/>
  <c r="E7" i="7"/>
  <c r="J8" i="6"/>
  <c r="F6" i="6"/>
  <c r="J6" i="6" s="1"/>
  <c r="L6" i="6" s="1"/>
  <c r="E8" i="7"/>
  <c r="H8" i="7" s="1"/>
  <c r="J8" i="7" s="1"/>
  <c r="F10" i="6"/>
  <c r="J10" i="6" s="1"/>
  <c r="L10" i="6" s="1"/>
  <c r="E12" i="7"/>
  <c r="H12" i="7" s="1"/>
  <c r="E11" i="7"/>
  <c r="F9" i="6"/>
  <c r="J9" i="6" s="1"/>
  <c r="L9" i="6" s="1"/>
  <c r="F8" i="6"/>
  <c r="E10" i="7"/>
  <c r="E9" i="7"/>
  <c r="G9" i="7" s="1"/>
  <c r="F7" i="6"/>
  <c r="J7" i="6" s="1"/>
  <c r="L7" i="6" s="1"/>
  <c r="G8" i="7"/>
  <c r="C15" i="6"/>
  <c r="J5" i="6"/>
  <c r="L5" i="6" s="1"/>
  <c r="J19" i="6"/>
  <c r="L19" i="6" s="1"/>
  <c r="C29" i="6"/>
  <c r="H7" i="7"/>
  <c r="G7" i="7"/>
  <c r="J7" i="7" s="1"/>
  <c r="G11" i="7"/>
  <c r="H11" i="7"/>
  <c r="H10" i="7"/>
  <c r="G10" i="7"/>
  <c r="J10" i="7" s="1"/>
  <c r="G27" i="5"/>
  <c r="F15" i="6" s="1"/>
  <c r="G93" i="5"/>
  <c r="L11" i="6"/>
  <c r="L8" i="6"/>
  <c r="L13" i="6"/>
  <c r="L14" i="6"/>
  <c r="L12" i="6"/>
  <c r="H9" i="7" l="1"/>
  <c r="J11" i="7"/>
  <c r="G12" i="7"/>
  <c r="J12" i="7" s="1"/>
  <c r="J9" i="7"/>
  <c r="O19" i="6"/>
  <c r="O21" i="6"/>
  <c r="O20" i="6"/>
  <c r="O22" i="6"/>
  <c r="O23" i="6"/>
  <c r="O6" i="6"/>
  <c r="O7" i="6"/>
  <c r="O9" i="6"/>
  <c r="O8" i="6"/>
  <c r="O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<sst xmlns="http://schemas.openxmlformats.org/spreadsheetml/2006/main" count="228" uniqueCount="66">
  <si>
    <t>Calcolatore di correzione per l'ortogonalità del reticolo</t>
  </si>
  <si>
    <t>correzione [°]</t>
  </si>
  <si>
    <t>⇒</t>
  </si>
  <si>
    <t>Massimo centrale</t>
  </si>
  <si>
    <t>θ [°]</t>
  </si>
  <si>
    <t>θ [']</t>
  </si>
  <si>
    <t>θ [rad]</t>
  </si>
  <si>
    <t>media</t>
  </si>
  <si>
    <t>Massimi di ordine k a destra e a sinistra</t>
  </si>
  <si>
    <t>Sinistra</t>
  </si>
  <si>
    <t>k (ordine)</t>
  </si>
  <si>
    <t>Destra</t>
  </si>
  <si>
    <t>semi sum [rad]</t>
  </si>
  <si>
    <t>semi diff [rad]</t>
  </si>
  <si>
    <t>Verifica dell'ortogonalità del sistema usando il Na</t>
  </si>
  <si>
    <t>Na</t>
  </si>
  <si>
    <t>λ1 [Å]</t>
  </si>
  <si>
    <t>λ2 [Å]</t>
  </si>
  <si>
    <t>Massimo di ordine k</t>
  </si>
  <si>
    <t>λ [Å]</t>
  </si>
  <si>
    <t>k</t>
  </si>
  <si>
    <t>∆θ [rad]</t>
  </si>
  <si>
    <t>d [Å]</t>
  </si>
  <si>
    <t>Determinazione del passo (distanza tra le fenditure) del reticolo usanso il Na</t>
  </si>
  <si>
    <t>Lunghezze d'onda dello spettro emesso dal Hg</t>
  </si>
  <si>
    <t>Verde</t>
  </si>
  <si>
    <t>Giallo 1</t>
  </si>
  <si>
    <t>Giallo 2</t>
  </si>
  <si>
    <t>Rosso</t>
  </si>
  <si>
    <t>Potere dispersivo, utilizzando il Hg</t>
  </si>
  <si>
    <t>∆λ [Å]</t>
  </si>
  <si>
    <t>Δ∆θ [rad]</t>
  </si>
  <si>
    <t>D [rad/Å]</t>
  </si>
  <si>
    <t>Potere risolutivo, utilizzando il Hg</t>
  </si>
  <si>
    <t>λ medio [Å]</t>
  </si>
  <si>
    <t>R</t>
  </si>
  <si>
    <t>Ordine</t>
  </si>
  <si>
    <t>R teorico</t>
  </si>
  <si>
    <t>largh reticolo  [m]</t>
  </si>
  <si>
    <t>densità fenditure [1/mm]</t>
  </si>
  <si>
    <t>D teorico</t>
  </si>
  <si>
    <t>In questo file sono presenti 8 fogli di cui:</t>
  </si>
  <si>
    <t>Questo foglio in cui è descritto il contenuto di tutti i fogli</t>
  </si>
  <si>
    <t>5 fogli che presentano le misure effettuate di cui:</t>
  </si>
  <si>
    <t>ortogonalità: per rendere ortogonale il reticolo</t>
  </si>
  <si>
    <t>passo: per calcolare la densità delle fenditure</t>
  </si>
  <si>
    <t>lambda: per trovare le varie lunghezze d'onda emesse dal mercurio a vari ordini</t>
  </si>
  <si>
    <t>potere dispersivo e risolutivo: per confrontare in maniera approssimativa la differenza tra i valori trovati e il valore teorico</t>
  </si>
  <si>
    <t>2 fogli che contengono gli stessi dati, senza nulla di aggiuntivo per rendere più semplice l'export dei dati in python</t>
  </si>
  <si>
    <t>passo: la stessa cosa di passo ma solo dati</t>
  </si>
  <si>
    <t>lambdas: tutte le misure effettuate, ogni tre colonne è un colore diverso</t>
  </si>
  <si>
    <t>densità [# / mm]</t>
  </si>
  <si>
    <t>(miglior valore)</t>
  </si>
  <si>
    <t>media [Å]</t>
  </si>
  <si>
    <t>I miglior valori (la media) delle misure è segnata con il colore riportato a sinistra</t>
  </si>
  <si>
    <t>(numero di fenditure al millimetro)</t>
  </si>
  <si>
    <t>(passo)</t>
  </si>
  <si>
    <t>Nota: questa è una media, ma una media ponderata sarebbe meglio</t>
  </si>
  <si>
    <t>Viola 1</t>
  </si>
  <si>
    <t>Viola 2</t>
  </si>
  <si>
    <t>Blu</t>
  </si>
  <si>
    <t>Coppia Viola 1 - Viola 2 (riordinati)</t>
  </si>
  <si>
    <t>Coppia Viola 1 - Giallo 2 (riordinati)</t>
  </si>
  <si>
    <t>(non è stato usato)</t>
  </si>
  <si>
    <t>Coppia Giallo 1 - Giallo 2 (riordinati)</t>
  </si>
  <si>
    <t>(non è stato usato per mancanza di coppia)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</si>
</sst>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00E+00"/>
    <numFmt numFmtId="166" formatCode="0.0000"/>
    <numFmt numFmtId="167" formatCode="0.00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  <charset val="1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999F3"/>
        <bgColor indexed="64"/>
      </patternFill>
    </fill>
    <fill>
      <patternFill patternType="solid">
        <fgColor rgb="FFC264F5"/>
        <bgColor indexed="64"/>
      </patternFill>
    </fill>
    <fill>
      <patternFill patternType="solid">
        <fgColor rgb="FF3C9EF4"/>
        <bgColor indexed="64"/>
      </patternFill>
    </fill>
    <fill>
      <patternFill patternType="solid">
        <fgColor rgb="FF00F297"/>
        <bgColor indexed="64"/>
      </patternFill>
    </fill>
    <fill>
      <patternFill patternType="solid">
        <fgColor rgb="FFD3EF2E"/>
        <bgColor indexed="64"/>
      </patternFill>
    </fill>
    <fill>
      <patternFill patternType="solid">
        <fgColor rgb="FFF3D100"/>
        <bgColor indexed="64"/>
      </patternFill>
    </fill>
    <fill>
      <patternFill patternType="solid">
        <fgColor rgb="FFFF4735"/>
        <bgColor indexed="64"/>
      </patternFill>
    </fill>
    <fill>
      <patternFill patternType="solid">
        <fgColor rgb="FF92EAB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A999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0" fillId="4" borderId="0" xfId="0" applyFill="1"/>
    <xf numFmtId="0" fontId="4" fillId="3" borderId="0" xfId="0" applyFont="1" applyFill="1" applyAlignment="1">
      <alignment horizontal="center"/>
    </xf>
    <xf numFmtId="0" fontId="4" fillId="4" borderId="0" xfId="0" applyFont="1" applyFill="1"/>
    <xf numFmtId="0" fontId="4" fillId="5" borderId="0" xfId="1" applyFont="1" applyFill="1" applyAlignment="1">
      <alignment horizontal="left"/>
    </xf>
    <xf numFmtId="0" fontId="1" fillId="5" borderId="0" xfId="1" applyFill="1"/>
    <xf numFmtId="49" fontId="4" fillId="5" borderId="0" xfId="1" applyNumberFormat="1" applyFont="1" applyFill="1" applyAlignment="1">
      <alignment horizontal="center" vertical="center"/>
    </xf>
    <xf numFmtId="2" fontId="0" fillId="4" borderId="0" xfId="0" applyNumberFormat="1" applyFill="1"/>
    <xf numFmtId="0" fontId="0" fillId="6" borderId="0" xfId="0" applyFill="1"/>
    <xf numFmtId="0" fontId="5" fillId="3" borderId="0" xfId="0" applyFont="1" applyFill="1" applyAlignment="1">
      <alignment horizontal="center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7" borderId="0" xfId="0" applyFill="1"/>
    <xf numFmtId="0" fontId="5" fillId="6" borderId="0" xfId="0" applyFont="1" applyFill="1" applyAlignment="1">
      <alignment horizontal="right"/>
    </xf>
    <xf numFmtId="43" fontId="1" fillId="6" borderId="0" xfId="1" applyNumberFormat="1" applyFill="1"/>
    <xf numFmtId="0" fontId="5" fillId="7" borderId="0" xfId="0" applyFont="1" applyFill="1" applyAlignment="1">
      <alignment horizontal="right"/>
    </xf>
    <xf numFmtId="43" fontId="1" fillId="7" borderId="0" xfId="1" applyNumberFormat="1" applyFill="1"/>
    <xf numFmtId="164" fontId="0" fillId="7" borderId="0" xfId="0" applyNumberFormat="1" applyFill="1"/>
    <xf numFmtId="1" fontId="0" fillId="0" borderId="0" xfId="0" applyNumberFormat="1"/>
    <xf numFmtId="1" fontId="0" fillId="7" borderId="0" xfId="0" applyNumberFormat="1" applyFill="1"/>
    <xf numFmtId="166" fontId="0" fillId="6" borderId="0" xfId="0" applyNumberFormat="1" applyFill="1"/>
    <xf numFmtId="166" fontId="0" fillId="0" borderId="0" xfId="0" applyNumberFormat="1"/>
    <xf numFmtId="166" fontId="0" fillId="7" borderId="0" xfId="0" applyNumberFormat="1" applyFill="1"/>
    <xf numFmtId="0" fontId="8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" fontId="0" fillId="6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/>
    <xf numFmtId="166" fontId="0" fillId="4" borderId="0" xfId="0" applyNumberFormat="1" applyFill="1"/>
    <xf numFmtId="0" fontId="4" fillId="4" borderId="0" xfId="0" applyFont="1" applyFill="1" applyAlignment="1">
      <alignment wrapText="1"/>
    </xf>
    <xf numFmtId="165" fontId="0" fillId="0" borderId="0" xfId="0" applyNumberFormat="1"/>
    <xf numFmtId="164" fontId="0" fillId="6" borderId="0" xfId="0" applyNumberFormat="1" applyFill="1"/>
    <xf numFmtId="49" fontId="4" fillId="4" borderId="0" xfId="1" applyNumberFormat="1" applyFont="1" applyFill="1" applyAlignment="1">
      <alignment horizontal="center" vertical="center"/>
    </xf>
    <xf numFmtId="0" fontId="4" fillId="15" borderId="0" xfId="0" applyFont="1" applyFill="1"/>
    <xf numFmtId="1" fontId="4" fillId="15" borderId="0" xfId="0" applyNumberFormat="1" applyFont="1" applyFill="1"/>
    <xf numFmtId="1" fontId="0" fillId="15" borderId="0" xfId="0" applyNumberFormat="1" applyFill="1"/>
    <xf numFmtId="0" fontId="0" fillId="15" borderId="0" xfId="0" applyFill="1"/>
    <xf numFmtId="166" fontId="5" fillId="6" borderId="0" xfId="0" applyNumberFormat="1" applyFont="1" applyFill="1" applyAlignment="1">
      <alignment horizontal="right"/>
    </xf>
    <xf numFmtId="166" fontId="5" fillId="7" borderId="0" xfId="0" applyNumberFormat="1" applyFont="1" applyFill="1" applyAlignment="1">
      <alignment horizontal="right"/>
    </xf>
    <xf numFmtId="167" fontId="5" fillId="6" borderId="0" xfId="0" applyNumberFormat="1" applyFont="1" applyFill="1" applyAlignment="1">
      <alignment horizontal="right"/>
    </xf>
    <xf numFmtId="167" fontId="0" fillId="7" borderId="0" xfId="0" applyNumberFormat="1" applyFill="1"/>
    <xf numFmtId="167" fontId="5" fillId="7" borderId="0" xfId="0" applyNumberFormat="1" applyFont="1" applyFill="1" applyAlignment="1">
      <alignment horizontal="right"/>
    </xf>
    <xf numFmtId="1" fontId="5" fillId="6" borderId="0" xfId="0" applyNumberFormat="1" applyFont="1" applyFill="1" applyAlignment="1">
      <alignment horizontal="right"/>
    </xf>
    <xf numFmtId="1" fontId="5" fillId="7" borderId="0" xfId="0" applyNumberFormat="1" applyFont="1" applyFill="1" applyAlignment="1">
      <alignment horizontal="right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2" fillId="0" borderId="0" xfId="0" applyFont="1" applyAlignment="1">
      <alignment vertical="center" wrapText="1"/>
    </xf>
    <xf numFmtId="164" fontId="0" fillId="4" borderId="0" xfId="0" applyNumberFormat="1" applyFill="1"/>
    <xf numFmtId="1" fontId="0" fillId="4" borderId="0" xfId="0" applyNumberFormat="1" applyFill="1"/>
    <xf numFmtId="167" fontId="0" fillId="6" borderId="0" xfId="0" applyNumberFormat="1" applyFill="1"/>
    <xf numFmtId="0" fontId="5" fillId="7" borderId="0" xfId="0" applyFont="1" applyFill="1"/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5" fillId="7" borderId="0" xfId="0" applyFont="1" applyFill="1" applyAlignment="1">
      <alignment horizontal="left"/>
    </xf>
    <xf numFmtId="0" fontId="4" fillId="18" borderId="0" xfId="0" applyFont="1" applyFill="1" applyAlignment="1">
      <alignment horizontal="center"/>
    </xf>
    <xf numFmtId="0" fontId="0" fillId="6" borderId="0" xfId="0" applyFill="1" applyAlignment="1">
      <alignment horizontal="right"/>
    </xf>
    <xf numFmtId="0" fontId="5" fillId="7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5" fillId="6" borderId="0" xfId="0" applyFont="1" applyFill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3D100"/>
      <color rgb="FFD3EF2E"/>
      <color rgb="FF92EAB4"/>
      <color rgb="FFA999F3"/>
      <color rgb="FFC264F5"/>
      <color rgb="FFFF4735"/>
      <color rgb="FF00F297"/>
      <color rgb="FF3C9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F8B8-33AE-954E-AF79-3856E4DA2863}">
  <dimension ref="A1:C11"/>
  <sheetViews>
    <sheetView tabSelected="1" workbookViewId="0">
      <selection activeCell="F31" sqref="F31"/>
    </sheetView>
  </sheetViews>
  <sheetFormatPr baseColWidth="10" defaultRowHeight="16" x14ac:dyDescent="0.2"/>
  <sheetData>
    <row r="1" spans="1:3" x14ac:dyDescent="0.2">
      <c r="A1" t="s">
        <v>41</v>
      </c>
    </row>
    <row r="2" spans="1:3" x14ac:dyDescent="0.2">
      <c r="B2" t="s">
        <v>42</v>
      </c>
    </row>
    <row r="3" spans="1:3" x14ac:dyDescent="0.2">
      <c r="B3" t="s">
        <v>43</v>
      </c>
    </row>
    <row r="4" spans="1:3" x14ac:dyDescent="0.2">
      <c r="C4" t="s">
        <v>44</v>
      </c>
    </row>
    <row r="5" spans="1:3" x14ac:dyDescent="0.2">
      <c r="C5" t="s">
        <v>45</v>
      </c>
    </row>
    <row r="6" spans="1:3" x14ac:dyDescent="0.2">
      <c r="C6" t="s">
        <v>46</v>
      </c>
    </row>
    <row r="7" spans="1:3" x14ac:dyDescent="0.2">
      <c r="C7" t="s">
        <v>47</v>
      </c>
    </row>
    <row r="8" spans="1:3" x14ac:dyDescent="0.2">
      <c r="B8" s="40"/>
      <c r="C8" t="s">
        <v>54</v>
      </c>
    </row>
    <row r="9" spans="1:3" x14ac:dyDescent="0.2">
      <c r="B9" t="s">
        <v>48</v>
      </c>
    </row>
    <row r="10" spans="1:3" x14ac:dyDescent="0.2">
      <c r="C10" t="s">
        <v>49</v>
      </c>
    </row>
    <row r="11" spans="1:3" x14ac:dyDescent="0.2">
      <c r="C11" t="s">
        <v>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2458-E9E1-3C45-9E88-5CA46ADC2B8D}">
  <dimension ref="A1:P28"/>
  <sheetViews>
    <sheetView workbookViewId="0">
      <selection activeCell="T11" sqref="T11"/>
    </sheetView>
  </sheetViews>
  <sheetFormatPr baseColWidth="10" defaultRowHeight="16" x14ac:dyDescent="0.2"/>
  <cols>
    <col min="14" max="14" width="11.83203125" bestFit="1" customWidth="1"/>
    <col min="15" max="16" width="12.6640625" bestFit="1" customWidth="1"/>
  </cols>
  <sheetData>
    <row r="1" spans="1:16" ht="22" x14ac:dyDescent="0.3">
      <c r="A1" s="55" t="s">
        <v>14</v>
      </c>
      <c r="B1" s="55"/>
      <c r="C1" s="55"/>
      <c r="D1" s="55"/>
      <c r="E1" s="55"/>
    </row>
    <row r="2" spans="1:16" ht="19" x14ac:dyDescent="0.25">
      <c r="A2" s="56" t="s">
        <v>3</v>
      </c>
      <c r="B2" s="56"/>
      <c r="C2" s="56"/>
      <c r="D2" s="56"/>
      <c r="E2" s="56"/>
    </row>
    <row r="3" spans="1:16" x14ac:dyDescent="0.2">
      <c r="A3" s="4"/>
      <c r="B3" s="5" t="s">
        <v>4</v>
      </c>
      <c r="C3" s="5" t="s">
        <v>5</v>
      </c>
      <c r="D3" s="6" t="s">
        <v>6</v>
      </c>
      <c r="E3" s="4"/>
    </row>
    <row r="4" spans="1:16" x14ac:dyDescent="0.2">
      <c r="A4" s="4"/>
      <c r="B4" s="13">
        <v>130</v>
      </c>
      <c r="C4" s="13">
        <v>32</v>
      </c>
      <c r="D4" s="11">
        <f>RADIANS(B4+C4/60)</f>
        <v>2.2782364502699313</v>
      </c>
      <c r="E4" s="4"/>
    </row>
    <row r="5" spans="1:16" x14ac:dyDescent="0.2">
      <c r="A5" s="4"/>
      <c r="B5" s="14">
        <v>130</v>
      </c>
      <c r="C5" s="14">
        <v>33</v>
      </c>
      <c r="D5" s="15">
        <f t="shared" ref="D5:D13" si="0">RADIANS(B5+C5/60)</f>
        <v>2.2785273384785976</v>
      </c>
      <c r="E5" s="4"/>
    </row>
    <row r="6" spans="1:16" x14ac:dyDescent="0.2">
      <c r="A6" s="4"/>
      <c r="B6" s="13">
        <v>130</v>
      </c>
      <c r="C6" s="13">
        <v>33</v>
      </c>
      <c r="D6" s="11">
        <f t="shared" si="0"/>
        <v>2.2785273384785976</v>
      </c>
      <c r="E6" s="4"/>
    </row>
    <row r="7" spans="1:16" x14ac:dyDescent="0.2">
      <c r="A7" s="4"/>
      <c r="B7" s="14">
        <v>130</v>
      </c>
      <c r="C7" s="14">
        <v>33</v>
      </c>
      <c r="D7" s="15">
        <f t="shared" si="0"/>
        <v>2.2785273384785976</v>
      </c>
      <c r="E7" s="4"/>
    </row>
    <row r="8" spans="1:16" x14ac:dyDescent="0.2">
      <c r="A8" s="4"/>
      <c r="B8" s="13">
        <v>130</v>
      </c>
      <c r="C8" s="13">
        <v>33</v>
      </c>
      <c r="D8" s="11">
        <f t="shared" si="0"/>
        <v>2.2785273384785976</v>
      </c>
      <c r="E8" s="4"/>
    </row>
    <row r="9" spans="1:16" x14ac:dyDescent="0.2">
      <c r="A9" s="4"/>
      <c r="B9" s="14">
        <v>130</v>
      </c>
      <c r="C9" s="14">
        <v>34</v>
      </c>
      <c r="D9" s="15">
        <f t="shared" si="0"/>
        <v>2.278818226687263</v>
      </c>
      <c r="E9" s="4"/>
    </row>
    <row r="10" spans="1:16" x14ac:dyDescent="0.2">
      <c r="A10" s="4"/>
      <c r="B10" s="13">
        <v>130</v>
      </c>
      <c r="C10" s="13">
        <v>33</v>
      </c>
      <c r="D10" s="11">
        <f t="shared" si="0"/>
        <v>2.2785273384785976</v>
      </c>
      <c r="E10" s="4"/>
    </row>
    <row r="11" spans="1:16" x14ac:dyDescent="0.2">
      <c r="A11" s="4"/>
      <c r="B11" s="14"/>
      <c r="C11" s="14"/>
      <c r="D11" s="15">
        <f t="shared" si="0"/>
        <v>0</v>
      </c>
      <c r="E11" s="4"/>
    </row>
    <row r="12" spans="1:16" x14ac:dyDescent="0.2">
      <c r="A12" s="4"/>
      <c r="B12" s="13"/>
      <c r="C12" s="13"/>
      <c r="D12" s="11">
        <f t="shared" si="0"/>
        <v>0</v>
      </c>
      <c r="E12" s="4"/>
    </row>
    <row r="13" spans="1:16" x14ac:dyDescent="0.2">
      <c r="A13" s="4"/>
      <c r="B13" s="14"/>
      <c r="C13" s="14"/>
      <c r="D13" s="15">
        <f t="shared" si="0"/>
        <v>0</v>
      </c>
      <c r="E13" s="4"/>
    </row>
    <row r="14" spans="1:16" x14ac:dyDescent="0.2">
      <c r="A14" s="6" t="s">
        <v>7</v>
      </c>
      <c r="B14" s="6" t="s">
        <v>52</v>
      </c>
      <c r="C14" s="6"/>
      <c r="D14" s="37">
        <f>AVERAGEIF(D4:D13, "&lt;&gt;0")</f>
        <v>2.2785273384785971</v>
      </c>
      <c r="E14" s="4"/>
    </row>
    <row r="15" spans="1:16" ht="19" x14ac:dyDescent="0.25">
      <c r="A15" s="56" t="s">
        <v>8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</row>
    <row r="16" spans="1:16" x14ac:dyDescent="0.2">
      <c r="A16" s="4"/>
      <c r="B16" s="58" t="s">
        <v>9</v>
      </c>
      <c r="C16" s="58"/>
      <c r="D16" s="58"/>
      <c r="E16" s="58"/>
      <c r="F16" s="58"/>
      <c r="G16" s="57" t="s">
        <v>11</v>
      </c>
      <c r="H16" s="57"/>
      <c r="I16" s="57"/>
      <c r="J16" s="57"/>
      <c r="K16" s="57"/>
      <c r="L16" s="4"/>
      <c r="M16" s="7" t="s">
        <v>0</v>
      </c>
      <c r="N16" s="7"/>
      <c r="O16" s="7"/>
      <c r="P16" s="7"/>
    </row>
    <row r="17" spans="1:16" x14ac:dyDescent="0.2">
      <c r="A17" s="4"/>
      <c r="B17" s="12" t="s">
        <v>10</v>
      </c>
      <c r="C17" s="12" t="s">
        <v>4</v>
      </c>
      <c r="D17" s="12" t="s">
        <v>5</v>
      </c>
      <c r="E17" s="4" t="s">
        <v>6</v>
      </c>
      <c r="F17" s="4" t="s">
        <v>21</v>
      </c>
      <c r="G17" s="12" t="s">
        <v>10</v>
      </c>
      <c r="H17" s="12" t="s">
        <v>4</v>
      </c>
      <c r="I17" s="12" t="s">
        <v>5</v>
      </c>
      <c r="J17" s="4" t="s">
        <v>6</v>
      </c>
      <c r="K17" s="12" t="s">
        <v>21</v>
      </c>
      <c r="L17" s="8"/>
      <c r="M17" s="8" t="s">
        <v>1</v>
      </c>
      <c r="N17" s="8"/>
      <c r="O17" s="4" t="s">
        <v>13</v>
      </c>
      <c r="P17" s="4" t="s">
        <v>12</v>
      </c>
    </row>
    <row r="18" spans="1:16" x14ac:dyDescent="0.2">
      <c r="A18" s="4"/>
      <c r="B18" s="16">
        <v>3</v>
      </c>
      <c r="C18" s="16">
        <v>162</v>
      </c>
      <c r="D18" s="16">
        <v>43</v>
      </c>
      <c r="E18" s="11">
        <f>RADIANS(C18+D18/60)</f>
        <v>2.8399415812034401</v>
      </c>
      <c r="F18" s="11">
        <f>ABS(E18-$D$14)</f>
        <v>0.56141424272484297</v>
      </c>
      <c r="G18" s="16">
        <v>3</v>
      </c>
      <c r="H18" s="16">
        <v>99</v>
      </c>
      <c r="I18" s="16">
        <v>21</v>
      </c>
      <c r="J18" s="11">
        <f>RADIANS(H18+I18/60)</f>
        <v>1.7339846118563662</v>
      </c>
      <c r="K18" s="11">
        <f>ABS(J18-$D$14)</f>
        <v>0.54454272662223091</v>
      </c>
      <c r="L18" s="9" t="s">
        <v>2</v>
      </c>
      <c r="M18" s="17">
        <f>DEGREES(ATAN(SIN(O18)*(COS(P18)/(1-COS(P18)*COS(O18)))))</f>
        <v>2.757006267876001</v>
      </c>
      <c r="N18" s="8"/>
      <c r="O18" s="10">
        <f>(F18-K18)/2</f>
        <v>8.4357580513060304E-3</v>
      </c>
      <c r="P18" s="10">
        <f>(F18+K18)/2</f>
        <v>0.55297848467353694</v>
      </c>
    </row>
    <row r="19" spans="1:16" x14ac:dyDescent="0.2">
      <c r="A19" s="4"/>
      <c r="B19" s="18">
        <v>4</v>
      </c>
      <c r="C19" s="18">
        <v>169</v>
      </c>
      <c r="D19" s="18">
        <v>53</v>
      </c>
      <c r="E19" s="15">
        <f t="shared" ref="E19:E20" si="1">RADIANS(C19+D19/60)</f>
        <v>2.9650235109296998</v>
      </c>
      <c r="F19" s="15">
        <f t="shared" ref="F19:F27" si="2">ABS(E19-$D$14)</f>
        <v>0.68649617245110273</v>
      </c>
      <c r="G19" s="18">
        <v>4</v>
      </c>
      <c r="H19" s="18">
        <v>86</v>
      </c>
      <c r="I19" s="18">
        <v>12</v>
      </c>
      <c r="J19" s="15">
        <f t="shared" ref="J19:J20" si="3">RADIANS(H19+I19/60)</f>
        <v>1.5044738152191122</v>
      </c>
      <c r="K19" s="15">
        <f t="shared" ref="K19:K27" si="4">ABS(J19-$D$14)</f>
        <v>0.77405352325948495</v>
      </c>
      <c r="L19" s="9" t="s">
        <v>2</v>
      </c>
      <c r="M19" s="19">
        <f>DEGREES(ATAN(SIN(O19)*(COS(P19)/ (1-COS(P19)*COS(O19)))))</f>
        <v>0.9563270587435545</v>
      </c>
      <c r="N19" s="8"/>
      <c r="O19" s="10">
        <f t="shared" ref="O19:O27" si="5">(F19-K19)/2</f>
        <v>-4.3778675404191114E-2</v>
      </c>
      <c r="P19" s="10">
        <f t="shared" ref="P19:P27" si="6">(E19+J19)/2</f>
        <v>2.2347486630744058</v>
      </c>
    </row>
    <row r="20" spans="1:16" x14ac:dyDescent="0.2">
      <c r="A20" s="4"/>
      <c r="B20" s="16">
        <v>3</v>
      </c>
      <c r="C20" s="16">
        <v>162</v>
      </c>
      <c r="D20" s="16">
        <v>19</v>
      </c>
      <c r="E20" s="11">
        <f t="shared" si="1"/>
        <v>2.8329602641954623</v>
      </c>
      <c r="F20" s="11">
        <f t="shared" si="2"/>
        <v>0.5544329257168652</v>
      </c>
      <c r="G20" s="16">
        <v>3</v>
      </c>
      <c r="H20" s="16">
        <v>99</v>
      </c>
      <c r="I20" s="16">
        <v>5</v>
      </c>
      <c r="J20" s="11">
        <f t="shared" si="3"/>
        <v>1.7293304005177148</v>
      </c>
      <c r="K20" s="11">
        <f t="shared" si="4"/>
        <v>0.54919693796088231</v>
      </c>
      <c r="L20" s="9" t="s">
        <v>2</v>
      </c>
      <c r="M20" s="17">
        <f t="shared" ref="M20:M27" si="7">DEGREES(ABS(ATAN(SIN(O20)*(COS(P20)/(1-COS(P20)*COS(O20))))))</f>
        <v>5.9206368159204353E-2</v>
      </c>
      <c r="N20" s="8"/>
      <c r="O20" s="10">
        <f t="shared" si="5"/>
        <v>2.6179938779914425E-3</v>
      </c>
      <c r="P20" s="10">
        <f t="shared" si="6"/>
        <v>2.2811453323565885</v>
      </c>
    </row>
    <row r="21" spans="1:16" x14ac:dyDescent="0.2">
      <c r="A21" s="4"/>
      <c r="B21" s="18">
        <v>3</v>
      </c>
      <c r="C21" s="18">
        <v>162</v>
      </c>
      <c r="D21" s="18">
        <v>21</v>
      </c>
      <c r="E21" s="15">
        <f t="shared" ref="E21:E27" si="8">RADIANS(C21+D21/60)</f>
        <v>2.833542040612794</v>
      </c>
      <c r="F21" s="15">
        <f t="shared" si="2"/>
        <v>0.5550147021341969</v>
      </c>
      <c r="G21" s="18">
        <v>3</v>
      </c>
      <c r="H21" s="18">
        <v>99</v>
      </c>
      <c r="I21" s="18">
        <v>6</v>
      </c>
      <c r="J21" s="15">
        <f t="shared" ref="J21:J27" si="9">RADIANS(H21+I21/60)</f>
        <v>1.7296212887263804</v>
      </c>
      <c r="K21" s="15">
        <f t="shared" si="4"/>
        <v>0.54890604975221668</v>
      </c>
      <c r="L21" s="9" t="s">
        <v>2</v>
      </c>
      <c r="M21" s="19">
        <f t="shared" si="7"/>
        <v>6.9095293810848946E-2</v>
      </c>
      <c r="N21" s="8"/>
      <c r="O21" s="10">
        <f t="shared" si="5"/>
        <v>3.0543261909901087E-3</v>
      </c>
      <c r="P21" s="10">
        <f t="shared" si="6"/>
        <v>2.281581664669587</v>
      </c>
    </row>
    <row r="22" spans="1:16" x14ac:dyDescent="0.2">
      <c r="A22" s="4"/>
      <c r="B22" s="16"/>
      <c r="C22" s="16"/>
      <c r="D22" s="16"/>
      <c r="E22" s="11">
        <f t="shared" si="8"/>
        <v>0</v>
      </c>
      <c r="F22" s="11">
        <f t="shared" si="2"/>
        <v>2.2785273384785971</v>
      </c>
      <c r="G22" s="16"/>
      <c r="H22" s="16"/>
      <c r="I22" s="16"/>
      <c r="J22" s="11">
        <f t="shared" si="9"/>
        <v>0</v>
      </c>
      <c r="K22" s="11">
        <f t="shared" si="4"/>
        <v>2.2785273384785971</v>
      </c>
      <c r="L22" s="9" t="s">
        <v>2</v>
      </c>
      <c r="M22" s="17" t="e">
        <f t="shared" si="7"/>
        <v>#DIV/0!</v>
      </c>
      <c r="N22" s="8"/>
      <c r="O22" s="10">
        <f t="shared" si="5"/>
        <v>0</v>
      </c>
      <c r="P22" s="10">
        <f t="shared" si="6"/>
        <v>0</v>
      </c>
    </row>
    <row r="23" spans="1:16" x14ac:dyDescent="0.2">
      <c r="A23" s="4"/>
      <c r="B23" s="18"/>
      <c r="C23" s="18"/>
      <c r="D23" s="18"/>
      <c r="E23" s="15">
        <f t="shared" si="8"/>
        <v>0</v>
      </c>
      <c r="F23" s="15">
        <f t="shared" si="2"/>
        <v>2.2785273384785971</v>
      </c>
      <c r="G23" s="18"/>
      <c r="H23" s="18"/>
      <c r="I23" s="18"/>
      <c r="J23" s="15">
        <f t="shared" si="9"/>
        <v>0</v>
      </c>
      <c r="K23" s="15">
        <f t="shared" si="4"/>
        <v>2.2785273384785971</v>
      </c>
      <c r="L23" s="9" t="s">
        <v>2</v>
      </c>
      <c r="M23" s="19" t="e">
        <f t="shared" si="7"/>
        <v>#DIV/0!</v>
      </c>
      <c r="N23" s="8"/>
      <c r="O23" s="10">
        <f t="shared" si="5"/>
        <v>0</v>
      </c>
      <c r="P23" s="10">
        <f t="shared" si="6"/>
        <v>0</v>
      </c>
    </row>
    <row r="24" spans="1:16" x14ac:dyDescent="0.2">
      <c r="A24" s="4"/>
      <c r="B24" s="16"/>
      <c r="C24" s="16"/>
      <c r="D24" s="16"/>
      <c r="E24" s="11">
        <f t="shared" si="8"/>
        <v>0</v>
      </c>
      <c r="F24" s="11">
        <f t="shared" si="2"/>
        <v>2.2785273384785971</v>
      </c>
      <c r="G24" s="16"/>
      <c r="H24" s="16"/>
      <c r="I24" s="16"/>
      <c r="J24" s="11">
        <f t="shared" si="9"/>
        <v>0</v>
      </c>
      <c r="K24" s="11">
        <f t="shared" si="4"/>
        <v>2.2785273384785971</v>
      </c>
      <c r="L24" s="9" t="s">
        <v>2</v>
      </c>
      <c r="M24" s="17" t="e">
        <f t="shared" si="7"/>
        <v>#DIV/0!</v>
      </c>
      <c r="N24" s="8"/>
      <c r="O24" s="10">
        <f t="shared" si="5"/>
        <v>0</v>
      </c>
      <c r="P24" s="10">
        <f t="shared" si="6"/>
        <v>0</v>
      </c>
    </row>
    <row r="25" spans="1:16" x14ac:dyDescent="0.2">
      <c r="A25" s="4"/>
      <c r="B25" s="18"/>
      <c r="C25" s="18"/>
      <c r="D25" s="18"/>
      <c r="E25" s="15">
        <f t="shared" si="8"/>
        <v>0</v>
      </c>
      <c r="F25" s="15">
        <f t="shared" si="2"/>
        <v>2.2785273384785971</v>
      </c>
      <c r="G25" s="18"/>
      <c r="H25" s="18"/>
      <c r="I25" s="18"/>
      <c r="J25" s="15">
        <f t="shared" si="9"/>
        <v>0</v>
      </c>
      <c r="K25" s="15">
        <f t="shared" si="4"/>
        <v>2.2785273384785971</v>
      </c>
      <c r="L25" s="9" t="s">
        <v>2</v>
      </c>
      <c r="M25" s="19" t="e">
        <f t="shared" si="7"/>
        <v>#DIV/0!</v>
      </c>
      <c r="N25" s="8"/>
      <c r="O25" s="10">
        <f t="shared" si="5"/>
        <v>0</v>
      </c>
      <c r="P25" s="10">
        <f t="shared" si="6"/>
        <v>0</v>
      </c>
    </row>
    <row r="26" spans="1:16" x14ac:dyDescent="0.2">
      <c r="A26" s="4"/>
      <c r="B26" s="16"/>
      <c r="C26" s="16"/>
      <c r="D26" s="16"/>
      <c r="E26" s="11">
        <f t="shared" si="8"/>
        <v>0</v>
      </c>
      <c r="F26" s="11">
        <f t="shared" si="2"/>
        <v>2.2785273384785971</v>
      </c>
      <c r="G26" s="16"/>
      <c r="H26" s="16"/>
      <c r="I26" s="16"/>
      <c r="J26" s="11">
        <f t="shared" si="9"/>
        <v>0</v>
      </c>
      <c r="K26" s="11">
        <f t="shared" si="4"/>
        <v>2.2785273384785971</v>
      </c>
      <c r="L26" s="9" t="s">
        <v>2</v>
      </c>
      <c r="M26" s="17" t="e">
        <f t="shared" si="7"/>
        <v>#DIV/0!</v>
      </c>
      <c r="N26" s="8"/>
      <c r="O26" s="10">
        <f t="shared" si="5"/>
        <v>0</v>
      </c>
      <c r="P26" s="10">
        <f t="shared" si="6"/>
        <v>0</v>
      </c>
    </row>
    <row r="27" spans="1:16" x14ac:dyDescent="0.2">
      <c r="A27" s="4"/>
      <c r="B27" s="18"/>
      <c r="C27" s="18"/>
      <c r="D27" s="18"/>
      <c r="E27" s="15">
        <f t="shared" si="8"/>
        <v>0</v>
      </c>
      <c r="F27" s="15">
        <f t="shared" si="2"/>
        <v>2.2785273384785971</v>
      </c>
      <c r="G27" s="18"/>
      <c r="H27" s="18"/>
      <c r="I27" s="18"/>
      <c r="J27" s="15">
        <f t="shared" si="9"/>
        <v>0</v>
      </c>
      <c r="K27" s="15">
        <f t="shared" si="4"/>
        <v>2.2785273384785971</v>
      </c>
      <c r="L27" s="9" t="s">
        <v>2</v>
      </c>
      <c r="M27" s="19" t="e">
        <f t="shared" si="7"/>
        <v>#DIV/0!</v>
      </c>
      <c r="N27" s="8"/>
      <c r="O27" s="10">
        <f t="shared" si="5"/>
        <v>0</v>
      </c>
      <c r="P27" s="10">
        <f t="shared" si="6"/>
        <v>0</v>
      </c>
    </row>
    <row r="28" spans="1:1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mergeCells count="5">
    <mergeCell ref="A1:E1"/>
    <mergeCell ref="A2:E2"/>
    <mergeCell ref="A15:P15"/>
    <mergeCell ref="G16:K16"/>
    <mergeCell ref="B16:F1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DCC5-5E30-E54D-9575-A05C76273993}">
  <dimension ref="A1:J17"/>
  <sheetViews>
    <sheetView workbookViewId="0">
      <selection activeCell="K20" sqref="K20"/>
    </sheetView>
  </sheetViews>
  <sheetFormatPr baseColWidth="10" defaultRowHeight="16" x14ac:dyDescent="0.2"/>
  <cols>
    <col min="8" max="8" width="7.1640625" customWidth="1"/>
  </cols>
  <sheetData>
    <row r="1" spans="1:10" ht="22" x14ac:dyDescent="0.3">
      <c r="A1" s="3" t="s">
        <v>23</v>
      </c>
    </row>
    <row r="2" spans="1:10" ht="19" customHeight="1" x14ac:dyDescent="0.2">
      <c r="B2" s="59" t="s">
        <v>15</v>
      </c>
      <c r="C2" s="1" t="s">
        <v>16</v>
      </c>
      <c r="D2">
        <f>5890</f>
        <v>5890</v>
      </c>
    </row>
    <row r="3" spans="1:10" ht="19" customHeight="1" x14ac:dyDescent="0.2">
      <c r="B3" s="59"/>
      <c r="C3" s="1" t="s">
        <v>17</v>
      </c>
      <c r="D3">
        <f>5896</f>
        <v>5896</v>
      </c>
    </row>
    <row r="4" spans="1:10" x14ac:dyDescent="0.2">
      <c r="A4" s="4"/>
      <c r="B4" s="60" t="s">
        <v>18</v>
      </c>
      <c r="C4" s="60"/>
      <c r="D4" s="60"/>
      <c r="E4" s="60"/>
      <c r="F4" s="60"/>
      <c r="G4" s="60"/>
      <c r="H4" s="4"/>
      <c r="I4" s="4"/>
      <c r="J4" s="4"/>
    </row>
    <row r="5" spans="1:10" x14ac:dyDescent="0.2">
      <c r="A5" s="4"/>
      <c r="B5" s="26" t="s">
        <v>20</v>
      </c>
      <c r="C5" s="27" t="s">
        <v>19</v>
      </c>
      <c r="D5" s="26" t="s">
        <v>4</v>
      </c>
      <c r="E5" s="26" t="s">
        <v>5</v>
      </c>
      <c r="F5" s="28" t="s">
        <v>6</v>
      </c>
      <c r="G5" s="26" t="s">
        <v>21</v>
      </c>
      <c r="H5" s="28"/>
      <c r="I5" s="26" t="s">
        <v>22</v>
      </c>
      <c r="J5" s="4"/>
    </row>
    <row r="6" spans="1:10" x14ac:dyDescent="0.2">
      <c r="A6" s="4"/>
      <c r="B6" s="16">
        <v>4</v>
      </c>
      <c r="C6" s="16">
        <v>5896</v>
      </c>
      <c r="D6" s="16">
        <v>175</v>
      </c>
      <c r="E6" s="16">
        <v>21</v>
      </c>
      <c r="F6" s="23">
        <f>RADIANS(D6+E6/60)</f>
        <v>3.060434843372057</v>
      </c>
      <c r="G6" s="24">
        <f>ABS('1_ortogonalita'!$D$14-'2_passo'!F6)</f>
        <v>0.78190750489345984</v>
      </c>
      <c r="H6" s="4"/>
      <c r="I6" s="21">
        <f>B6*C6/SIN(G6)</f>
        <v>33469.848137544264</v>
      </c>
      <c r="J6" s="4"/>
    </row>
    <row r="7" spans="1:10" x14ac:dyDescent="0.2">
      <c r="A7" s="4"/>
      <c r="B7" s="18">
        <v>4</v>
      </c>
      <c r="C7" s="18">
        <v>5896</v>
      </c>
      <c r="D7" s="18">
        <v>175</v>
      </c>
      <c r="E7" s="18">
        <v>22</v>
      </c>
      <c r="F7" s="25">
        <f t="shared" ref="F7:F15" si="0">RADIANS(D7+E7/60)</f>
        <v>3.0607257315807228</v>
      </c>
      <c r="G7" s="25">
        <f>ABS('1_ortogonalita'!$D$14-'2_passo'!F7)</f>
        <v>0.78219839310212569</v>
      </c>
      <c r="H7" s="4"/>
      <c r="I7" s="22">
        <f t="shared" ref="I7:I15" si="1">B7*C7/SIN(G7)</f>
        <v>33460.048231427725</v>
      </c>
      <c r="J7" s="4"/>
    </row>
    <row r="8" spans="1:10" x14ac:dyDescent="0.2">
      <c r="A8" s="4"/>
      <c r="B8" s="16">
        <v>4</v>
      </c>
      <c r="C8" s="16">
        <v>5896</v>
      </c>
      <c r="D8" s="16">
        <v>175</v>
      </c>
      <c r="E8" s="16">
        <v>21</v>
      </c>
      <c r="F8" s="23">
        <f t="shared" si="0"/>
        <v>3.060434843372057</v>
      </c>
      <c r="G8" s="24">
        <f>ABS('1_ortogonalita'!$D$14-'2_passo'!F8)</f>
        <v>0.78190750489345984</v>
      </c>
      <c r="H8" s="4"/>
      <c r="I8" s="21">
        <f t="shared" si="1"/>
        <v>33469.848137544264</v>
      </c>
      <c r="J8" s="4"/>
    </row>
    <row r="9" spans="1:10" x14ac:dyDescent="0.2">
      <c r="A9" s="4"/>
      <c r="B9" s="18">
        <v>4</v>
      </c>
      <c r="C9" s="18">
        <v>5896</v>
      </c>
      <c r="D9" s="18">
        <v>86</v>
      </c>
      <c r="E9" s="18">
        <v>37</v>
      </c>
      <c r="F9" s="25">
        <f t="shared" si="0"/>
        <v>1.5117460204357549</v>
      </c>
      <c r="G9" s="25">
        <f>ABS('1_ortogonalita'!$D$14-'2_passo'!F9)</f>
        <v>0.76678131804284222</v>
      </c>
      <c r="H9" s="4"/>
      <c r="I9" s="22">
        <f t="shared" si="1"/>
        <v>33991.480569935957</v>
      </c>
      <c r="J9" s="4"/>
    </row>
    <row r="10" spans="1:10" x14ac:dyDescent="0.2">
      <c r="A10" s="4"/>
      <c r="B10" s="16">
        <v>3</v>
      </c>
      <c r="C10" s="16">
        <v>5896</v>
      </c>
      <c r="D10" s="16">
        <v>99</v>
      </c>
      <c r="E10" s="16">
        <v>8</v>
      </c>
      <c r="F10" s="23">
        <f>RADIANS(D10+E10/60)</f>
        <v>1.7302030651437121</v>
      </c>
      <c r="G10" s="24">
        <f>ABS('1_ortogonalita'!$D$14-'2_passo'!F10)</f>
        <v>0.54832427333488498</v>
      </c>
      <c r="H10" s="4"/>
      <c r="I10" s="21">
        <f>B10*C10/SIN(G10)</f>
        <v>33933.298813347552</v>
      </c>
      <c r="J10" s="4"/>
    </row>
    <row r="11" spans="1:10" x14ac:dyDescent="0.2">
      <c r="A11" s="4"/>
      <c r="B11" s="18">
        <v>3</v>
      </c>
      <c r="C11" s="18">
        <v>5896</v>
      </c>
      <c r="D11" s="18">
        <v>162</v>
      </c>
      <c r="E11" s="18">
        <v>23</v>
      </c>
      <c r="F11" s="25">
        <f t="shared" si="0"/>
        <v>2.8341238170301253</v>
      </c>
      <c r="G11" s="25">
        <f>ABS('1_ortogonalita'!$D$14-'2_passo'!F11)</f>
        <v>0.55559647855152816</v>
      </c>
      <c r="H11" s="4"/>
      <c r="I11" s="22">
        <f t="shared" si="1"/>
        <v>33534.922441474067</v>
      </c>
      <c r="J11" s="4"/>
    </row>
    <row r="12" spans="1:10" x14ac:dyDescent="0.2">
      <c r="A12" s="4"/>
      <c r="B12" s="16"/>
      <c r="C12" s="16">
        <v>5896</v>
      </c>
      <c r="D12" s="16"/>
      <c r="E12" s="16"/>
      <c r="F12" s="23">
        <f t="shared" si="0"/>
        <v>0</v>
      </c>
      <c r="G12" s="24">
        <f>ABS('1_ortogonalita'!$D$14-'2_passo'!F12)</f>
        <v>2.2785273384785971</v>
      </c>
      <c r="H12" s="4"/>
      <c r="I12" s="21">
        <f t="shared" si="1"/>
        <v>0</v>
      </c>
      <c r="J12" s="4"/>
    </row>
    <row r="13" spans="1:10" x14ac:dyDescent="0.2">
      <c r="A13" s="4"/>
      <c r="B13" s="18"/>
      <c r="C13" s="18">
        <v>5896</v>
      </c>
      <c r="D13" s="18"/>
      <c r="E13" s="18"/>
      <c r="F13" s="25">
        <f t="shared" si="0"/>
        <v>0</v>
      </c>
      <c r="G13" s="25">
        <f>ABS('1_ortogonalita'!$D$14-'2_passo'!F13)</f>
        <v>2.2785273384785971</v>
      </c>
      <c r="H13" s="4"/>
      <c r="I13" s="22">
        <f t="shared" si="1"/>
        <v>0</v>
      </c>
      <c r="J13" s="4"/>
    </row>
    <row r="14" spans="1:10" x14ac:dyDescent="0.2">
      <c r="A14" s="4"/>
      <c r="B14" s="16"/>
      <c r="C14" s="16">
        <v>5896</v>
      </c>
      <c r="D14" s="16"/>
      <c r="E14" s="16"/>
      <c r="F14" s="23">
        <f t="shared" si="0"/>
        <v>0</v>
      </c>
      <c r="G14" s="24">
        <f>ABS('1_ortogonalita'!$D$14-'2_passo'!F14)</f>
        <v>2.2785273384785971</v>
      </c>
      <c r="H14" s="4"/>
      <c r="I14" s="21">
        <f t="shared" si="1"/>
        <v>0</v>
      </c>
      <c r="J14" s="4"/>
    </row>
    <row r="15" spans="1:10" ht="16" customHeight="1" x14ac:dyDescent="0.2">
      <c r="A15" s="4"/>
      <c r="B15" s="18"/>
      <c r="C15" s="18">
        <v>5896</v>
      </c>
      <c r="D15" s="18"/>
      <c r="E15" s="18"/>
      <c r="F15" s="25">
        <f t="shared" si="0"/>
        <v>0</v>
      </c>
      <c r="G15" s="25">
        <f>ABS('1_ortogonalita'!$D$14-'2_passo'!F15)</f>
        <v>2.2785273384785971</v>
      </c>
      <c r="H15" s="4"/>
      <c r="I15" s="22">
        <f t="shared" si="1"/>
        <v>0</v>
      </c>
      <c r="J15" s="4"/>
    </row>
    <row r="16" spans="1:10" ht="16" customHeight="1" x14ac:dyDescent="0.2">
      <c r="A16" s="4"/>
      <c r="B16" s="4"/>
      <c r="C16" s="4"/>
      <c r="D16" s="4"/>
      <c r="E16" s="4"/>
      <c r="F16" s="4"/>
      <c r="G16" s="4"/>
      <c r="H16" s="72" t="s">
        <v>53</v>
      </c>
      <c r="I16" s="38">
        <f>AVERAGEIF(I6:I15, "&lt;&gt;0")</f>
        <v>33643.241055212311</v>
      </c>
      <c r="J16" s="4" t="s">
        <v>56</v>
      </c>
    </row>
    <row r="17" spans="1:10" x14ac:dyDescent="0.2">
      <c r="A17" s="4"/>
      <c r="B17" s="4"/>
      <c r="C17" s="4"/>
      <c r="D17" s="4"/>
      <c r="E17" s="4"/>
      <c r="F17" s="4"/>
      <c r="G17" s="4"/>
      <c r="H17" s="72" t="s">
        <v>51</v>
      </c>
      <c r="I17" s="39">
        <f>1/(I16*10^-7)</f>
        <v>297.2365231871949</v>
      </c>
      <c r="J17" s="4" t="s">
        <v>55</v>
      </c>
    </row>
  </sheetData>
  <mergeCells count="2">
    <mergeCell ref="B2:B3"/>
    <mergeCell ref="B4:G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A5A3-993B-FB42-9C39-398816C1DE61}">
  <dimension ref="A1:H93"/>
  <sheetViews>
    <sheetView zoomScale="118" workbookViewId="0">
      <selection activeCell="D11" sqref="D11"/>
    </sheetView>
  </sheetViews>
  <sheetFormatPr baseColWidth="10" defaultRowHeight="16" x14ac:dyDescent="0.2"/>
  <cols>
    <col min="5" max="5" width="13.6640625" bestFit="1" customWidth="1"/>
    <col min="6" max="6" width="11" bestFit="1" customWidth="1"/>
    <col min="7" max="7" width="11.6640625" bestFit="1" customWidth="1"/>
  </cols>
  <sheetData>
    <row r="1" spans="1:8" ht="22" x14ac:dyDescent="0.3">
      <c r="A1" s="3" t="s">
        <v>24</v>
      </c>
    </row>
    <row r="2" spans="1:8" x14ac:dyDescent="0.2">
      <c r="A2" s="4"/>
      <c r="B2" s="63" t="s">
        <v>58</v>
      </c>
      <c r="C2" s="63"/>
      <c r="D2" s="63"/>
      <c r="E2" s="63"/>
      <c r="F2" s="63"/>
      <c r="G2" s="63"/>
      <c r="H2" s="4"/>
    </row>
    <row r="3" spans="1:8" x14ac:dyDescent="0.2">
      <c r="A3" s="4"/>
      <c r="B3" s="26" t="s">
        <v>20</v>
      </c>
      <c r="C3" s="26" t="s">
        <v>4</v>
      </c>
      <c r="D3" s="26" t="s">
        <v>5</v>
      </c>
      <c r="E3" s="28" t="s">
        <v>6</v>
      </c>
      <c r="F3" s="26" t="s">
        <v>21</v>
      </c>
      <c r="G3" s="26" t="s">
        <v>19</v>
      </c>
      <c r="H3" s="4"/>
    </row>
    <row r="4" spans="1:8" x14ac:dyDescent="0.2">
      <c r="A4" s="4"/>
      <c r="B4" s="16">
        <v>2</v>
      </c>
      <c r="C4" s="16">
        <v>144</v>
      </c>
      <c r="D4" s="16">
        <v>25</v>
      </c>
      <c r="E4" s="23">
        <f>RADIANS(C4+D4/60)</f>
        <v>2.5205463280884772</v>
      </c>
      <c r="F4" s="23">
        <f>ABS('1_ortogonalita'!$D$14-E4)</f>
        <v>0.24201898960988011</v>
      </c>
      <c r="G4" s="29">
        <f>'2_passo'!$I$16*SIN('3_lambda'!F4)/'3_lambda'!B4</f>
        <v>4031.5244460560561</v>
      </c>
      <c r="H4" s="4"/>
    </row>
    <row r="5" spans="1:8" x14ac:dyDescent="0.2">
      <c r="A5" s="4"/>
      <c r="B5" s="15">
        <v>3</v>
      </c>
      <c r="C5" s="15">
        <v>151</v>
      </c>
      <c r="D5" s="15">
        <v>44</v>
      </c>
      <c r="E5" s="25">
        <f t="shared" ref="E5:E12" si="0">RADIANS(C5+D5/60)</f>
        <v>2.6482462516927292</v>
      </c>
      <c r="F5" s="25">
        <f>ABS('1_ortogonalita'!$D$14-E5)</f>
        <v>0.36971891321413208</v>
      </c>
      <c r="G5" s="22">
        <f>'2_passo'!$I$16*SIN('3_lambda'!F5)/'3_lambda'!B5</f>
        <v>4052.3659846281985</v>
      </c>
      <c r="H5" s="4"/>
    </row>
    <row r="6" spans="1:8" x14ac:dyDescent="0.2">
      <c r="A6" s="4"/>
      <c r="B6" s="16">
        <v>4</v>
      </c>
      <c r="C6" s="16">
        <v>159</v>
      </c>
      <c r="D6" s="16">
        <v>20</v>
      </c>
      <c r="E6" s="23">
        <f t="shared" si="0"/>
        <v>2.7808912748442984</v>
      </c>
      <c r="F6" s="23">
        <f>ABS('1_ortogonalita'!$D$14-E6)</f>
        <v>0.50236393636570131</v>
      </c>
      <c r="G6" s="29">
        <f>'2_passo'!$I$16*SIN('3_lambda'!F6)/'3_lambda'!B6</f>
        <v>4049.7945985901601</v>
      </c>
      <c r="H6" s="4"/>
    </row>
    <row r="7" spans="1:8" x14ac:dyDescent="0.2">
      <c r="A7" s="4"/>
      <c r="B7" s="15">
        <v>5</v>
      </c>
      <c r="C7" s="15">
        <v>167</v>
      </c>
      <c r="D7" s="15">
        <v>40</v>
      </c>
      <c r="E7" s="25">
        <f>RADIANS(C7+D7/60)</f>
        <v>2.9263353791771589</v>
      </c>
      <c r="F7" s="25">
        <f>ABS('1_ortogonalita'!$D$14-E7)</f>
        <v>0.64780804069856179</v>
      </c>
      <c r="G7" s="22">
        <f>'2_passo'!$I$16*SIN('3_lambda'!F7)/'3_lambda'!B7</f>
        <v>4060.3352744896815</v>
      </c>
      <c r="H7" s="4"/>
    </row>
    <row r="8" spans="1:8" x14ac:dyDescent="0.2">
      <c r="A8" s="4"/>
      <c r="B8" s="16">
        <v>1</v>
      </c>
      <c r="C8" s="16">
        <v>137</v>
      </c>
      <c r="D8" s="16">
        <v>25</v>
      </c>
      <c r="E8" s="23">
        <f t="shared" si="0"/>
        <v>2.3983732804488742</v>
      </c>
      <c r="F8" s="23">
        <f>ABS('1_ortogonalita'!$D$14-E8)</f>
        <v>0.11984594197027709</v>
      </c>
      <c r="G8" s="29">
        <f>'2_passo'!$I$16*SIN('3_lambda'!F8)/'3_lambda'!B8</f>
        <v>4022.3608607909514</v>
      </c>
      <c r="H8" s="4"/>
    </row>
    <row r="9" spans="1:8" x14ac:dyDescent="0.2">
      <c r="A9" s="4"/>
      <c r="B9" s="15">
        <v>4</v>
      </c>
      <c r="C9" s="15">
        <v>102</v>
      </c>
      <c r="D9" s="15">
        <v>1</v>
      </c>
      <c r="E9" s="25">
        <f t="shared" ref="E9" si="1">RADIANS(C9+D9/60)</f>
        <v>1.7805267252428818</v>
      </c>
      <c r="F9" s="25">
        <f>ABS('1_ortogonalita'!$D$14-E9)</f>
        <v>0.49800061323571532</v>
      </c>
      <c r="G9" s="22">
        <f>'2_passo'!$I$16*SIN('3_lambda'!F9)/'3_lambda'!B9</f>
        <v>4017.5913564527768</v>
      </c>
      <c r="H9" s="4"/>
    </row>
    <row r="10" spans="1:8" x14ac:dyDescent="0.2">
      <c r="A10" s="4"/>
      <c r="B10" s="16">
        <v>5</v>
      </c>
      <c r="C10" s="16">
        <v>94</v>
      </c>
      <c r="D10" s="16">
        <v>0</v>
      </c>
      <c r="E10" s="23">
        <f t="shared" si="0"/>
        <v>1.6406094968746698</v>
      </c>
      <c r="F10" s="23">
        <f>ABS('1_ortogonalita'!$D$14-E10)</f>
        <v>0.63791784160392728</v>
      </c>
      <c r="G10" s="29">
        <f>'2_passo'!$I$16*SIN('3_lambda'!F10)/'3_lambda'!B10</f>
        <v>4007.0718849188306</v>
      </c>
      <c r="H10" s="4"/>
    </row>
    <row r="11" spans="1:8" x14ac:dyDescent="0.2">
      <c r="A11" s="4"/>
      <c r="B11" s="18"/>
      <c r="C11" s="18"/>
      <c r="D11" s="18"/>
      <c r="E11" s="25">
        <f t="shared" si="0"/>
        <v>0</v>
      </c>
      <c r="F11" s="25">
        <f>ABS('1_ortogonalita'!$D$14-E11)</f>
        <v>2.2785273384785971</v>
      </c>
      <c r="G11" s="22" t="e">
        <f>'2_passo'!$I$16*SIN('3_lambda'!F11)/'3_lambda'!B11</f>
        <v>#DIV/0!</v>
      </c>
      <c r="H11" s="4"/>
    </row>
    <row r="12" spans="1:8" x14ac:dyDescent="0.2">
      <c r="A12" s="4"/>
      <c r="B12" s="16"/>
      <c r="C12" s="16"/>
      <c r="D12" s="16"/>
      <c r="E12" s="23">
        <f t="shared" si="0"/>
        <v>0</v>
      </c>
      <c r="F12" s="23">
        <f>ABS('1_ortogonalita'!$D$14-E12)</f>
        <v>2.2785273384785971</v>
      </c>
      <c r="G12" s="29" t="e">
        <f>'2_passo'!$I$16*SIN('3_lambda'!F12)/'3_lambda'!B12</f>
        <v>#DIV/0!</v>
      </c>
      <c r="H12" s="4"/>
    </row>
    <row r="13" spans="1:8" x14ac:dyDescent="0.2">
      <c r="A13" s="4"/>
      <c r="B13" s="18"/>
      <c r="C13" s="18"/>
      <c r="D13" s="18"/>
      <c r="E13" s="25">
        <f>RADIANS(C13+D13/60)</f>
        <v>0</v>
      </c>
      <c r="F13" s="25">
        <f>ABS('1_ortogonalita'!$D$14-E13)</f>
        <v>2.2785273384785971</v>
      </c>
      <c r="G13" s="22" t="e">
        <f>'2_passo'!$I$16*SIN('3_lambda'!F13)/'3_lambda'!B13</f>
        <v>#DIV/0!</v>
      </c>
      <c r="H13" s="4"/>
    </row>
    <row r="14" spans="1:8" x14ac:dyDescent="0.2">
      <c r="A14" s="4"/>
      <c r="B14" s="4"/>
      <c r="C14" s="4"/>
      <c r="D14" s="4"/>
      <c r="E14" s="4"/>
      <c r="F14" s="6" t="s">
        <v>53</v>
      </c>
      <c r="G14" s="39">
        <f>AVERAGEIF(G4:G13, "&lt;&gt;#DIV/0!")</f>
        <v>4034.4349151323795</v>
      </c>
      <c r="H14" s="4" t="s">
        <v>57</v>
      </c>
    </row>
    <row r="15" spans="1:8" x14ac:dyDescent="0.2">
      <c r="A15" s="4"/>
      <c r="B15" s="64" t="s">
        <v>59</v>
      </c>
      <c r="C15" s="64"/>
      <c r="D15" s="64"/>
      <c r="E15" s="64"/>
      <c r="F15" s="64"/>
      <c r="G15" s="64"/>
      <c r="H15" s="4"/>
    </row>
    <row r="16" spans="1:8" x14ac:dyDescent="0.2">
      <c r="A16" s="4"/>
      <c r="B16" s="26" t="s">
        <v>20</v>
      </c>
      <c r="C16" s="26" t="s">
        <v>4</v>
      </c>
      <c r="D16" s="26" t="s">
        <v>5</v>
      </c>
      <c r="E16" s="28" t="s">
        <v>6</v>
      </c>
      <c r="F16" s="26" t="s">
        <v>21</v>
      </c>
      <c r="G16" s="26" t="s">
        <v>19</v>
      </c>
      <c r="H16" s="4"/>
    </row>
    <row r="17" spans="1:8" x14ac:dyDescent="0.2">
      <c r="A17" s="4"/>
      <c r="B17" s="16">
        <v>4</v>
      </c>
      <c r="C17" s="16">
        <v>101</v>
      </c>
      <c r="D17" s="16">
        <v>46</v>
      </c>
      <c r="E17" s="41">
        <f>RADIANS(C17+D17/60)</f>
        <v>1.776163402112896</v>
      </c>
      <c r="F17" s="41">
        <f>ABS('1_ortogonalita'!$D$14-E17)</f>
        <v>0.50236393636570109</v>
      </c>
      <c r="G17" s="46">
        <f>'2_passo'!$I$16*SIN('3_lambda'!F17)/'3_lambda'!B17</f>
        <v>4049.7945985901583</v>
      </c>
      <c r="H17" s="4"/>
    </row>
    <row r="18" spans="1:8" x14ac:dyDescent="0.2">
      <c r="A18" s="4"/>
      <c r="B18" s="15">
        <v>1</v>
      </c>
      <c r="C18" s="15">
        <v>137</v>
      </c>
      <c r="D18" s="15">
        <v>30</v>
      </c>
      <c r="E18" s="25">
        <f t="shared" ref="E18:E25" si="2">RADIANS(C18+D18/60)</f>
        <v>2.399827721492203</v>
      </c>
      <c r="F18" s="25">
        <f>ABS('1_ortogonalita'!$D$14-E18)</f>
        <v>0.12130038301360591</v>
      </c>
      <c r="G18" s="22">
        <f>'2_passo'!$I$16*SIN('3_lambda'!F18)/'3_lambda'!B18</f>
        <v>4070.9377130706043</v>
      </c>
      <c r="H18" s="4"/>
    </row>
    <row r="19" spans="1:8" x14ac:dyDescent="0.2">
      <c r="A19" s="4"/>
      <c r="B19" s="16">
        <v>2</v>
      </c>
      <c r="C19" s="16">
        <v>144</v>
      </c>
      <c r="D19" s="16">
        <v>34</v>
      </c>
      <c r="E19" s="41">
        <f t="shared" si="2"/>
        <v>2.523164321966469</v>
      </c>
      <c r="F19" s="41">
        <f>ABS('1_ortogonalita'!$D$14-E19)</f>
        <v>0.24463698348787188</v>
      </c>
      <c r="G19" s="46">
        <f>'2_passo'!$I$16*SIN('3_lambda'!F19)/'3_lambda'!B19</f>
        <v>4074.2660146380799</v>
      </c>
      <c r="H19" s="4"/>
    </row>
    <row r="20" spans="1:8" x14ac:dyDescent="0.2">
      <c r="A20" s="4"/>
      <c r="B20" s="15">
        <v>3</v>
      </c>
      <c r="C20" s="15">
        <v>151</v>
      </c>
      <c r="D20" s="15">
        <v>52</v>
      </c>
      <c r="E20" s="25">
        <f t="shared" si="2"/>
        <v>2.6505733573620551</v>
      </c>
      <c r="F20" s="25">
        <f>ABS('1_ortogonalita'!$D$14-E20)</f>
        <v>0.37204601888345801</v>
      </c>
      <c r="G20" s="22">
        <f>'2_passo'!$I$16*SIN('3_lambda'!F20)/'3_lambda'!B20</f>
        <v>4076.6887056251148</v>
      </c>
      <c r="H20" s="4"/>
    </row>
    <row r="21" spans="1:8" x14ac:dyDescent="0.2">
      <c r="A21" s="4"/>
      <c r="B21" s="16">
        <v>4</v>
      </c>
      <c r="C21" s="16">
        <v>159</v>
      </c>
      <c r="D21" s="16">
        <v>36</v>
      </c>
      <c r="E21" s="41">
        <f t="shared" si="2"/>
        <v>2.7855454861829498</v>
      </c>
      <c r="F21" s="41">
        <f>ABS('1_ortogonalita'!$D$14-E21)</f>
        <v>0.50701814770435272</v>
      </c>
      <c r="G21" s="46">
        <f>'2_passo'!$I$16*SIN('3_lambda'!F21)/'3_lambda'!B21</f>
        <v>4084.059724731987</v>
      </c>
      <c r="H21" s="4"/>
    </row>
    <row r="22" spans="1:8" x14ac:dyDescent="0.2">
      <c r="A22" s="4"/>
      <c r="B22" s="15">
        <v>5</v>
      </c>
      <c r="C22" s="15">
        <v>168</v>
      </c>
      <c r="D22" s="15">
        <v>2</v>
      </c>
      <c r="E22" s="25">
        <f t="shared" si="2"/>
        <v>2.932734919767805</v>
      </c>
      <c r="F22" s="25">
        <f>ABS('1_ortogonalita'!$D$14-E22)</f>
        <v>0.65420758128920786</v>
      </c>
      <c r="G22" s="22">
        <f>'2_passo'!$I$16*SIN('3_lambda'!F22)/'3_lambda'!B22</f>
        <v>4094.5885088372729</v>
      </c>
      <c r="H22" s="4"/>
    </row>
    <row r="23" spans="1:8" x14ac:dyDescent="0.2">
      <c r="A23" s="4"/>
      <c r="B23" s="16"/>
      <c r="C23" s="16"/>
      <c r="D23" s="16"/>
      <c r="E23" s="41">
        <f t="shared" si="2"/>
        <v>0</v>
      </c>
      <c r="F23" s="41">
        <f>ABS('1_ortogonalita'!$D$14-E23)</f>
        <v>2.2785273384785971</v>
      </c>
      <c r="G23" s="46" t="e">
        <f>'2_passo'!$I$16*SIN('3_lambda'!F23)/'3_lambda'!B23</f>
        <v>#DIV/0!</v>
      </c>
      <c r="H23" s="4"/>
    </row>
    <row r="24" spans="1:8" x14ac:dyDescent="0.2">
      <c r="A24" s="4"/>
      <c r="B24" s="18"/>
      <c r="C24" s="18"/>
      <c r="D24" s="18"/>
      <c r="E24" s="42">
        <f t="shared" si="2"/>
        <v>0</v>
      </c>
      <c r="F24" s="42">
        <f>ABS('1_ortogonalita'!$D$14-E24)</f>
        <v>2.2785273384785971</v>
      </c>
      <c r="G24" s="47" t="e">
        <f>'2_passo'!$I$16*SIN('3_lambda'!F24)/'3_lambda'!B24</f>
        <v>#DIV/0!</v>
      </c>
      <c r="H24" s="4"/>
    </row>
    <row r="25" spans="1:8" x14ac:dyDescent="0.2">
      <c r="A25" s="4"/>
      <c r="B25" s="16"/>
      <c r="C25" s="16"/>
      <c r="D25" s="16"/>
      <c r="E25" s="41">
        <f t="shared" si="2"/>
        <v>0</v>
      </c>
      <c r="F25" s="41">
        <f>ABS('1_ortogonalita'!$D$14-E25)</f>
        <v>2.2785273384785971</v>
      </c>
      <c r="G25" s="46" t="e">
        <f>'2_passo'!$I$16*SIN('3_lambda'!F25)/'3_lambda'!B25</f>
        <v>#DIV/0!</v>
      </c>
      <c r="H25" s="4"/>
    </row>
    <row r="26" spans="1:8" x14ac:dyDescent="0.2">
      <c r="A26" s="4"/>
      <c r="B26" s="18"/>
      <c r="C26" s="18"/>
      <c r="D26" s="18"/>
      <c r="E26" s="42">
        <f t="shared" ref="E26" si="3">RADIANS(C26+D26/60)</f>
        <v>0</v>
      </c>
      <c r="F26" s="42">
        <f>ABS('1_ortogonalita'!$D$14-E26)</f>
        <v>2.2785273384785971</v>
      </c>
      <c r="G26" s="47" t="e">
        <f>'2_passo'!$I$16*SIN('3_lambda'!F26)/'3_lambda'!B26</f>
        <v>#DIV/0!</v>
      </c>
      <c r="H26" s="4"/>
    </row>
    <row r="27" spans="1:8" x14ac:dyDescent="0.2">
      <c r="A27" s="4"/>
      <c r="B27" s="4"/>
      <c r="C27" s="4"/>
      <c r="D27" s="4"/>
      <c r="E27" s="4"/>
      <c r="F27" s="6" t="s">
        <v>53</v>
      </c>
      <c r="G27" s="39">
        <f>AVERAGEIF(G17:G26, "&lt;&gt;#DIV/0!")</f>
        <v>4075.0558775822028</v>
      </c>
      <c r="H27" s="4" t="s">
        <v>57</v>
      </c>
    </row>
    <row r="28" spans="1:8" x14ac:dyDescent="0.2">
      <c r="A28" s="4"/>
      <c r="B28" s="65" t="s">
        <v>60</v>
      </c>
      <c r="C28" s="65"/>
      <c r="D28" s="65"/>
      <c r="E28" s="65"/>
      <c r="F28" s="65"/>
      <c r="G28" s="65"/>
      <c r="H28" s="4"/>
    </row>
    <row r="29" spans="1:8" x14ac:dyDescent="0.2">
      <c r="A29" s="4"/>
      <c r="B29" s="26" t="s">
        <v>20</v>
      </c>
      <c r="C29" s="26" t="s">
        <v>4</v>
      </c>
      <c r="D29" s="26" t="s">
        <v>5</v>
      </c>
      <c r="E29" s="28" t="s">
        <v>6</v>
      </c>
      <c r="F29" s="26" t="s">
        <v>21</v>
      </c>
      <c r="G29" s="26" t="s">
        <v>19</v>
      </c>
      <c r="H29" s="4"/>
    </row>
    <row r="30" spans="1:8" x14ac:dyDescent="0.2">
      <c r="A30" s="4"/>
      <c r="B30" s="16">
        <v>4</v>
      </c>
      <c r="C30" s="16">
        <v>99</v>
      </c>
      <c r="D30" s="16">
        <v>37</v>
      </c>
      <c r="E30" s="23">
        <f>RADIANS(C30+D30/60)</f>
        <v>1.7386388231950178</v>
      </c>
      <c r="F30" s="23">
        <f>ABS('1_ortogonalita'!$D$14-E30)</f>
        <v>0.53988851528357928</v>
      </c>
      <c r="G30" s="29">
        <f>'2_passo'!$I$16*SIN('3_lambda'!F30)/'3_lambda'!B30</f>
        <v>4323.4959951860101</v>
      </c>
      <c r="H30" s="4"/>
    </row>
    <row r="31" spans="1:8" x14ac:dyDescent="0.2">
      <c r="A31" s="4"/>
      <c r="B31" s="18">
        <v>3</v>
      </c>
      <c r="C31" s="18">
        <v>107</v>
      </c>
      <c r="D31" s="18">
        <v>50</v>
      </c>
      <c r="E31" s="25">
        <f>RADIANS(C31+D31/60)</f>
        <v>1.8820467100672187</v>
      </c>
      <c r="F31" s="25">
        <f>ABS('1_ortogonalita'!$D$14-E31)</f>
        <v>0.39648062841137843</v>
      </c>
      <c r="G31" s="22">
        <f>'2_passo'!$I$16*SIN('3_lambda'!F31)/'3_lambda'!B31</f>
        <v>4330.7192681106271</v>
      </c>
      <c r="H31" s="4"/>
    </row>
    <row r="32" spans="1:8" x14ac:dyDescent="0.2">
      <c r="A32" s="4"/>
      <c r="B32" s="16">
        <v>4</v>
      </c>
      <c r="C32" s="16">
        <v>99</v>
      </c>
      <c r="D32" s="16">
        <v>36</v>
      </c>
      <c r="E32" s="23">
        <f t="shared" ref="E32:E39" si="4">RADIANS(C32+D32/60)</f>
        <v>1.7383479349863522</v>
      </c>
      <c r="F32" s="23">
        <f>ABS('1_ortogonalita'!$D$14-E32)</f>
        <v>0.54017940349224491</v>
      </c>
      <c r="G32" s="29">
        <f>'2_passo'!$I$16*SIN('3_lambda'!F32)/'3_lambda'!B32</f>
        <v>4325.5944272641627</v>
      </c>
      <c r="H32" s="4"/>
    </row>
    <row r="33" spans="1:8" x14ac:dyDescent="0.2">
      <c r="A33" s="4"/>
      <c r="B33" s="18">
        <v>5</v>
      </c>
      <c r="C33" s="18">
        <v>90</v>
      </c>
      <c r="D33" s="18">
        <v>41</v>
      </c>
      <c r="E33" s="25">
        <f t="shared" si="4"/>
        <v>1.5827227433501911</v>
      </c>
      <c r="F33" s="25">
        <f>ABS('1_ortogonalita'!$D$14-E33)</f>
        <v>0.69580459512840598</v>
      </c>
      <c r="G33" s="22">
        <f>'2_passo'!$I$16*SIN('3_lambda'!F33)/'3_lambda'!B33</f>
        <v>4313.0850648752867</v>
      </c>
      <c r="H33" s="4"/>
    </row>
    <row r="34" spans="1:8" x14ac:dyDescent="0.2">
      <c r="A34" s="4"/>
      <c r="B34" s="16">
        <v>1</v>
      </c>
      <c r="C34" s="16">
        <v>138</v>
      </c>
      <c r="D34" s="16">
        <v>0</v>
      </c>
      <c r="E34" s="23">
        <f t="shared" si="4"/>
        <v>2.4085543677521746</v>
      </c>
      <c r="F34" s="23">
        <f>ABS('1_ortogonalita'!$D$14-E34)</f>
        <v>0.13002702927357745</v>
      </c>
      <c r="G34" s="29">
        <f>'2_passo'!$I$16*SIN('3_lambda'!F34)/'3_lambda'!B34</f>
        <v>4362.2143867015029</v>
      </c>
      <c r="H34" s="4"/>
    </row>
    <row r="35" spans="1:8" x14ac:dyDescent="0.2">
      <c r="A35" s="4"/>
      <c r="B35" s="18">
        <v>2</v>
      </c>
      <c r="C35" s="18">
        <v>145</v>
      </c>
      <c r="D35" s="18">
        <v>38</v>
      </c>
      <c r="E35" s="25">
        <f t="shared" si="4"/>
        <v>2.5417811673210751</v>
      </c>
      <c r="F35" s="25">
        <f>ABS('1_ortogonalita'!$D$14-E35)</f>
        <v>0.26325382884247794</v>
      </c>
      <c r="G35" s="22">
        <f>'2_passo'!$I$16*SIN('3_lambda'!F35)/'3_lambda'!B35</f>
        <v>4377.3835434280363</v>
      </c>
      <c r="H35" s="4"/>
    </row>
    <row r="36" spans="1:8" x14ac:dyDescent="0.2">
      <c r="A36" s="4"/>
      <c r="B36" s="16">
        <v>3</v>
      </c>
      <c r="C36" s="16">
        <v>153</v>
      </c>
      <c r="D36" s="16">
        <v>25</v>
      </c>
      <c r="E36" s="23">
        <f t="shared" si="4"/>
        <v>2.6776259607679669</v>
      </c>
      <c r="F36" s="23">
        <f>ABS('1_ortogonalita'!$D$14-E36)</f>
        <v>0.39909862228936976</v>
      </c>
      <c r="G36" s="29">
        <f>'2_passo'!$I$16*SIN('3_lambda'!F36)/'3_lambda'!B36</f>
        <v>4357.7861406641441</v>
      </c>
      <c r="H36" s="4"/>
    </row>
    <row r="37" spans="1:8" x14ac:dyDescent="0.2">
      <c r="A37" s="4"/>
      <c r="B37" s="18">
        <v>4</v>
      </c>
      <c r="C37" s="18">
        <v>161</v>
      </c>
      <c r="D37" s="18">
        <v>50</v>
      </c>
      <c r="E37" s="25">
        <f t="shared" ref="E37" si="5">RADIANS(C37+D37/60)</f>
        <v>2.8245245061441566</v>
      </c>
      <c r="F37" s="25">
        <f>ABS('1_ortogonalita'!$D$14-E37)</f>
        <v>0.5459971676655595</v>
      </c>
      <c r="G37" s="22">
        <f>'2_passo'!$I$16*SIN('3_lambda'!F37)/'3_lambda'!B37</f>
        <v>4367.4859698997097</v>
      </c>
      <c r="H37" s="4"/>
    </row>
    <row r="38" spans="1:8" x14ac:dyDescent="0.2">
      <c r="A38" s="4"/>
      <c r="B38" s="16">
        <v>5</v>
      </c>
      <c r="C38" s="16">
        <v>171</v>
      </c>
      <c r="D38" s="16">
        <v>8</v>
      </c>
      <c r="E38" s="23">
        <f t="shared" si="4"/>
        <v>2.9868401265796294</v>
      </c>
      <c r="F38" s="23">
        <f>ABS('1_ortogonalita'!$D$14-E38)</f>
        <v>0.70831278810103226</v>
      </c>
      <c r="G38" s="29">
        <f>'2_passo'!$I$16*SIN('3_lambda'!F38)/'3_lambda'!B38</f>
        <v>4377.3444776558408</v>
      </c>
      <c r="H38" s="4"/>
    </row>
    <row r="39" spans="1:8" x14ac:dyDescent="0.2">
      <c r="A39" s="4"/>
      <c r="B39" s="18">
        <v>5</v>
      </c>
      <c r="C39" s="18">
        <v>171</v>
      </c>
      <c r="D39" s="18">
        <v>10</v>
      </c>
      <c r="E39" s="25">
        <f t="shared" si="4"/>
        <v>2.9874219029969606</v>
      </c>
      <c r="F39" s="25">
        <f>ABS('1_ortogonalita'!$D$14-E39)</f>
        <v>0.70889456451836352</v>
      </c>
      <c r="G39" s="22">
        <f>'2_passo'!$I$16*SIN('3_lambda'!F39)/'3_lambda'!B39</f>
        <v>4380.3166974220903</v>
      </c>
      <c r="H39" s="4"/>
    </row>
    <row r="40" spans="1:8" x14ac:dyDescent="0.2">
      <c r="A40" s="4"/>
      <c r="B40" s="11">
        <v>4</v>
      </c>
      <c r="C40" s="11">
        <v>161</v>
      </c>
      <c r="D40" s="11">
        <v>52</v>
      </c>
      <c r="E40" s="23">
        <f t="shared" ref="E40" si="6">RADIANS(C40+D40/60)</f>
        <v>2.8251062825614883</v>
      </c>
      <c r="F40" s="23">
        <f>ABS('1_ortogonalita'!$D$14-E40)</f>
        <v>0.5465789440828912</v>
      </c>
      <c r="G40" s="29">
        <f>'2_passo'!$I$16*SIN('3_lambda'!F40)/'3_lambda'!B40</f>
        <v>4371.6670172404883</v>
      </c>
      <c r="H40" s="4"/>
    </row>
    <row r="41" spans="1:8" x14ac:dyDescent="0.2">
      <c r="A41" s="4"/>
      <c r="B41" s="4"/>
      <c r="C41" s="4"/>
      <c r="D41" s="4"/>
      <c r="E41" s="4"/>
      <c r="F41" s="6" t="s">
        <v>53</v>
      </c>
      <c r="G41" s="39">
        <f>AVERAGEIF(G30:G40, "&lt;&gt;#DIV/0!")</f>
        <v>4353.3720898588999</v>
      </c>
      <c r="H41" s="4" t="s">
        <v>57</v>
      </c>
    </row>
    <row r="42" spans="1:8" x14ac:dyDescent="0.2">
      <c r="A42" s="4"/>
      <c r="B42" s="66" t="s">
        <v>25</v>
      </c>
      <c r="C42" s="66"/>
      <c r="D42" s="66"/>
      <c r="E42" s="66"/>
      <c r="F42" s="66"/>
      <c r="G42" s="66"/>
      <c r="H42" s="4"/>
    </row>
    <row r="43" spans="1:8" x14ac:dyDescent="0.2">
      <c r="A43" s="4"/>
      <c r="B43" s="26" t="s">
        <v>20</v>
      </c>
      <c r="C43" s="26" t="s">
        <v>4</v>
      </c>
      <c r="D43" s="26" t="s">
        <v>5</v>
      </c>
      <c r="E43" s="28" t="s">
        <v>6</v>
      </c>
      <c r="F43" s="26" t="s">
        <v>21</v>
      </c>
      <c r="G43" s="26" t="s">
        <v>19</v>
      </c>
      <c r="H43" s="4"/>
    </row>
    <row r="44" spans="1:8" x14ac:dyDescent="0.2">
      <c r="A44" s="4"/>
      <c r="B44" s="16">
        <v>5</v>
      </c>
      <c r="C44" s="16">
        <v>77</v>
      </c>
      <c r="D44" s="16">
        <v>17</v>
      </c>
      <c r="E44" s="23">
        <f t="shared" ref="E44:E46" si="7">RADIANS(C44+D44/60)</f>
        <v>1.3488486235829509</v>
      </c>
      <c r="F44" s="23">
        <f>ABS('1_ortogonalita'!$D$14-E44)</f>
        <v>0.92967871489564624</v>
      </c>
      <c r="G44" s="29">
        <f>'2_passo'!$I$16*SIN('3_lambda'!F44)/'3_lambda'!B44</f>
        <v>5392.5258966625324</v>
      </c>
      <c r="H44" s="4"/>
    </row>
    <row r="45" spans="1:8" x14ac:dyDescent="0.2">
      <c r="A45" s="4"/>
      <c r="B45" s="18">
        <v>1</v>
      </c>
      <c r="C45" s="18">
        <v>139</v>
      </c>
      <c r="D45" s="18">
        <v>52</v>
      </c>
      <c r="E45" s="25">
        <f t="shared" si="7"/>
        <v>2.4411338471227357</v>
      </c>
      <c r="F45" s="25">
        <f>ABS('1_ortogonalita'!$D$14-E45)</f>
        <v>0.16260650864413861</v>
      </c>
      <c r="G45" s="22">
        <f>'2_passo'!$I$16*SIN('3_lambda'!F45)/'3_lambda'!B45</f>
        <v>5446.5338652808632</v>
      </c>
      <c r="H45" s="4"/>
    </row>
    <row r="46" spans="1:8" x14ac:dyDescent="0.2">
      <c r="A46" s="4"/>
      <c r="B46" s="16">
        <v>2</v>
      </c>
      <c r="C46" s="16">
        <v>149</v>
      </c>
      <c r="D46" s="16">
        <v>29</v>
      </c>
      <c r="E46" s="23">
        <f t="shared" si="7"/>
        <v>2.6089763435228566</v>
      </c>
      <c r="F46" s="23">
        <f>ABS('1_ortogonalita'!$D$14-E46)</f>
        <v>0.33044900504425945</v>
      </c>
      <c r="G46" s="29">
        <f>'2_passo'!$I$16*SIN('3_lambda'!F46)/'3_lambda'!B46</f>
        <v>5458.0737592625082</v>
      </c>
      <c r="H46" s="4"/>
    </row>
    <row r="47" spans="1:8" x14ac:dyDescent="0.2">
      <c r="A47" s="4"/>
      <c r="B47" s="18">
        <v>3</v>
      </c>
      <c r="C47" s="18">
        <v>159</v>
      </c>
      <c r="D47" s="18">
        <v>45</v>
      </c>
      <c r="E47" s="25">
        <f>RADIANS(C47+D47/60)</f>
        <v>2.7881634800609416</v>
      </c>
      <c r="F47" s="25">
        <f>ABS('1_ortogonalita'!$D$14-E47)</f>
        <v>0.50963614158234449</v>
      </c>
      <c r="G47" s="22">
        <f>'2_passo'!$I$16*SIN('3_lambda'!F47)/'3_lambda'!B47</f>
        <v>5471.0600378393683</v>
      </c>
      <c r="H47" s="4"/>
    </row>
    <row r="48" spans="1:8" x14ac:dyDescent="0.2">
      <c r="A48" s="4"/>
      <c r="B48" s="16">
        <v>4</v>
      </c>
      <c r="C48" s="16">
        <v>171</v>
      </c>
      <c r="D48" s="16">
        <v>16</v>
      </c>
      <c r="E48" s="23">
        <f t="shared" ref="E48:E53" si="8">RADIANS(C48+D48/60)</f>
        <v>2.9891672322489553</v>
      </c>
      <c r="F48" s="23">
        <f>ABS('1_ortogonalita'!$D$14-E48)</f>
        <v>0.71063989377035819</v>
      </c>
      <c r="G48" s="29">
        <f>'2_passo'!$I$16*SIN('3_lambda'!F48)/'3_lambda'!B48</f>
        <v>5486.5305715348113</v>
      </c>
      <c r="H48" s="4"/>
    </row>
    <row r="49" spans="1:8" x14ac:dyDescent="0.2">
      <c r="A49" s="4"/>
      <c r="B49" s="18">
        <v>3</v>
      </c>
      <c r="C49" s="18">
        <v>101</v>
      </c>
      <c r="D49" s="18">
        <v>41</v>
      </c>
      <c r="E49" s="25">
        <f t="shared" si="8"/>
        <v>1.7747089610695674</v>
      </c>
      <c r="F49" s="25">
        <f>ABS('1_ortogonalita'!$D$14-E49)</f>
        <v>0.50381837740902968</v>
      </c>
      <c r="G49" s="22">
        <f>'2_passo'!$I$16*SIN('3_lambda'!F49)/'3_lambda'!B49</f>
        <v>5414.015878715757</v>
      </c>
      <c r="H49" s="4"/>
    </row>
    <row r="50" spans="1:8" x14ac:dyDescent="0.2">
      <c r="A50" s="4"/>
      <c r="B50" s="16">
        <v>4</v>
      </c>
      <c r="C50" s="16">
        <v>90</v>
      </c>
      <c r="D50" s="16">
        <v>33</v>
      </c>
      <c r="E50" s="23">
        <f t="shared" si="8"/>
        <v>1.5803956376808654</v>
      </c>
      <c r="F50" s="23">
        <f>ABS('1_ortogonalita'!$D$14-E50)</f>
        <v>0.69813170079773168</v>
      </c>
      <c r="G50" s="29">
        <f>'2_passo'!$I$16*SIN('3_lambda'!F50)/'3_lambda'!B50</f>
        <v>5406.3646249969906</v>
      </c>
      <c r="H50" s="4"/>
    </row>
    <row r="51" spans="1:8" x14ac:dyDescent="0.2">
      <c r="A51" s="4"/>
      <c r="B51" s="18"/>
      <c r="C51" s="18"/>
      <c r="D51" s="18"/>
      <c r="E51" s="25">
        <f t="shared" si="8"/>
        <v>0</v>
      </c>
      <c r="F51" s="25">
        <f>ABS('1_ortogonalita'!$D$14-E51)</f>
        <v>2.2785273384785971</v>
      </c>
      <c r="G51" s="22" t="e">
        <f>'2_passo'!$I$16*SIN('3_lambda'!F51)/'3_lambda'!B51</f>
        <v>#DIV/0!</v>
      </c>
      <c r="H51" s="4"/>
    </row>
    <row r="52" spans="1:8" x14ac:dyDescent="0.2">
      <c r="A52" s="4"/>
      <c r="B52" s="16"/>
      <c r="C52" s="16"/>
      <c r="D52" s="16"/>
      <c r="E52" s="23">
        <f t="shared" si="8"/>
        <v>0</v>
      </c>
      <c r="F52" s="23">
        <f>ABS('1_ortogonalita'!$D$14-E52)</f>
        <v>2.2785273384785971</v>
      </c>
      <c r="G52" s="29" t="e">
        <f>'2_passo'!$I$16*SIN('3_lambda'!F52)/'3_lambda'!B52</f>
        <v>#DIV/0!</v>
      </c>
      <c r="H52" s="4"/>
    </row>
    <row r="53" spans="1:8" x14ac:dyDescent="0.2">
      <c r="A53" s="4"/>
      <c r="B53" s="18"/>
      <c r="C53" s="18"/>
      <c r="D53" s="18"/>
      <c r="E53" s="25">
        <f t="shared" si="8"/>
        <v>0</v>
      </c>
      <c r="F53" s="25">
        <f>ABS('1_ortogonalita'!$D$14-E53)</f>
        <v>2.2785273384785971</v>
      </c>
      <c r="G53" s="22" t="e">
        <f>'2_passo'!$I$16*SIN('3_lambda'!F53)/'3_lambda'!B53</f>
        <v>#DIV/0!</v>
      </c>
      <c r="H53" s="4"/>
    </row>
    <row r="54" spans="1:8" x14ac:dyDescent="0.2">
      <c r="A54" s="4"/>
      <c r="B54" s="4"/>
      <c r="C54" s="4"/>
      <c r="D54" s="4"/>
      <c r="E54" s="4"/>
      <c r="F54" s="6" t="s">
        <v>53</v>
      </c>
      <c r="G54" s="39">
        <f>AVERAGEIF(G44:G53, "&lt;&gt;#DIV/0!")</f>
        <v>5439.3006620418328</v>
      </c>
      <c r="H54" s="4" t="s">
        <v>57</v>
      </c>
    </row>
    <row r="55" spans="1:8" x14ac:dyDescent="0.2">
      <c r="A55" s="4"/>
      <c r="B55" s="67" t="s">
        <v>26</v>
      </c>
      <c r="C55" s="67"/>
      <c r="D55" s="67"/>
      <c r="E55" s="67"/>
      <c r="F55" s="67"/>
      <c r="G55" s="67"/>
      <c r="H55" s="4"/>
    </row>
    <row r="56" spans="1:8" x14ac:dyDescent="0.2">
      <c r="A56" s="4"/>
      <c r="B56" s="26" t="s">
        <v>20</v>
      </c>
      <c r="C56" s="26" t="s">
        <v>4</v>
      </c>
      <c r="D56" s="26" t="s">
        <v>5</v>
      </c>
      <c r="E56" s="28" t="s">
        <v>6</v>
      </c>
      <c r="F56" s="26" t="s">
        <v>21</v>
      </c>
      <c r="G56" s="26" t="s">
        <v>19</v>
      </c>
      <c r="H56" s="4"/>
    </row>
    <row r="57" spans="1:8" x14ac:dyDescent="0.2">
      <c r="A57" s="4"/>
      <c r="B57" s="16">
        <v>1</v>
      </c>
      <c r="C57" s="16">
        <v>140</v>
      </c>
      <c r="D57" s="16">
        <v>25</v>
      </c>
      <c r="E57" s="23">
        <f t="shared" ref="E57:E60" si="9">RADIANS(C57+D57/60)</f>
        <v>2.4507331580087044</v>
      </c>
      <c r="F57" s="23">
        <f>ABS('1_ortogonalita'!$D$14-E57)</f>
        <v>0.17220581953010727</v>
      </c>
      <c r="G57" s="29">
        <f>'2_passo'!$I$16*SIN('3_lambda'!F57)/'3_lambda'!B57</f>
        <v>5764.9697959050764</v>
      </c>
      <c r="H57" s="4"/>
    </row>
    <row r="58" spans="1:8" x14ac:dyDescent="0.2">
      <c r="A58" s="4"/>
      <c r="B58" s="18">
        <v>2</v>
      </c>
      <c r="C58" s="18">
        <v>150</v>
      </c>
      <c r="D58" s="18">
        <v>37</v>
      </c>
      <c r="E58" s="25">
        <f t="shared" si="9"/>
        <v>2.628756741712126</v>
      </c>
      <c r="F58" s="25">
        <f>ABS('1_ortogonalita'!$D$14-E58)</f>
        <v>0.35022940323352891</v>
      </c>
      <c r="G58" s="22">
        <f>'2_passo'!$I$16*SIN('3_lambda'!F58)/'3_lambda'!B58</f>
        <v>5771.7216223903743</v>
      </c>
      <c r="H58" s="4"/>
    </row>
    <row r="59" spans="1:8" x14ac:dyDescent="0.2">
      <c r="A59" s="4"/>
      <c r="B59" s="16">
        <v>3</v>
      </c>
      <c r="C59" s="16">
        <v>161</v>
      </c>
      <c r="D59" s="16">
        <v>36</v>
      </c>
      <c r="E59" s="23">
        <f t="shared" si="9"/>
        <v>2.8204520712228365</v>
      </c>
      <c r="F59" s="23">
        <f>ABS('1_ortogonalita'!$D$14-E59)</f>
        <v>0.54192473274423936</v>
      </c>
      <c r="G59" s="29">
        <f>'2_passo'!$I$16*SIN('3_lambda'!F59)/'3_lambda'!B59</f>
        <v>5784.2364362943563</v>
      </c>
      <c r="H59" s="4"/>
    </row>
    <row r="60" spans="1:8" x14ac:dyDescent="0.2">
      <c r="A60" s="4"/>
      <c r="B60" s="18">
        <v>3</v>
      </c>
      <c r="C60" s="18">
        <v>99</v>
      </c>
      <c r="D60" s="18">
        <v>52</v>
      </c>
      <c r="E60" s="25">
        <f t="shared" si="9"/>
        <v>1.7430021463250036</v>
      </c>
      <c r="F60" s="25">
        <f>ABS('1_ortogonalita'!$D$14-E60)</f>
        <v>0.53552519215359351</v>
      </c>
      <c r="G60" s="22">
        <f>'2_passo'!$I$16*SIN('3_lambda'!F60)/'3_lambda'!B60</f>
        <v>5722.634284153567</v>
      </c>
      <c r="H60" s="4"/>
    </row>
    <row r="61" spans="1:8" x14ac:dyDescent="0.2">
      <c r="A61" s="4"/>
      <c r="B61" s="16">
        <v>4</v>
      </c>
      <c r="C61" s="16">
        <v>87</v>
      </c>
      <c r="D61" s="16">
        <v>48</v>
      </c>
      <c r="E61" s="23">
        <f>RADIANS(C61+D61/60)</f>
        <v>1.5323990832510213</v>
      </c>
      <c r="F61" s="23">
        <f>ABS('1_ortogonalita'!$D$14-E61)</f>
        <v>0.74612825522757587</v>
      </c>
      <c r="G61" s="29">
        <f>'2_passo'!$I$16*SIN('3_lambda'!F61)/'3_lambda'!B61</f>
        <v>5709.2642776056482</v>
      </c>
      <c r="H61" s="4"/>
    </row>
    <row r="62" spans="1:8" x14ac:dyDescent="0.2">
      <c r="A62" s="4"/>
      <c r="B62" s="18">
        <v>5</v>
      </c>
      <c r="C62" s="18">
        <v>72</v>
      </c>
      <c r="D62" s="18">
        <v>48</v>
      </c>
      <c r="E62" s="25">
        <f t="shared" ref="E62:E65" si="10">RADIANS(C62+D62/60)</f>
        <v>1.2705996954518719</v>
      </c>
      <c r="F62" s="25">
        <f>ABS('1_ortogonalita'!$D$14-E62)</f>
        <v>1.0079276430267252</v>
      </c>
      <c r="G62" s="22">
        <f>'2_passo'!$I$16*SIN('3_lambda'!F62)/'3_lambda'!B62</f>
        <v>5690.6049945372779</v>
      </c>
      <c r="H62" s="4"/>
    </row>
    <row r="63" spans="1:8" x14ac:dyDescent="0.2">
      <c r="A63" s="4"/>
      <c r="B63" s="16"/>
      <c r="C63" s="16"/>
      <c r="D63" s="16"/>
      <c r="E63" s="23">
        <f t="shared" si="10"/>
        <v>0</v>
      </c>
      <c r="F63" s="23">
        <f>ABS('1_ortogonalita'!$D$14-E63)</f>
        <v>2.2785273384785971</v>
      </c>
      <c r="G63" s="29" t="e">
        <f>'2_passo'!$I$16*SIN('3_lambda'!F63)/'3_lambda'!B63</f>
        <v>#DIV/0!</v>
      </c>
      <c r="H63" s="4"/>
    </row>
    <row r="64" spans="1:8" x14ac:dyDescent="0.2">
      <c r="A64" s="4"/>
      <c r="B64" s="18"/>
      <c r="C64" s="18"/>
      <c r="D64" s="18"/>
      <c r="E64" s="25">
        <f t="shared" si="10"/>
        <v>0</v>
      </c>
      <c r="F64" s="25">
        <f>ABS('1_ortogonalita'!$D$14-E64)</f>
        <v>2.2785273384785971</v>
      </c>
      <c r="G64" s="22" t="e">
        <f>'2_passo'!$I$16*SIN('3_lambda'!F64)/'3_lambda'!B64</f>
        <v>#DIV/0!</v>
      </c>
      <c r="H64" s="4"/>
    </row>
    <row r="65" spans="1:8" x14ac:dyDescent="0.2">
      <c r="A65" s="4"/>
      <c r="B65" s="16"/>
      <c r="C65" s="16"/>
      <c r="D65" s="16"/>
      <c r="E65" s="23">
        <f t="shared" si="10"/>
        <v>0</v>
      </c>
      <c r="F65" s="23">
        <f>ABS('1_ortogonalita'!$D$14-E65)</f>
        <v>2.2785273384785971</v>
      </c>
      <c r="G65" s="29" t="e">
        <f>'2_passo'!$I$16*SIN('3_lambda'!F65)/'3_lambda'!B65</f>
        <v>#DIV/0!</v>
      </c>
      <c r="H65" s="4"/>
    </row>
    <row r="66" spans="1:8" x14ac:dyDescent="0.2">
      <c r="A66" s="4"/>
      <c r="B66" s="18"/>
      <c r="C66" s="18"/>
      <c r="D66" s="18"/>
      <c r="E66" s="25">
        <f>RADIANS(C66+D66/60)</f>
        <v>0</v>
      </c>
      <c r="F66" s="25">
        <f>ABS('1_ortogonalita'!$D$14-E66)</f>
        <v>2.2785273384785971</v>
      </c>
      <c r="G66" s="22" t="e">
        <f>'2_passo'!$I$16*SIN('3_lambda'!F66)/'3_lambda'!B66</f>
        <v>#DIV/0!</v>
      </c>
      <c r="H66" s="4"/>
    </row>
    <row r="67" spans="1:8" x14ac:dyDescent="0.2">
      <c r="A67" s="4"/>
      <c r="B67" s="4"/>
      <c r="C67" s="4"/>
      <c r="D67" s="4"/>
      <c r="E67" s="4"/>
      <c r="F67" s="6" t="s">
        <v>53</v>
      </c>
      <c r="G67" s="39">
        <f>AVERAGEIF(G57:G66, "&lt;&gt;#DIV/0!")</f>
        <v>5740.5719018143827</v>
      </c>
      <c r="H67" s="4" t="s">
        <v>57</v>
      </c>
    </row>
    <row r="68" spans="1:8" x14ac:dyDescent="0.2">
      <c r="A68" s="4"/>
      <c r="B68" s="61" t="s">
        <v>27</v>
      </c>
      <c r="C68" s="61"/>
      <c r="D68" s="61"/>
      <c r="E68" s="61"/>
      <c r="F68" s="61"/>
      <c r="G68" s="61"/>
      <c r="H68" s="4"/>
    </row>
    <row r="69" spans="1:8" x14ac:dyDescent="0.2">
      <c r="A69" s="4"/>
      <c r="B69" s="26" t="s">
        <v>20</v>
      </c>
      <c r="C69" s="26" t="s">
        <v>4</v>
      </c>
      <c r="D69" s="26" t="s">
        <v>5</v>
      </c>
      <c r="E69" s="28" t="s">
        <v>6</v>
      </c>
      <c r="F69" s="26" t="s">
        <v>21</v>
      </c>
      <c r="G69" s="26" t="s">
        <v>19</v>
      </c>
      <c r="H69" s="4"/>
    </row>
    <row r="70" spans="1:8" x14ac:dyDescent="0.2">
      <c r="A70" s="4"/>
      <c r="B70" s="16">
        <v>1</v>
      </c>
      <c r="C70" s="16">
        <v>140</v>
      </c>
      <c r="D70" s="16">
        <v>28</v>
      </c>
      <c r="E70" s="23">
        <f t="shared" ref="E70:E73" si="11">RADIANS(C70+D70/60)</f>
        <v>2.4516058226347015</v>
      </c>
      <c r="F70" s="23">
        <f>ABS('1_ortogonalita'!$D$14-E70)</f>
        <v>0.17307848415610438</v>
      </c>
      <c r="G70" s="29">
        <f>'2_passo'!$I$16*SIN('3_lambda'!F70)/'3_lambda'!B70</f>
        <v>5793.8926159542889</v>
      </c>
      <c r="H70" s="4"/>
    </row>
    <row r="71" spans="1:8" x14ac:dyDescent="0.2">
      <c r="A71" s="4"/>
      <c r="B71" s="18">
        <v>2</v>
      </c>
      <c r="C71" s="18">
        <v>150</v>
      </c>
      <c r="D71" s="18">
        <v>40</v>
      </c>
      <c r="E71" s="25">
        <f t="shared" si="11"/>
        <v>2.6296294063381231</v>
      </c>
      <c r="F71" s="25">
        <f>ABS('1_ortogonalita'!$D$14-E71)</f>
        <v>0.35110206785952602</v>
      </c>
      <c r="G71" s="22">
        <f>'2_passo'!$I$16*SIN('3_lambda'!F71)/'3_lambda'!B71</f>
        <v>5785.5079146914704</v>
      </c>
      <c r="H71" s="4"/>
    </row>
    <row r="72" spans="1:8" x14ac:dyDescent="0.2">
      <c r="A72" s="4"/>
      <c r="B72" s="16">
        <v>3</v>
      </c>
      <c r="C72" s="16">
        <v>161</v>
      </c>
      <c r="D72" s="16">
        <v>42</v>
      </c>
      <c r="E72" s="23">
        <f t="shared" si="11"/>
        <v>2.8221974004748307</v>
      </c>
      <c r="F72" s="23">
        <f>ABS('1_ortogonalita'!$D$14-E72)</f>
        <v>0.54367006199623358</v>
      </c>
      <c r="G72" s="29">
        <f>'2_passo'!$I$16*SIN('3_lambda'!F72)/'3_lambda'!B72</f>
        <v>5800.9960164491813</v>
      </c>
      <c r="H72" s="4"/>
    </row>
    <row r="73" spans="1:8" x14ac:dyDescent="0.2">
      <c r="A73" s="4"/>
      <c r="B73" s="18">
        <v>3</v>
      </c>
      <c r="C73" s="18">
        <v>99</v>
      </c>
      <c r="D73" s="18">
        <v>45</v>
      </c>
      <c r="E73" s="25">
        <f t="shared" si="11"/>
        <v>1.7409659288643438</v>
      </c>
      <c r="F73" s="25">
        <f>ABS('1_ortogonalita'!$D$14-E73)</f>
        <v>0.53756140961425336</v>
      </c>
      <c r="G73" s="22">
        <f>'2_passo'!$I$16*SIN('3_lambda'!F73)/'3_lambda'!B73</f>
        <v>5742.2605111473786</v>
      </c>
      <c r="H73" s="4"/>
    </row>
    <row r="74" spans="1:8" x14ac:dyDescent="0.2">
      <c r="A74" s="4"/>
      <c r="B74" s="16">
        <v>4</v>
      </c>
      <c r="C74" s="16">
        <v>87</v>
      </c>
      <c r="D74" s="16">
        <v>36</v>
      </c>
      <c r="E74" s="23">
        <f>RADIANS(C74+D74/60)</f>
        <v>1.5289084247470326</v>
      </c>
      <c r="F74" s="23">
        <f>ABS('1_ortogonalita'!$D$14-E74)</f>
        <v>0.74961891373156453</v>
      </c>
      <c r="G74" s="29">
        <f>'2_passo'!$I$16*SIN('3_lambda'!F74)/'3_lambda'!B74</f>
        <v>5730.7886211899877</v>
      </c>
      <c r="H74" s="4"/>
    </row>
    <row r="75" spans="1:8" x14ac:dyDescent="0.2">
      <c r="A75" s="4"/>
      <c r="B75" s="18">
        <v>5</v>
      </c>
      <c r="C75" s="18">
        <v>72</v>
      </c>
      <c r="D75" s="18">
        <v>30</v>
      </c>
      <c r="E75" s="25">
        <f t="shared" ref="E75:E78" si="12">RADIANS(C75+D75/60)</f>
        <v>1.265363707695889</v>
      </c>
      <c r="F75" s="25">
        <f>ABS('1_ortogonalita'!$D$14-E75)</f>
        <v>1.0131636307827081</v>
      </c>
      <c r="G75" s="22">
        <f>'2_passo'!$I$16*SIN('3_lambda'!F75)/'3_lambda'!B75</f>
        <v>5709.3267400865498</v>
      </c>
      <c r="H75" s="4"/>
    </row>
    <row r="76" spans="1:8" x14ac:dyDescent="0.2">
      <c r="A76" s="4"/>
      <c r="B76" s="16"/>
      <c r="C76" s="16"/>
      <c r="D76" s="16"/>
      <c r="E76" s="23">
        <f t="shared" si="12"/>
        <v>0</v>
      </c>
      <c r="F76" s="23">
        <f>ABS('1_ortogonalita'!$D$14-E76)</f>
        <v>2.2785273384785971</v>
      </c>
      <c r="G76" s="29" t="e">
        <f>'2_passo'!$I$16*SIN('3_lambda'!F76)/'3_lambda'!B76</f>
        <v>#DIV/0!</v>
      </c>
      <c r="H76" s="4"/>
    </row>
    <row r="77" spans="1:8" x14ac:dyDescent="0.2">
      <c r="A77" s="4"/>
      <c r="B77" s="18"/>
      <c r="C77" s="18"/>
      <c r="D77" s="18"/>
      <c r="E77" s="25">
        <f t="shared" si="12"/>
        <v>0</v>
      </c>
      <c r="F77" s="25">
        <f>ABS('1_ortogonalita'!$D$14-E77)</f>
        <v>2.2785273384785971</v>
      </c>
      <c r="G77" s="22" t="e">
        <f>'2_passo'!$I$16*SIN('3_lambda'!F77)/'3_lambda'!B77</f>
        <v>#DIV/0!</v>
      </c>
      <c r="H77" s="4"/>
    </row>
    <row r="78" spans="1:8" x14ac:dyDescent="0.2">
      <c r="A78" s="4"/>
      <c r="B78" s="16"/>
      <c r="C78" s="16"/>
      <c r="D78" s="16"/>
      <c r="E78" s="23">
        <f t="shared" si="12"/>
        <v>0</v>
      </c>
      <c r="F78" s="23">
        <f>ABS('1_ortogonalita'!$D$14-E78)</f>
        <v>2.2785273384785971</v>
      </c>
      <c r="G78" s="29" t="e">
        <f>'2_passo'!$I$16*SIN('3_lambda'!F78)/'3_lambda'!B78</f>
        <v>#DIV/0!</v>
      </c>
      <c r="H78" s="4"/>
    </row>
    <row r="79" spans="1:8" x14ac:dyDescent="0.2">
      <c r="A79" s="4"/>
      <c r="B79" s="18"/>
      <c r="C79" s="18"/>
      <c r="D79" s="18"/>
      <c r="E79" s="25">
        <f>RADIANS(C79+D79/60)</f>
        <v>0</v>
      </c>
      <c r="F79" s="25">
        <f>ABS('1_ortogonalita'!$D$14-E79)</f>
        <v>2.2785273384785971</v>
      </c>
      <c r="G79" s="22" t="e">
        <f>'2_passo'!$I$16*SIN('3_lambda'!F79)/'3_lambda'!B79</f>
        <v>#DIV/0!</v>
      </c>
      <c r="H79" s="4"/>
    </row>
    <row r="80" spans="1:8" x14ac:dyDescent="0.2">
      <c r="A80" s="4"/>
      <c r="B80" s="4"/>
      <c r="C80" s="4"/>
      <c r="D80" s="4"/>
      <c r="E80" s="4"/>
      <c r="F80" s="6" t="s">
        <v>53</v>
      </c>
      <c r="G80" s="39">
        <f>AVERAGEIF(G70:G79, "&lt;&gt;#DIV/0!")</f>
        <v>5760.4620699198094</v>
      </c>
      <c r="H80" s="4" t="s">
        <v>57</v>
      </c>
    </row>
    <row r="81" spans="1:8" x14ac:dyDescent="0.2">
      <c r="A81" s="4"/>
      <c r="B81" s="62" t="s">
        <v>28</v>
      </c>
      <c r="C81" s="62"/>
      <c r="D81" s="62"/>
      <c r="E81" s="62"/>
      <c r="F81" s="62"/>
      <c r="G81" s="62"/>
      <c r="H81" s="4"/>
    </row>
    <row r="82" spans="1:8" x14ac:dyDescent="0.2">
      <c r="A82" s="4"/>
      <c r="B82" s="26" t="s">
        <v>20</v>
      </c>
      <c r="C82" s="26" t="s">
        <v>4</v>
      </c>
      <c r="D82" s="26" t="s">
        <v>5</v>
      </c>
      <c r="E82" s="28" t="s">
        <v>6</v>
      </c>
      <c r="F82" s="26" t="s">
        <v>21</v>
      </c>
      <c r="G82" s="26" t="s">
        <v>19</v>
      </c>
      <c r="H82" s="4"/>
    </row>
    <row r="83" spans="1:8" x14ac:dyDescent="0.2">
      <c r="A83" s="4"/>
      <c r="B83" s="16">
        <v>1</v>
      </c>
      <c r="C83" s="16">
        <v>141</v>
      </c>
      <c r="D83" s="16">
        <v>12</v>
      </c>
      <c r="E83" s="23">
        <f>RADIANS(C83+D83/60)</f>
        <v>2.4644049038159932</v>
      </c>
      <c r="F83" s="23">
        <f>ABS('1_ortogonalita'!$D$14-E83)</f>
        <v>0.18587756533739608</v>
      </c>
      <c r="G83" s="29">
        <f>'2_passo'!$I$16*SIN('3_lambda'!F83)/'3_lambda'!B83</f>
        <v>6217.5755316861123</v>
      </c>
      <c r="H83" s="4"/>
    </row>
    <row r="84" spans="1:8" x14ac:dyDescent="0.2">
      <c r="A84" s="4"/>
      <c r="B84" s="18">
        <v>2</v>
      </c>
      <c r="C84" s="18">
        <v>152</v>
      </c>
      <c r="D84" s="18">
        <v>19</v>
      </c>
      <c r="E84" s="25">
        <f>RADIANS(C84+D84/60)</f>
        <v>2.6584273389960296</v>
      </c>
      <c r="F84" s="25">
        <f>ABS('1_ortogonalita'!$D$14-E84)</f>
        <v>0.37990000051743245</v>
      </c>
      <c r="G84" s="22">
        <f>'2_passo'!$I$16*SIN('3_lambda'!F84)/'3_lambda'!B84</f>
        <v>6237.9211948656884</v>
      </c>
      <c r="H84" s="4"/>
    </row>
    <row r="85" spans="1:8" x14ac:dyDescent="0.2">
      <c r="A85" s="4"/>
      <c r="B85" s="16"/>
      <c r="C85" s="16"/>
      <c r="D85" s="16"/>
      <c r="E85" s="23">
        <f t="shared" ref="E85:E92" si="13">RADIANS(C85+D85/60)</f>
        <v>0</v>
      </c>
      <c r="F85" s="23">
        <f>ABS('1_ortogonalita'!$D$14-E85)</f>
        <v>2.2785273384785971</v>
      </c>
      <c r="G85" s="29" t="e">
        <f>'2_passo'!$I$16*SIN('3_lambda'!F85)/'3_lambda'!B85</f>
        <v>#DIV/0!</v>
      </c>
      <c r="H85" s="4"/>
    </row>
    <row r="86" spans="1:8" x14ac:dyDescent="0.2">
      <c r="A86" s="4"/>
      <c r="B86" s="18"/>
      <c r="C86" s="18"/>
      <c r="D86" s="18"/>
      <c r="E86" s="25">
        <f t="shared" si="13"/>
        <v>0</v>
      </c>
      <c r="F86" s="25">
        <f>ABS('1_ortogonalita'!$D$14-E86)</f>
        <v>2.2785273384785971</v>
      </c>
      <c r="G86" s="22" t="e">
        <f>'2_passo'!$I$16*SIN('3_lambda'!F86)/'3_lambda'!B86</f>
        <v>#DIV/0!</v>
      </c>
      <c r="H86" s="4"/>
    </row>
    <row r="87" spans="1:8" x14ac:dyDescent="0.2">
      <c r="A87" s="4"/>
      <c r="B87" s="16"/>
      <c r="C87" s="16"/>
      <c r="D87" s="16"/>
      <c r="E87" s="41">
        <f t="shared" ref="E87:E88" si="14">RADIANS(C87+D87/60)</f>
        <v>0</v>
      </c>
      <c r="F87" s="41">
        <f>ABS('1_ortogonalita'!$D$14-E87)</f>
        <v>2.2785273384785971</v>
      </c>
      <c r="G87" s="48" t="e">
        <f>'2_passo'!$I$16*SIN('3_lambda'!F87)/'3_lambda'!B87</f>
        <v>#DIV/0!</v>
      </c>
      <c r="H87" s="4"/>
    </row>
    <row r="88" spans="1:8" x14ac:dyDescent="0.2">
      <c r="A88" s="4"/>
      <c r="B88" s="18"/>
      <c r="C88" s="18"/>
      <c r="D88" s="18"/>
      <c r="E88" s="42">
        <f t="shared" si="14"/>
        <v>0</v>
      </c>
      <c r="F88" s="42">
        <f>ABS('1_ortogonalita'!$D$14-E88)</f>
        <v>2.2785273384785971</v>
      </c>
      <c r="G88" s="49" t="e">
        <f>'2_passo'!$I$16*SIN('3_lambda'!F88)/'3_lambda'!B88</f>
        <v>#DIV/0!</v>
      </c>
      <c r="H88" s="4"/>
    </row>
    <row r="89" spans="1:8" x14ac:dyDescent="0.2">
      <c r="A89" s="4"/>
      <c r="B89" s="16"/>
      <c r="C89" s="16"/>
      <c r="D89" s="16"/>
      <c r="E89" s="23">
        <f t="shared" si="13"/>
        <v>0</v>
      </c>
      <c r="F89" s="23">
        <f>ABS('1_ortogonalita'!$D$14-E89)</f>
        <v>2.2785273384785971</v>
      </c>
      <c r="G89" s="29" t="e">
        <f>'2_passo'!$I$16*SIN('3_lambda'!F89)/'3_lambda'!B89</f>
        <v>#DIV/0!</v>
      </c>
      <c r="H89" s="4"/>
    </row>
    <row r="90" spans="1:8" x14ac:dyDescent="0.2">
      <c r="A90" s="4"/>
      <c r="B90" s="18"/>
      <c r="C90" s="18"/>
      <c r="D90" s="18"/>
      <c r="E90" s="25">
        <f t="shared" si="13"/>
        <v>0</v>
      </c>
      <c r="F90" s="25">
        <f>ABS('1_ortogonalita'!$D$14-E90)</f>
        <v>2.2785273384785971</v>
      </c>
      <c r="G90" s="22" t="e">
        <f>'2_passo'!$I$16*SIN('3_lambda'!F90)/'3_lambda'!B90</f>
        <v>#DIV/0!</v>
      </c>
      <c r="H90" s="4"/>
    </row>
    <row r="91" spans="1:8" x14ac:dyDescent="0.2">
      <c r="A91" s="4"/>
      <c r="B91" s="16"/>
      <c r="C91" s="16"/>
      <c r="D91" s="16"/>
      <c r="E91" s="23">
        <f t="shared" si="13"/>
        <v>0</v>
      </c>
      <c r="F91" s="23">
        <f>ABS('1_ortogonalita'!$D$14-E91)</f>
        <v>2.2785273384785971</v>
      </c>
      <c r="G91" s="29" t="e">
        <f>'2_passo'!$I$16*SIN('3_lambda'!F91)/'3_lambda'!B91</f>
        <v>#DIV/0!</v>
      </c>
      <c r="H91" s="4"/>
    </row>
    <row r="92" spans="1:8" x14ac:dyDescent="0.2">
      <c r="A92" s="4"/>
      <c r="B92" s="18"/>
      <c r="C92" s="18"/>
      <c r="D92" s="18"/>
      <c r="E92" s="25">
        <f t="shared" si="13"/>
        <v>0</v>
      </c>
      <c r="F92" s="25">
        <f>ABS('1_ortogonalita'!$D$14-E92)</f>
        <v>2.2785273384785971</v>
      </c>
      <c r="G92" s="22" t="e">
        <f>'2_passo'!$I$16*SIN('3_lambda'!F92)/'3_lambda'!B92</f>
        <v>#DIV/0!</v>
      </c>
      <c r="H92" s="4"/>
    </row>
    <row r="93" spans="1:8" x14ac:dyDescent="0.2">
      <c r="A93" s="4"/>
      <c r="B93" s="4"/>
      <c r="C93" s="4"/>
      <c r="D93" s="4"/>
      <c r="E93" s="4"/>
      <c r="F93" s="6" t="s">
        <v>53</v>
      </c>
      <c r="G93" s="39">
        <f>AVERAGEIF(G83:G92, "&lt;&gt;#DIV/0!")</f>
        <v>6227.7483632759004</v>
      </c>
      <c r="H93" s="4" t="s">
        <v>57</v>
      </c>
    </row>
  </sheetData>
  <mergeCells count="7">
    <mergeCell ref="B68:G68"/>
    <mergeCell ref="B81:G81"/>
    <mergeCell ref="B2:G2"/>
    <mergeCell ref="B15:G15"/>
    <mergeCell ref="B28:G28"/>
    <mergeCell ref="B42:G42"/>
    <mergeCell ref="B55:G55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0AB2-9D80-3544-A52F-1514F603BD1D}">
  <dimension ref="A1:U29"/>
  <sheetViews>
    <sheetView topLeftCell="A2" zoomScale="102" workbookViewId="0">
      <selection activeCell="C14" sqref="C14"/>
    </sheetView>
  </sheetViews>
  <sheetFormatPr baseColWidth="10" defaultColWidth="7.6640625" defaultRowHeight="16" x14ac:dyDescent="0.2"/>
  <cols>
    <col min="3" max="3" width="11.6640625" bestFit="1" customWidth="1"/>
    <col min="4" max="4" width="8.6640625" bestFit="1" customWidth="1"/>
    <col min="5" max="5" width="9" bestFit="1" customWidth="1"/>
    <col min="8" max="8" width="3.1640625" customWidth="1"/>
    <col min="9" max="9" width="9.6640625" bestFit="1" customWidth="1"/>
    <col min="11" max="11" width="4.5" customWidth="1"/>
    <col min="12" max="12" width="10.1640625" customWidth="1"/>
    <col min="15" max="15" width="12.33203125" customWidth="1"/>
    <col min="20" max="20" width="9.83203125" customWidth="1"/>
  </cols>
  <sheetData>
    <row r="1" spans="1:21" ht="22" customHeight="1" x14ac:dyDescent="0.3">
      <c r="A1" s="3" t="s">
        <v>29</v>
      </c>
      <c r="E1" s="30"/>
      <c r="G1" s="50"/>
      <c r="H1" s="30"/>
      <c r="I1" s="30"/>
      <c r="J1" s="30"/>
      <c r="K1" s="30"/>
      <c r="L1" s="30"/>
      <c r="M1" s="30"/>
      <c r="N1" s="30"/>
    </row>
    <row r="2" spans="1:21" x14ac:dyDescent="0.2">
      <c r="A2" s="69" t="s">
        <v>61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30"/>
      <c r="R2" s="50"/>
      <c r="S2" s="30"/>
      <c r="T2" s="30"/>
      <c r="U2" s="30"/>
    </row>
    <row r="3" spans="1:21" x14ac:dyDescent="0.2">
      <c r="A3" s="4"/>
      <c r="B3" s="63" t="s">
        <v>58</v>
      </c>
      <c r="C3" s="63"/>
      <c r="D3" s="63"/>
      <c r="E3" s="64" t="s">
        <v>59</v>
      </c>
      <c r="F3" s="64"/>
      <c r="G3" s="64"/>
      <c r="H3" s="4"/>
      <c r="I3" s="4"/>
      <c r="J3" s="4"/>
      <c r="K3" s="4"/>
      <c r="L3" s="4"/>
      <c r="M3" s="4"/>
    </row>
    <row r="4" spans="1:21" ht="17" x14ac:dyDescent="0.2">
      <c r="A4" s="4"/>
      <c r="B4" s="26" t="s">
        <v>20</v>
      </c>
      <c r="C4" s="26" t="s">
        <v>19</v>
      </c>
      <c r="D4" s="26" t="s">
        <v>21</v>
      </c>
      <c r="E4" s="26" t="s">
        <v>20</v>
      </c>
      <c r="F4" s="26" t="s">
        <v>19</v>
      </c>
      <c r="G4" s="26" t="s">
        <v>21</v>
      </c>
      <c r="H4" s="4"/>
      <c r="I4" s="6" t="s">
        <v>31</v>
      </c>
      <c r="J4" s="6" t="s">
        <v>30</v>
      </c>
      <c r="K4" s="6"/>
      <c r="L4" s="33" t="s">
        <v>32</v>
      </c>
      <c r="M4" s="4"/>
      <c r="N4" t="s">
        <v>36</v>
      </c>
      <c r="O4" s="30" t="s">
        <v>40</v>
      </c>
      <c r="R4" s="50"/>
      <c r="U4" s="30"/>
    </row>
    <row r="5" spans="1:21" x14ac:dyDescent="0.2">
      <c r="A5" s="4"/>
      <c r="B5" s="16">
        <v>1</v>
      </c>
      <c r="C5" s="46">
        <f>'3_lambda'!$G$8</f>
        <v>4022.3608607909514</v>
      </c>
      <c r="D5" s="43">
        <f>'3_lambda'!$F$8</f>
        <v>0.11984594197027709</v>
      </c>
      <c r="E5" s="11">
        <v>1</v>
      </c>
      <c r="F5" s="29">
        <f>'3_lambda'!$G$18</f>
        <v>4070.9377130706043</v>
      </c>
      <c r="G5" s="53">
        <f>'3_lambda'!$F$18</f>
        <v>0.12130038301360591</v>
      </c>
      <c r="H5" s="4"/>
      <c r="I5" s="23">
        <f>ABS(D5-G5)</f>
        <v>1.4544410433288135E-3</v>
      </c>
      <c r="J5" s="35">
        <f>ABS(C5-F5)</f>
        <v>48.57685227965294</v>
      </c>
      <c r="K5" s="36" t="s">
        <v>2</v>
      </c>
      <c r="L5" s="40">
        <f>I5 /J5</f>
        <v>2.9941031068783875E-5</v>
      </c>
      <c r="M5" s="4"/>
      <c r="N5">
        <v>1</v>
      </c>
      <c r="O5" s="34">
        <f xml:space="preserve"> N5 / (ABS(COS(AVERAGE($C$15,$F$15)) *'2_passo'!$I$16))</f>
        <v>2.9791475272967391E-5</v>
      </c>
      <c r="R5" s="50"/>
      <c r="U5" s="31"/>
    </row>
    <row r="6" spans="1:21" x14ac:dyDescent="0.2">
      <c r="A6" s="4"/>
      <c r="B6" s="18">
        <v>2</v>
      </c>
      <c r="C6" s="47">
        <f>'3_lambda'!$G$4</f>
        <v>4031.5244460560561</v>
      </c>
      <c r="D6" s="45">
        <f>'3_lambda'!$F$4</f>
        <v>0.24201898960988011</v>
      </c>
      <c r="E6" s="18">
        <v>2</v>
      </c>
      <c r="F6" s="47">
        <f>'3_lambda'!$G$19</f>
        <v>4074.2660146380799</v>
      </c>
      <c r="G6" s="45">
        <f>'3_lambda'!$F$19</f>
        <v>0.24463698348787188</v>
      </c>
      <c r="H6" s="4"/>
      <c r="I6" s="25">
        <f t="shared" ref="I6:I13" si="0">ABS(D6-G6)</f>
        <v>2.6179938779917755E-3</v>
      </c>
      <c r="J6" s="20">
        <f t="shared" ref="J6:J13" si="1">ABS(C6-F6)</f>
        <v>42.741568582023774</v>
      </c>
      <c r="K6" s="36" t="s">
        <v>2</v>
      </c>
      <c r="L6" s="40">
        <f t="shared" ref="L6:L14" si="2">I6 /J6</f>
        <v>6.1251703314717609E-5</v>
      </c>
      <c r="M6" s="4"/>
      <c r="N6">
        <v>2</v>
      </c>
      <c r="O6" s="34">
        <f xml:space="preserve"> N6 / (ABS(COS(AVERAGE($C$15,$F$15)) *'2_passo'!$I$16))</f>
        <v>5.9582950545934783E-5</v>
      </c>
      <c r="R6" s="50"/>
    </row>
    <row r="7" spans="1:21" x14ac:dyDescent="0.2">
      <c r="A7" s="4"/>
      <c r="B7" s="11">
        <v>3</v>
      </c>
      <c r="C7" s="29">
        <f>'3_lambda'!$G$5</f>
        <v>4052.3659846281985</v>
      </c>
      <c r="D7" s="53">
        <f>'3_lambda'!$F$5</f>
        <v>0.36971891321413208</v>
      </c>
      <c r="E7" s="11">
        <v>3</v>
      </c>
      <c r="F7" s="29">
        <f>'3_lambda'!$G$20</f>
        <v>4076.6887056251148</v>
      </c>
      <c r="G7" s="53">
        <f>'3_lambda'!$F$20</f>
        <v>0.37204601888345801</v>
      </c>
      <c r="H7" s="4"/>
      <c r="I7" s="23">
        <f t="shared" si="0"/>
        <v>2.327105669325924E-3</v>
      </c>
      <c r="J7" s="35">
        <f t="shared" si="1"/>
        <v>24.32272099691636</v>
      </c>
      <c r="K7" s="36" t="s">
        <v>2</v>
      </c>
      <c r="L7" s="40">
        <f t="shared" si="2"/>
        <v>9.5676206195061605E-5</v>
      </c>
      <c r="M7" s="4"/>
      <c r="N7">
        <v>3</v>
      </c>
      <c r="O7" s="34">
        <f xml:space="preserve"> N7 / (ABS(COS(AVERAGE($C$15,$F$15)) *'2_passo'!$I$16))</f>
        <v>8.9374425818902168E-5</v>
      </c>
      <c r="R7" s="31"/>
    </row>
    <row r="8" spans="1:21" x14ac:dyDescent="0.2">
      <c r="A8" s="4"/>
      <c r="B8" s="18">
        <v>4</v>
      </c>
      <c r="C8" s="47">
        <f>'3_lambda'!$G$6</f>
        <v>4049.7945985901601</v>
      </c>
      <c r="D8" s="45">
        <f>'3_lambda'!$F$6</f>
        <v>0.50236393636570131</v>
      </c>
      <c r="E8" s="18">
        <v>4</v>
      </c>
      <c r="F8" s="47">
        <f>'3_lambda'!$G$21</f>
        <v>4084.059724731987</v>
      </c>
      <c r="G8" s="45">
        <f>'3_lambda'!$F$21</f>
        <v>0.50701814770435272</v>
      </c>
      <c r="H8" s="4"/>
      <c r="I8" s="25">
        <f t="shared" si="0"/>
        <v>4.6542113386514039E-3</v>
      </c>
      <c r="J8" s="20">
        <f t="shared" si="1"/>
        <v>34.26512614182684</v>
      </c>
      <c r="K8" s="36" t="s">
        <v>2</v>
      </c>
      <c r="L8" s="40">
        <f t="shared" si="2"/>
        <v>1.3582939456831852E-4</v>
      </c>
      <c r="M8" s="4"/>
      <c r="N8">
        <v>4</v>
      </c>
      <c r="O8" s="34">
        <f xml:space="preserve"> N8 / (ABS(COS(AVERAGE($C$15,$F$15)) *'2_passo'!$I$16))</f>
        <v>1.1916590109186957E-4</v>
      </c>
      <c r="R8" s="31"/>
    </row>
    <row r="9" spans="1:21" x14ac:dyDescent="0.2">
      <c r="A9" s="4"/>
      <c r="B9" s="16">
        <v>5</v>
      </c>
      <c r="C9" s="46">
        <f>'3_lambda'!$G$10</f>
        <v>4007.0718849188306</v>
      </c>
      <c r="D9" s="43">
        <f>'3_lambda'!$F$10</f>
        <v>0.63791784160392728</v>
      </c>
      <c r="E9" s="11">
        <v>5</v>
      </c>
      <c r="F9" s="29">
        <f>'3_lambda'!$G$22</f>
        <v>4094.5885088372729</v>
      </c>
      <c r="G9" s="53">
        <f>'3_lambda'!$F$22</f>
        <v>0.65420758128920786</v>
      </c>
      <c r="H9" s="4"/>
      <c r="I9" s="23">
        <f t="shared" si="0"/>
        <v>1.628973968528058E-2</v>
      </c>
      <c r="J9" s="35">
        <f t="shared" si="1"/>
        <v>87.516623918442292</v>
      </c>
      <c r="K9" s="36" t="s">
        <v>2</v>
      </c>
      <c r="L9" s="40">
        <f t="shared" si="2"/>
        <v>1.861330905595852E-4</v>
      </c>
      <c r="M9" s="4"/>
      <c r="N9">
        <v>5</v>
      </c>
      <c r="O9" s="34">
        <f xml:space="preserve"> N9 / (ABS(COS(AVERAGE($C$15,$F$15)) *'2_passo'!$I$16))</f>
        <v>1.4895737636483696E-4</v>
      </c>
    </row>
    <row r="10" spans="1:21" x14ac:dyDescent="0.2">
      <c r="A10" s="4"/>
      <c r="B10" s="15">
        <v>4</v>
      </c>
      <c r="C10" s="22">
        <f>'3_lambda'!$G$9</f>
        <v>4017.5913564527768</v>
      </c>
      <c r="D10" s="44">
        <f>'3_lambda'!$F$9</f>
        <v>0.49800061323571532</v>
      </c>
      <c r="E10" s="18">
        <v>4</v>
      </c>
      <c r="F10" s="47">
        <f>'3_lambda'!$G$17</f>
        <v>4049.7945985901583</v>
      </c>
      <c r="G10" s="45">
        <f>'3_lambda'!$F$17</f>
        <v>0.50236393636570109</v>
      </c>
      <c r="H10" s="4"/>
      <c r="I10" s="25">
        <f t="shared" si="0"/>
        <v>4.3633231299857744E-3</v>
      </c>
      <c r="J10" s="20">
        <f t="shared" si="1"/>
        <v>32.203242137381494</v>
      </c>
      <c r="K10" s="36" t="s">
        <v>2</v>
      </c>
      <c r="L10" s="40">
        <f t="shared" si="2"/>
        <v>1.3549328702282536E-4</v>
      </c>
      <c r="M10" s="4"/>
    </row>
    <row r="11" spans="1:21" x14ac:dyDescent="0.2">
      <c r="A11" s="4"/>
      <c r="B11" s="11">
        <v>5</v>
      </c>
      <c r="C11" s="29">
        <v>4060.3352744896815</v>
      </c>
      <c r="D11" s="53">
        <v>0.64780804069856179</v>
      </c>
      <c r="E11" s="73" t="s">
        <v>65</v>
      </c>
      <c r="F11" s="73"/>
      <c r="G11" s="73"/>
      <c r="H11" s="4"/>
      <c r="I11" s="23"/>
      <c r="J11" s="35"/>
      <c r="K11" s="36" t="s">
        <v>2</v>
      </c>
      <c r="L11" s="11" t="e">
        <f t="shared" si="2"/>
        <v>#DIV/0!</v>
      </c>
      <c r="M11" s="4"/>
    </row>
    <row r="12" spans="1:21" x14ac:dyDescent="0.2">
      <c r="A12" s="4"/>
      <c r="B12" s="18"/>
      <c r="C12" s="47"/>
      <c r="D12" s="45"/>
      <c r="E12" s="18"/>
      <c r="F12" s="47"/>
      <c r="G12" s="45"/>
      <c r="H12" s="4"/>
      <c r="I12" s="25">
        <f t="shared" si="0"/>
        <v>0</v>
      </c>
      <c r="J12" s="20">
        <f t="shared" si="1"/>
        <v>0</v>
      </c>
      <c r="K12" s="36" t="s">
        <v>2</v>
      </c>
      <c r="L12" s="15" t="e">
        <f t="shared" si="2"/>
        <v>#DIV/0!</v>
      </c>
      <c r="M12" s="4"/>
    </row>
    <row r="13" spans="1:21" x14ac:dyDescent="0.2">
      <c r="A13" s="4"/>
      <c r="B13" s="16"/>
      <c r="C13" s="46"/>
      <c r="D13" s="43"/>
      <c r="E13" s="16"/>
      <c r="F13" s="46"/>
      <c r="G13" s="43"/>
      <c r="H13" s="4"/>
      <c r="I13" s="23">
        <f t="shared" si="0"/>
        <v>0</v>
      </c>
      <c r="J13" s="35">
        <f t="shared" si="1"/>
        <v>0</v>
      </c>
      <c r="K13" s="36" t="s">
        <v>2</v>
      </c>
      <c r="L13" s="11" t="e">
        <f t="shared" si="2"/>
        <v>#DIV/0!</v>
      </c>
      <c r="M13" s="4"/>
    </row>
    <row r="14" spans="1:21" x14ac:dyDescent="0.2">
      <c r="A14" s="4"/>
      <c r="B14" s="15"/>
      <c r="C14" s="22"/>
      <c r="D14" s="44"/>
      <c r="E14" s="68"/>
      <c r="F14" s="68"/>
      <c r="G14" s="68"/>
      <c r="H14" s="4"/>
      <c r="I14" s="25">
        <f>ABS(D14-G14)</f>
        <v>0</v>
      </c>
      <c r="J14" s="20">
        <f>ABS(C14-F14)</f>
        <v>0</v>
      </c>
      <c r="K14" s="36" t="s">
        <v>2</v>
      </c>
      <c r="L14" s="15" t="e">
        <f t="shared" si="2"/>
        <v>#DIV/0!</v>
      </c>
      <c r="M14" s="4"/>
    </row>
    <row r="15" spans="1:21" x14ac:dyDescent="0.2">
      <c r="A15" s="4"/>
      <c r="B15" s="6" t="s">
        <v>53</v>
      </c>
      <c r="C15" s="52">
        <f>AVERAGE(C5:C10)</f>
        <v>4030.1181885728288</v>
      </c>
      <c r="D15" s="4"/>
      <c r="E15" s="6" t="s">
        <v>53</v>
      </c>
      <c r="F15" s="52">
        <f>'3_lambda'!$G$27</f>
        <v>4075.0558775822028</v>
      </c>
      <c r="G15" s="4"/>
      <c r="H15" s="4"/>
      <c r="I15" s="32"/>
      <c r="J15" s="32"/>
      <c r="K15" s="4"/>
      <c r="L15" s="4"/>
      <c r="M15" s="4"/>
    </row>
    <row r="16" spans="1:21" x14ac:dyDescent="0.2">
      <c r="A16" s="69" t="s">
        <v>62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30"/>
    </row>
    <row r="17" spans="1:15" x14ac:dyDescent="0.2">
      <c r="A17" s="4"/>
      <c r="B17" s="63" t="s">
        <v>58</v>
      </c>
      <c r="C17" s="63"/>
      <c r="D17" s="63"/>
      <c r="E17" s="61" t="s">
        <v>27</v>
      </c>
      <c r="F17" s="61"/>
      <c r="G17" s="61"/>
      <c r="H17" s="4"/>
      <c r="I17" s="4"/>
      <c r="J17" s="4"/>
      <c r="K17" s="4"/>
      <c r="L17" s="4"/>
      <c r="M17" s="4"/>
    </row>
    <row r="18" spans="1:15" ht="17" x14ac:dyDescent="0.2">
      <c r="A18" s="4"/>
      <c r="B18" s="26" t="s">
        <v>20</v>
      </c>
      <c r="C18" s="26" t="s">
        <v>19</v>
      </c>
      <c r="D18" s="26" t="s">
        <v>21</v>
      </c>
      <c r="E18" s="26" t="s">
        <v>20</v>
      </c>
      <c r="F18" s="26" t="s">
        <v>19</v>
      </c>
      <c r="G18" s="26" t="s">
        <v>21</v>
      </c>
      <c r="H18" s="4"/>
      <c r="I18" s="6" t="s">
        <v>31</v>
      </c>
      <c r="J18" s="6" t="s">
        <v>30</v>
      </c>
      <c r="K18" s="6"/>
      <c r="L18" s="33" t="s">
        <v>32</v>
      </c>
      <c r="M18" s="4"/>
      <c r="N18" t="s">
        <v>36</v>
      </c>
      <c r="O18" s="30" t="s">
        <v>40</v>
      </c>
    </row>
    <row r="19" spans="1:15" x14ac:dyDescent="0.2">
      <c r="A19" s="4"/>
      <c r="B19" s="16">
        <v>1</v>
      </c>
      <c r="C19" s="46">
        <f>'3_lambda'!$G$8</f>
        <v>4022.3608607909514</v>
      </c>
      <c r="D19" s="43">
        <f>'3_lambda'!$F$8</f>
        <v>0.11984594197027709</v>
      </c>
      <c r="E19" s="11">
        <v>1</v>
      </c>
      <c r="F19" s="29">
        <f>'3_lambda'!$G$70</f>
        <v>5793.8926159542889</v>
      </c>
      <c r="G19" s="53">
        <f>'3_lambda'!$F$70</f>
        <v>0.17307848415610438</v>
      </c>
      <c r="H19" s="4"/>
      <c r="I19" s="23">
        <f>ABS($D$19-$G$19)</f>
        <v>5.3232542185827292E-2</v>
      </c>
      <c r="J19" s="35">
        <f>ABS(C19-F19)</f>
        <v>1771.5317551633375</v>
      </c>
      <c r="K19" s="36" t="s">
        <v>2</v>
      </c>
      <c r="L19" s="40">
        <f>I19 /J19</f>
        <v>3.0048878339705057E-5</v>
      </c>
      <c r="M19" s="4"/>
      <c r="N19">
        <v>1</v>
      </c>
      <c r="O19" s="34">
        <f xml:space="preserve"> N19 / (ABS(COS(AVERAGE($C$29,$F$29)) *'2_passo'!$I$16))</f>
        <v>3.8500882358732087E-5</v>
      </c>
    </row>
    <row r="20" spans="1:15" x14ac:dyDescent="0.2">
      <c r="A20" s="4"/>
      <c r="B20" s="18">
        <v>2</v>
      </c>
      <c r="C20" s="47">
        <f>'3_lambda'!$G$4</f>
        <v>4031.5244460560561</v>
      </c>
      <c r="D20" s="45">
        <f>'3_lambda'!$F$4</f>
        <v>0.24201898960988011</v>
      </c>
      <c r="E20" s="18">
        <v>2</v>
      </c>
      <c r="F20" s="47">
        <f>'3_lambda'!$G$71</f>
        <v>5785.5079146914704</v>
      </c>
      <c r="G20" s="45">
        <f>'3_lambda'!$F$71</f>
        <v>0.35110206785952602</v>
      </c>
      <c r="H20" s="4"/>
      <c r="I20" s="25">
        <f>ABS(D20-G20)</f>
        <v>0.10908307824964592</v>
      </c>
      <c r="J20" s="20">
        <f t="shared" ref="J20:J23" si="3">ABS(C20-F20)</f>
        <v>1753.9834686354143</v>
      </c>
      <c r="K20" s="36" t="s">
        <v>2</v>
      </c>
      <c r="L20" s="40">
        <f t="shared" ref="L20:L28" si="4">I20 /J20</f>
        <v>6.2191622783373051E-5</v>
      </c>
      <c r="M20" s="4"/>
      <c r="N20">
        <v>2</v>
      </c>
      <c r="O20" s="34">
        <f xml:space="preserve"> N20 / (ABS(COS(AVERAGE($C$29,$F$29)) *'2_passo'!$I$16))</f>
        <v>7.7001764717464174E-5</v>
      </c>
    </row>
    <row r="21" spans="1:15" x14ac:dyDescent="0.2">
      <c r="A21" s="4"/>
      <c r="B21" s="11">
        <v>3</v>
      </c>
      <c r="C21" s="29">
        <f>'3_lambda'!$G$5</f>
        <v>4052.3659846281985</v>
      </c>
      <c r="D21" s="53">
        <f>'3_lambda'!$F$5</f>
        <v>0.36971891321413208</v>
      </c>
      <c r="E21" s="11">
        <v>3</v>
      </c>
      <c r="F21" s="29">
        <f>'3_lambda'!$G$72</f>
        <v>5800.9960164491813</v>
      </c>
      <c r="G21" s="53">
        <f>'3_lambda'!$F$72</f>
        <v>0.54367006199623358</v>
      </c>
      <c r="H21" s="4"/>
      <c r="I21" s="23">
        <f t="shared" ref="I21:I23" si="5">ABS(D21-G21)</f>
        <v>0.17395114878210149</v>
      </c>
      <c r="J21" s="35">
        <f t="shared" si="3"/>
        <v>1748.6300318209828</v>
      </c>
      <c r="K21" s="36" t="s">
        <v>2</v>
      </c>
      <c r="L21" s="40">
        <f t="shared" si="4"/>
        <v>9.9478532117484446E-5</v>
      </c>
      <c r="M21" s="4"/>
      <c r="N21">
        <v>3</v>
      </c>
      <c r="O21" s="34">
        <f xml:space="preserve"> N21 / (ABS(COS(AVERAGE($C$29,$F$29)) *'2_passo'!$I$16))</f>
        <v>1.1550264707619626E-4</v>
      </c>
    </row>
    <row r="22" spans="1:15" x14ac:dyDescent="0.2">
      <c r="A22" s="4"/>
      <c r="B22" s="18">
        <v>4</v>
      </c>
      <c r="C22" s="47">
        <f>'3_lambda'!$G$6</f>
        <v>4049.7945985901601</v>
      </c>
      <c r="D22" s="45">
        <f>'3_lambda'!$F$6</f>
        <v>0.50236393636570131</v>
      </c>
      <c r="E22" s="18">
        <v>4</v>
      </c>
      <c r="F22" s="47">
        <f>'3_lambda'!$G$74</f>
        <v>5730.7886211899877</v>
      </c>
      <c r="G22" s="45">
        <f>'3_lambda'!$F$74</f>
        <v>0.74961891373156453</v>
      </c>
      <c r="H22" s="4"/>
      <c r="I22" s="25">
        <f t="shared" si="5"/>
        <v>0.24725497736586322</v>
      </c>
      <c r="J22" s="20">
        <f t="shared" si="3"/>
        <v>1680.9940225998275</v>
      </c>
      <c r="K22" s="36" t="s">
        <v>2</v>
      </c>
      <c r="L22" s="40">
        <f t="shared" si="4"/>
        <v>1.470885523932193E-4</v>
      </c>
      <c r="M22" s="4"/>
      <c r="N22">
        <v>4</v>
      </c>
      <c r="O22" s="34">
        <f xml:space="preserve"> N22 / (ABS(COS(AVERAGE($C$29,$F$29)) *'2_passo'!$I$16))</f>
        <v>1.5400352943492835E-4</v>
      </c>
    </row>
    <row r="23" spans="1:15" x14ac:dyDescent="0.2">
      <c r="A23" s="4"/>
      <c r="B23" s="16">
        <v>5</v>
      </c>
      <c r="C23" s="46">
        <f>'3_lambda'!$G$10</f>
        <v>4007.0718849188306</v>
      </c>
      <c r="D23" s="43">
        <f>'3_lambda'!$F$10</f>
        <v>0.63791784160392728</v>
      </c>
      <c r="E23" s="11">
        <v>5</v>
      </c>
      <c r="F23" s="29">
        <f>'3_lambda'!$G$75</f>
        <v>5709.3267400865498</v>
      </c>
      <c r="G23" s="53">
        <f>'3_lambda'!$F$75</f>
        <v>1.0131636307827081</v>
      </c>
      <c r="H23" s="4"/>
      <c r="I23" s="23">
        <f t="shared" si="5"/>
        <v>0.37524578917878082</v>
      </c>
      <c r="J23" s="35">
        <f t="shared" si="3"/>
        <v>1702.2548551677191</v>
      </c>
      <c r="K23" s="36" t="s">
        <v>2</v>
      </c>
      <c r="L23" s="40">
        <f t="shared" si="4"/>
        <v>2.204404282000469E-4</v>
      </c>
      <c r="M23" s="4"/>
      <c r="N23">
        <v>5</v>
      </c>
      <c r="O23" s="34">
        <f xml:space="preserve"> N23 / (ABS(COS(AVERAGE($C$29,$F$29)) *'2_passo'!$I$16))</f>
        <v>1.9250441179366045E-4</v>
      </c>
    </row>
    <row r="24" spans="1:15" x14ac:dyDescent="0.2">
      <c r="A24" s="4"/>
      <c r="B24" s="15">
        <v>4</v>
      </c>
      <c r="C24" s="22">
        <f>'3_lambda'!$G$9</f>
        <v>4017.5913564527768</v>
      </c>
      <c r="D24" s="44">
        <f>'3_lambda'!$F$9</f>
        <v>0.49800061323571532</v>
      </c>
      <c r="E24" s="68" t="s">
        <v>63</v>
      </c>
      <c r="F24" s="68"/>
      <c r="G24" s="68"/>
      <c r="H24" s="4"/>
      <c r="I24" s="25"/>
      <c r="J24" s="20"/>
      <c r="K24" s="36" t="s">
        <v>2</v>
      </c>
      <c r="L24" s="15" t="e">
        <f t="shared" si="4"/>
        <v>#DIV/0!</v>
      </c>
      <c r="M24" s="4"/>
    </row>
    <row r="25" spans="1:15" x14ac:dyDescent="0.2">
      <c r="A25" s="4"/>
      <c r="B25" s="70" t="s">
        <v>63</v>
      </c>
      <c r="C25" s="70"/>
      <c r="D25" s="70"/>
      <c r="E25" s="16">
        <v>3</v>
      </c>
      <c r="F25" s="46">
        <f>'3_lambda'!$G$73</f>
        <v>5742.2605111473786</v>
      </c>
      <c r="G25" s="43">
        <f>'3_lambda'!$F$73</f>
        <v>0.53756140961425336</v>
      </c>
      <c r="H25" s="4"/>
      <c r="I25" s="23"/>
      <c r="J25" s="35"/>
      <c r="K25" s="36" t="s">
        <v>2</v>
      </c>
      <c r="L25" s="11" t="e">
        <f t="shared" si="4"/>
        <v>#DIV/0!</v>
      </c>
      <c r="M25" s="4"/>
    </row>
    <row r="26" spans="1:15" x14ac:dyDescent="0.2">
      <c r="A26" s="4"/>
      <c r="B26" s="15">
        <v>5</v>
      </c>
      <c r="C26" s="22">
        <f>'3_lambda'!$G$7</f>
        <v>4060.3352744896815</v>
      </c>
      <c r="D26" s="44">
        <f>'3_lambda'!$F$7</f>
        <v>0.64780804069856179</v>
      </c>
      <c r="E26" s="68" t="s">
        <v>63</v>
      </c>
      <c r="F26" s="68"/>
      <c r="G26" s="68"/>
      <c r="H26" s="4"/>
      <c r="I26" s="25"/>
      <c r="J26" s="20"/>
      <c r="K26" s="36" t="s">
        <v>2</v>
      </c>
      <c r="L26" s="15" t="e">
        <f t="shared" si="4"/>
        <v>#DIV/0!</v>
      </c>
      <c r="M26" s="4"/>
    </row>
    <row r="27" spans="1:15" x14ac:dyDescent="0.2">
      <c r="A27" s="4"/>
      <c r="B27" s="16"/>
      <c r="C27" s="46"/>
      <c r="D27" s="43"/>
      <c r="E27" s="16"/>
      <c r="F27" s="46"/>
      <c r="G27" s="43"/>
      <c r="H27" s="4"/>
      <c r="I27" s="23"/>
      <c r="J27" s="35"/>
      <c r="K27" s="36" t="s">
        <v>2</v>
      </c>
      <c r="L27" s="11" t="e">
        <f t="shared" si="4"/>
        <v>#DIV/0!</v>
      </c>
      <c r="M27" s="4"/>
    </row>
    <row r="28" spans="1:15" x14ac:dyDescent="0.2">
      <c r="A28" s="4"/>
      <c r="B28" s="15"/>
      <c r="C28" s="15"/>
      <c r="D28" s="15"/>
      <c r="E28" s="15"/>
      <c r="F28" s="15"/>
      <c r="G28" s="15"/>
      <c r="H28" s="4"/>
      <c r="I28" s="25"/>
      <c r="J28" s="20"/>
      <c r="K28" s="36" t="s">
        <v>2</v>
      </c>
      <c r="L28" s="15" t="e">
        <f t="shared" si="4"/>
        <v>#DIV/0!</v>
      </c>
      <c r="M28" s="4"/>
    </row>
    <row r="29" spans="1:15" x14ac:dyDescent="0.2">
      <c r="A29" s="4"/>
      <c r="B29" s="6" t="s">
        <v>53</v>
      </c>
      <c r="C29" s="52">
        <f>AVERAGE(C19:C24)</f>
        <v>4030.1181885728288</v>
      </c>
      <c r="D29" s="4"/>
      <c r="E29" s="6" t="s">
        <v>53</v>
      </c>
      <c r="F29" s="52">
        <f>'3_lambda'!$G$80</f>
        <v>5760.4620699198094</v>
      </c>
      <c r="G29" s="4"/>
      <c r="H29" s="4"/>
      <c r="I29" s="32"/>
      <c r="J29" s="32"/>
      <c r="K29" s="4"/>
      <c r="L29" s="4"/>
      <c r="M29" s="4"/>
    </row>
  </sheetData>
  <mergeCells count="11">
    <mergeCell ref="E26:G26"/>
    <mergeCell ref="B25:D25"/>
    <mergeCell ref="A16:M16"/>
    <mergeCell ref="B17:D17"/>
    <mergeCell ref="E17:G17"/>
    <mergeCell ref="E14:G14"/>
    <mergeCell ref="E24:G24"/>
    <mergeCell ref="B3:D3"/>
    <mergeCell ref="E3:G3"/>
    <mergeCell ref="A2:M2"/>
    <mergeCell ref="E11:G1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2986-9BC3-4042-B05C-4DFDB6FFF1F0}">
  <dimension ref="A1:N31"/>
  <sheetViews>
    <sheetView zoomScale="135" workbookViewId="0">
      <selection activeCell="N8" sqref="N8"/>
    </sheetView>
  </sheetViews>
  <sheetFormatPr baseColWidth="10" defaultColWidth="8.6640625" defaultRowHeight="16" x14ac:dyDescent="0.2"/>
  <cols>
    <col min="2" max="2" width="9" bestFit="1" customWidth="1"/>
    <col min="3" max="3" width="5.1640625" bestFit="1" customWidth="1"/>
    <col min="4" max="4" width="9" bestFit="1" customWidth="1"/>
    <col min="5" max="5" width="5.1640625" bestFit="1" customWidth="1"/>
    <col min="6" max="6" width="3.83203125" customWidth="1"/>
    <col min="7" max="7" width="10.33203125" bestFit="1" customWidth="1"/>
    <col min="8" max="8" width="5.83203125" bestFit="1" customWidth="1"/>
  </cols>
  <sheetData>
    <row r="1" spans="1:14" ht="22" x14ac:dyDescent="0.3">
      <c r="A1" s="3" t="s">
        <v>33</v>
      </c>
      <c r="B1" s="3"/>
      <c r="C1" s="3"/>
      <c r="L1" s="1" t="s">
        <v>38</v>
      </c>
      <c r="M1" s="1" t="s">
        <v>39</v>
      </c>
      <c r="N1" s="1"/>
    </row>
    <row r="2" spans="1:14" x14ac:dyDescent="0.2">
      <c r="L2">
        <v>2.5000000000000001E-2</v>
      </c>
      <c r="M2">
        <v>300</v>
      </c>
    </row>
    <row r="4" spans="1:14" x14ac:dyDescent="0.2">
      <c r="A4" s="69" t="s">
        <v>61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2" t="s">
        <v>36</v>
      </c>
      <c r="M4" s="2" t="s">
        <v>37</v>
      </c>
    </row>
    <row r="5" spans="1:14" x14ac:dyDescent="0.2">
      <c r="A5" s="4"/>
      <c r="B5" s="63" t="s">
        <v>58</v>
      </c>
      <c r="C5" s="63"/>
      <c r="D5" s="64" t="s">
        <v>59</v>
      </c>
      <c r="E5" s="64"/>
      <c r="F5" s="4"/>
      <c r="G5" s="4"/>
      <c r="H5" s="4"/>
      <c r="I5" s="4"/>
      <c r="J5" s="4"/>
      <c r="K5" s="4"/>
      <c r="L5">
        <v>1</v>
      </c>
      <c r="M5">
        <f>$L$2 * 1000  *$M$2  * L5</f>
        <v>7500</v>
      </c>
    </row>
    <row r="6" spans="1:14" ht="17" x14ac:dyDescent="0.2">
      <c r="A6" s="4"/>
      <c r="B6" s="26" t="s">
        <v>20</v>
      </c>
      <c r="C6" s="26" t="s">
        <v>19</v>
      </c>
      <c r="D6" s="26" t="s">
        <v>20</v>
      </c>
      <c r="E6" s="26" t="s">
        <v>19</v>
      </c>
      <c r="F6" s="4"/>
      <c r="G6" s="6" t="s">
        <v>34</v>
      </c>
      <c r="H6" s="6" t="s">
        <v>30</v>
      </c>
      <c r="I6" s="6"/>
      <c r="J6" s="33" t="s">
        <v>35</v>
      </c>
      <c r="K6" s="4"/>
      <c r="L6">
        <v>2</v>
      </c>
      <c r="M6">
        <f t="shared" ref="M6:M9" si="0">$L$2 * 1000  *$M$2  * L6</f>
        <v>15000</v>
      </c>
    </row>
    <row r="7" spans="1:14" x14ac:dyDescent="0.2">
      <c r="A7" s="4"/>
      <c r="B7" s="16">
        <v>1</v>
      </c>
      <c r="C7" s="46">
        <f>'3_lambda'!$G$8</f>
        <v>4022.3608607909514</v>
      </c>
      <c r="D7" s="11">
        <v>1</v>
      </c>
      <c r="E7" s="29">
        <f>'3_lambda'!$G$18</f>
        <v>4070.9377130706043</v>
      </c>
      <c r="F7" s="4"/>
      <c r="G7" s="29">
        <f>AVERAGE(C7,E7)</f>
        <v>4046.6492869307776</v>
      </c>
      <c r="H7" s="35">
        <f>ABS(C7-E7)</f>
        <v>48.57685227965294</v>
      </c>
      <c r="I7" s="36" t="s">
        <v>2</v>
      </c>
      <c r="J7" s="40">
        <f>G7 /H7</f>
        <v>83.304065558520563</v>
      </c>
      <c r="K7" s="4"/>
      <c r="L7">
        <v>3</v>
      </c>
      <c r="M7">
        <f t="shared" si="0"/>
        <v>22500</v>
      </c>
    </row>
    <row r="8" spans="1:14" x14ac:dyDescent="0.2">
      <c r="A8" s="4"/>
      <c r="B8" s="18">
        <v>2</v>
      </c>
      <c r="C8" s="47">
        <f>'3_lambda'!$G$4</f>
        <v>4031.5244460560561</v>
      </c>
      <c r="D8" s="18">
        <v>2</v>
      </c>
      <c r="E8" s="47">
        <f>'3_lambda'!$G$19</f>
        <v>4074.2660146380799</v>
      </c>
      <c r="F8" s="4"/>
      <c r="G8" s="22">
        <f t="shared" ref="G8:G12" si="1">AVERAGE(C8,E8)</f>
        <v>4052.8952303470678</v>
      </c>
      <c r="H8" s="20">
        <f t="shared" ref="H8:H12" si="2">ABS(C8-E8)</f>
        <v>42.741568582023774</v>
      </c>
      <c r="I8" s="36" t="s">
        <v>2</v>
      </c>
      <c r="J8" s="40">
        <f t="shared" ref="J8:J16" si="3">G8 /H8</f>
        <v>94.823268420046531</v>
      </c>
      <c r="K8" s="4"/>
      <c r="L8">
        <v>4</v>
      </c>
      <c r="M8">
        <f t="shared" si="0"/>
        <v>30000</v>
      </c>
    </row>
    <row r="9" spans="1:14" x14ac:dyDescent="0.2">
      <c r="A9" s="4"/>
      <c r="B9" s="11">
        <v>3</v>
      </c>
      <c r="C9" s="29">
        <f>'3_lambda'!$G$5</f>
        <v>4052.3659846281985</v>
      </c>
      <c r="D9" s="11">
        <v>3</v>
      </c>
      <c r="E9" s="29">
        <f>'3_lambda'!$G$20</f>
        <v>4076.6887056251148</v>
      </c>
      <c r="F9" s="4"/>
      <c r="G9" s="29">
        <f t="shared" si="1"/>
        <v>4064.5273451266567</v>
      </c>
      <c r="H9" s="35">
        <f t="shared" si="2"/>
        <v>24.32272099691636</v>
      </c>
      <c r="I9" s="36" t="s">
        <v>2</v>
      </c>
      <c r="J9" s="40">
        <f t="shared" si="3"/>
        <v>167.10825016830799</v>
      </c>
      <c r="K9" s="4"/>
      <c r="L9">
        <v>5</v>
      </c>
      <c r="M9">
        <f t="shared" si="0"/>
        <v>37500</v>
      </c>
    </row>
    <row r="10" spans="1:14" x14ac:dyDescent="0.2">
      <c r="A10" s="4"/>
      <c r="B10" s="18">
        <v>4</v>
      </c>
      <c r="C10" s="47">
        <f>'3_lambda'!$G$6</f>
        <v>4049.7945985901601</v>
      </c>
      <c r="D10" s="18">
        <v>4</v>
      </c>
      <c r="E10" s="47">
        <f>'3_lambda'!$G$21</f>
        <v>4084.059724731987</v>
      </c>
      <c r="F10" s="4"/>
      <c r="G10" s="22">
        <f t="shared" si="1"/>
        <v>4066.9271616610736</v>
      </c>
      <c r="H10" s="20">
        <f t="shared" si="2"/>
        <v>34.26512614182684</v>
      </c>
      <c r="I10" s="36" t="s">
        <v>2</v>
      </c>
      <c r="J10" s="40">
        <f t="shared" si="3"/>
        <v>118.68998073515471</v>
      </c>
      <c r="K10" s="4"/>
    </row>
    <row r="11" spans="1:14" x14ac:dyDescent="0.2">
      <c r="A11" s="4"/>
      <c r="B11" s="16">
        <v>5</v>
      </c>
      <c r="C11" s="46">
        <f>'3_lambda'!$G$10</f>
        <v>4007.0718849188306</v>
      </c>
      <c r="D11" s="11">
        <v>5</v>
      </c>
      <c r="E11" s="29">
        <f>'3_lambda'!$G$22</f>
        <v>4094.5885088372729</v>
      </c>
      <c r="F11" s="4"/>
      <c r="G11" s="29">
        <f t="shared" si="1"/>
        <v>4050.8301968780515</v>
      </c>
      <c r="H11" s="35">
        <f t="shared" si="2"/>
        <v>87.516623918442292</v>
      </c>
      <c r="I11" s="36" t="s">
        <v>2</v>
      </c>
      <c r="J11" s="40">
        <f t="shared" si="3"/>
        <v>46.28640840456854</v>
      </c>
      <c r="K11" s="4"/>
    </row>
    <row r="12" spans="1:14" x14ac:dyDescent="0.2">
      <c r="A12" s="4"/>
      <c r="B12" s="15">
        <v>4</v>
      </c>
      <c r="C12" s="22">
        <f>'3_lambda'!$G$9</f>
        <v>4017.5913564527768</v>
      </c>
      <c r="D12" s="18">
        <v>4</v>
      </c>
      <c r="E12" s="47">
        <f>'3_lambda'!$G$17</f>
        <v>4049.7945985901583</v>
      </c>
      <c r="F12" s="4"/>
      <c r="G12" s="22">
        <f t="shared" si="1"/>
        <v>4033.6929775214676</v>
      </c>
      <c r="H12" s="20">
        <f t="shared" si="2"/>
        <v>32.203242137381494</v>
      </c>
      <c r="I12" s="36" t="s">
        <v>2</v>
      </c>
      <c r="J12" s="40">
        <f t="shared" si="3"/>
        <v>125.25735639639713</v>
      </c>
      <c r="K12" s="4"/>
    </row>
    <row r="13" spans="1:14" x14ac:dyDescent="0.2">
      <c r="A13" s="4"/>
      <c r="B13" s="11"/>
      <c r="C13" s="11"/>
      <c r="D13" s="16"/>
      <c r="E13" s="46"/>
      <c r="F13" s="4"/>
      <c r="G13" s="29"/>
      <c r="H13" s="35"/>
      <c r="I13" s="36" t="s">
        <v>2</v>
      </c>
      <c r="J13" s="11" t="e">
        <f t="shared" si="3"/>
        <v>#DIV/0!</v>
      </c>
      <c r="K13" s="4"/>
    </row>
    <row r="14" spans="1:14" x14ac:dyDescent="0.2">
      <c r="A14" s="4"/>
      <c r="B14" s="18"/>
      <c r="C14" s="47"/>
      <c r="D14" s="18"/>
      <c r="E14" s="47"/>
      <c r="F14" s="4"/>
      <c r="G14" s="22"/>
      <c r="H14" s="20"/>
      <c r="I14" s="36" t="s">
        <v>2</v>
      </c>
      <c r="J14" s="15" t="e">
        <f t="shared" si="3"/>
        <v>#DIV/0!</v>
      </c>
      <c r="K14" s="4"/>
    </row>
    <row r="15" spans="1:14" x14ac:dyDescent="0.2">
      <c r="A15" s="4"/>
      <c r="B15" s="16"/>
      <c r="C15" s="46"/>
      <c r="D15" s="16"/>
      <c r="E15" s="46"/>
      <c r="F15" s="4"/>
      <c r="G15" s="29"/>
      <c r="H15" s="35"/>
      <c r="I15" s="36" t="s">
        <v>2</v>
      </c>
      <c r="J15" s="11" t="e">
        <f t="shared" si="3"/>
        <v>#DIV/0!</v>
      </c>
      <c r="K15" s="4"/>
    </row>
    <row r="16" spans="1:14" x14ac:dyDescent="0.2">
      <c r="A16" s="4"/>
      <c r="B16" s="15">
        <v>5</v>
      </c>
      <c r="C16" s="22">
        <f>'3_lambda'!$G$7</f>
        <v>4060.3352744896815</v>
      </c>
      <c r="D16" s="71" t="s">
        <v>63</v>
      </c>
      <c r="E16" s="71"/>
      <c r="F16" s="4"/>
      <c r="G16" s="22"/>
      <c r="H16" s="20"/>
      <c r="I16" s="36" t="s">
        <v>2</v>
      </c>
      <c r="J16" s="15" t="e">
        <f t="shared" si="3"/>
        <v>#DIV/0!</v>
      </c>
      <c r="K16" s="4"/>
    </row>
    <row r="17" spans="1:11" x14ac:dyDescent="0.2">
      <c r="A17" s="4"/>
      <c r="B17" s="6"/>
      <c r="C17" s="52"/>
      <c r="D17" s="6"/>
      <c r="E17" s="52"/>
      <c r="F17" s="4"/>
      <c r="G17" s="52"/>
      <c r="H17" s="51"/>
      <c r="I17" s="32"/>
      <c r="J17" s="32"/>
      <c r="K17" s="4"/>
    </row>
    <row r="18" spans="1:11" x14ac:dyDescent="0.2">
      <c r="A18" s="69" t="s">
        <v>64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19" spans="1:11" x14ac:dyDescent="0.2">
      <c r="A19" s="4"/>
      <c r="B19" s="67" t="s">
        <v>26</v>
      </c>
      <c r="C19" s="67"/>
      <c r="D19" s="61" t="s">
        <v>27</v>
      </c>
      <c r="E19" s="61"/>
      <c r="F19" s="4"/>
      <c r="G19" s="4"/>
      <c r="H19" s="4"/>
      <c r="I19" s="4"/>
      <c r="J19" s="4"/>
      <c r="K19" s="4"/>
    </row>
    <row r="20" spans="1:11" ht="17" x14ac:dyDescent="0.2">
      <c r="A20" s="4"/>
      <c r="B20" s="26" t="s">
        <v>20</v>
      </c>
      <c r="C20" s="26" t="s">
        <v>19</v>
      </c>
      <c r="D20" s="26" t="s">
        <v>20</v>
      </c>
      <c r="E20" s="26" t="s">
        <v>19</v>
      </c>
      <c r="F20" s="4"/>
      <c r="G20" s="6" t="s">
        <v>34</v>
      </c>
      <c r="H20" s="6" t="s">
        <v>30</v>
      </c>
      <c r="I20" s="6"/>
      <c r="J20" s="33" t="s">
        <v>35</v>
      </c>
      <c r="K20" s="4"/>
    </row>
    <row r="21" spans="1:11" x14ac:dyDescent="0.2">
      <c r="A21" s="4"/>
      <c r="B21" s="16">
        <v>1</v>
      </c>
      <c r="C21" s="46">
        <f>'3_lambda'!$G$57</f>
        <v>5764.9697959050764</v>
      </c>
      <c r="D21" s="16">
        <v>1</v>
      </c>
      <c r="E21" s="29">
        <f>'3_lambda'!$G$70</f>
        <v>5793.8926159542889</v>
      </c>
      <c r="F21" s="4"/>
      <c r="G21" s="29">
        <f>AVERAGE(C21,E21)</f>
        <v>5779.4312059296826</v>
      </c>
      <c r="H21" s="35">
        <f>ABS(C21-E21)</f>
        <v>28.922820049212532</v>
      </c>
      <c r="I21" s="36" t="s">
        <v>2</v>
      </c>
      <c r="J21" s="40">
        <f>G21 /H21</f>
        <v>199.82253445880829</v>
      </c>
      <c r="K21" s="4"/>
    </row>
    <row r="22" spans="1:11" x14ac:dyDescent="0.2">
      <c r="A22" s="4"/>
      <c r="B22" s="18">
        <v>2</v>
      </c>
      <c r="C22" s="47">
        <f>'3_lambda'!$G$58</f>
        <v>5771.7216223903743</v>
      </c>
      <c r="D22" s="18">
        <v>2</v>
      </c>
      <c r="E22" s="47">
        <f>'3_lambda'!$G$71</f>
        <v>5785.5079146914704</v>
      </c>
      <c r="F22" s="4"/>
      <c r="G22" s="22">
        <f t="shared" ref="G22:G26" si="4">AVERAGE(C22,E22)</f>
        <v>5778.6147685409223</v>
      </c>
      <c r="H22" s="20">
        <f t="shared" ref="H22:H26" si="5">ABS(C22-E22)</f>
        <v>13.786292301096182</v>
      </c>
      <c r="I22" s="36" t="s">
        <v>2</v>
      </c>
      <c r="J22" s="40">
        <f t="shared" ref="J22:J30" si="6">G22 /H22</f>
        <v>419.15655365013919</v>
      </c>
      <c r="K22" s="4"/>
    </row>
    <row r="23" spans="1:11" x14ac:dyDescent="0.2">
      <c r="A23" s="4"/>
      <c r="B23" s="16">
        <v>3</v>
      </c>
      <c r="C23" s="29">
        <f>'3_lambda'!$G$59</f>
        <v>5784.2364362943563</v>
      </c>
      <c r="D23" s="16">
        <v>3</v>
      </c>
      <c r="E23" s="29">
        <f>'3_lambda'!$G$72</f>
        <v>5800.9960164491813</v>
      </c>
      <c r="F23" s="4"/>
      <c r="G23" s="29">
        <f t="shared" si="4"/>
        <v>5792.6162263717688</v>
      </c>
      <c r="H23" s="35">
        <f t="shared" si="5"/>
        <v>16.759580154825017</v>
      </c>
      <c r="I23" s="36" t="s">
        <v>2</v>
      </c>
      <c r="J23" s="40">
        <f t="shared" si="6"/>
        <v>345.63015140353008</v>
      </c>
      <c r="K23" s="4"/>
    </row>
    <row r="24" spans="1:11" x14ac:dyDescent="0.2">
      <c r="A24" s="4"/>
      <c r="B24" s="18">
        <v>3</v>
      </c>
      <c r="C24" s="47">
        <f>'3_lambda'!$G$60</f>
        <v>5722.634284153567</v>
      </c>
      <c r="D24" s="18">
        <v>3</v>
      </c>
      <c r="E24" s="47">
        <f>'3_lambda'!$G$73</f>
        <v>5742.2605111473786</v>
      </c>
      <c r="F24" s="4"/>
      <c r="G24" s="22">
        <f t="shared" si="4"/>
        <v>5732.4473976504723</v>
      </c>
      <c r="H24" s="20">
        <f t="shared" si="5"/>
        <v>19.626226993811542</v>
      </c>
      <c r="I24" s="36" t="s">
        <v>2</v>
      </c>
      <c r="J24" s="40">
        <f t="shared" si="6"/>
        <v>292.0809689737107</v>
      </c>
      <c r="K24" s="4"/>
    </row>
    <row r="25" spans="1:11" x14ac:dyDescent="0.2">
      <c r="A25" s="4"/>
      <c r="B25" s="16">
        <v>4</v>
      </c>
      <c r="C25" s="46">
        <f>'3_lambda'!$G$61</f>
        <v>5709.2642776056482</v>
      </c>
      <c r="D25" s="16">
        <v>4</v>
      </c>
      <c r="E25" s="29">
        <f>'3_lambda'!$G$74</f>
        <v>5730.7886211899877</v>
      </c>
      <c r="F25" s="4"/>
      <c r="G25" s="29">
        <f t="shared" si="4"/>
        <v>5720.0264493978175</v>
      </c>
      <c r="H25" s="35">
        <f t="shared" si="5"/>
        <v>21.524343584339476</v>
      </c>
      <c r="I25" s="36" t="s">
        <v>2</v>
      </c>
      <c r="J25" s="40">
        <f t="shared" si="6"/>
        <v>265.74684737701142</v>
      </c>
      <c r="K25" s="4"/>
    </row>
    <row r="26" spans="1:11" x14ac:dyDescent="0.2">
      <c r="A26" s="4"/>
      <c r="B26" s="18">
        <v>5</v>
      </c>
      <c r="C26" s="22">
        <f>'3_lambda'!$G$62</f>
        <v>5690.6049945372779</v>
      </c>
      <c r="D26" s="18">
        <v>5</v>
      </c>
      <c r="E26" s="47">
        <f>'3_lambda'!$G$75</f>
        <v>5709.3267400865498</v>
      </c>
      <c r="F26" s="4"/>
      <c r="G26" s="22">
        <f t="shared" si="4"/>
        <v>5699.9658673119138</v>
      </c>
      <c r="H26" s="20">
        <f t="shared" si="5"/>
        <v>18.721745549271873</v>
      </c>
      <c r="I26" s="36" t="s">
        <v>2</v>
      </c>
      <c r="J26" s="40">
        <f t="shared" si="6"/>
        <v>304.45696702322704</v>
      </c>
      <c r="K26" s="4"/>
    </row>
    <row r="27" spans="1:11" x14ac:dyDescent="0.2">
      <c r="A27" s="4"/>
      <c r="B27" s="11"/>
      <c r="C27" s="11"/>
      <c r="D27" s="16"/>
      <c r="E27" s="46"/>
      <c r="F27" s="4"/>
      <c r="G27" s="29"/>
      <c r="H27" s="35"/>
      <c r="I27" s="36" t="s">
        <v>2</v>
      </c>
      <c r="J27" s="11" t="e">
        <f t="shared" si="6"/>
        <v>#DIV/0!</v>
      </c>
      <c r="K27" s="4"/>
    </row>
    <row r="28" spans="1:11" x14ac:dyDescent="0.2">
      <c r="A28" s="4"/>
      <c r="B28" s="18"/>
      <c r="C28" s="47"/>
      <c r="D28" s="18"/>
      <c r="E28" s="47"/>
      <c r="F28" s="4"/>
      <c r="G28" s="22"/>
      <c r="H28" s="20"/>
      <c r="I28" s="36" t="s">
        <v>2</v>
      </c>
      <c r="J28" s="15" t="e">
        <f t="shared" si="6"/>
        <v>#DIV/0!</v>
      </c>
      <c r="K28" s="4"/>
    </row>
    <row r="29" spans="1:11" x14ac:dyDescent="0.2">
      <c r="A29" s="4"/>
      <c r="B29" s="16"/>
      <c r="C29" s="46"/>
      <c r="D29" s="16"/>
      <c r="E29" s="46"/>
      <c r="F29" s="4"/>
      <c r="G29" s="29"/>
      <c r="H29" s="35"/>
      <c r="I29" s="36" t="s">
        <v>2</v>
      </c>
      <c r="J29" s="11" t="e">
        <f t="shared" si="6"/>
        <v>#DIV/0!</v>
      </c>
      <c r="K29" s="4"/>
    </row>
    <row r="30" spans="1:11" x14ac:dyDescent="0.2">
      <c r="A30" s="4"/>
      <c r="B30" s="15"/>
      <c r="C30" s="22"/>
      <c r="D30" s="54"/>
      <c r="E30" s="54"/>
      <c r="F30" s="4"/>
      <c r="G30" s="22"/>
      <c r="H30" s="20"/>
      <c r="I30" s="36" t="s">
        <v>2</v>
      </c>
      <c r="J30" s="15" t="e">
        <f t="shared" si="6"/>
        <v>#DIV/0!</v>
      </c>
      <c r="K30" s="4"/>
    </row>
    <row r="31" spans="1:11" x14ac:dyDescent="0.2">
      <c r="A31" s="4"/>
      <c r="B31" s="6"/>
      <c r="C31" s="52"/>
      <c r="D31" s="6"/>
      <c r="E31" s="52"/>
      <c r="F31" s="4"/>
      <c r="G31" s="52"/>
      <c r="H31" s="51"/>
      <c r="I31" s="32"/>
      <c r="J31" s="32"/>
      <c r="K31" s="4"/>
    </row>
  </sheetData>
  <mergeCells count="7">
    <mergeCell ref="B19:C19"/>
    <mergeCell ref="D19:E19"/>
    <mergeCell ref="A4:K4"/>
    <mergeCell ref="B5:C5"/>
    <mergeCell ref="D5:E5"/>
    <mergeCell ref="D16:E16"/>
    <mergeCell ref="A18:K1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B0CD-5EA4-2340-8A2C-EF3CFEACD443}">
  <dimension ref="A1:D10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cm="1">
        <f t="array" ref="A1:D10">'2_passo'!B6:E15</f>
        <v>4</v>
      </c>
      <c r="B1">
        <v>5896</v>
      </c>
      <c r="C1">
        <v>175</v>
      </c>
      <c r="D1">
        <v>21</v>
      </c>
    </row>
    <row r="2" spans="1:4" x14ac:dyDescent="0.2">
      <c r="A2">
        <v>4</v>
      </c>
      <c r="B2">
        <v>5896</v>
      </c>
      <c r="C2">
        <v>175</v>
      </c>
      <c r="D2">
        <v>22</v>
      </c>
    </row>
    <row r="3" spans="1:4" x14ac:dyDescent="0.2">
      <c r="A3">
        <v>4</v>
      </c>
      <c r="B3">
        <v>5896</v>
      </c>
      <c r="C3">
        <v>175</v>
      </c>
      <c r="D3">
        <v>21</v>
      </c>
    </row>
    <row r="4" spans="1:4" x14ac:dyDescent="0.2">
      <c r="A4">
        <v>4</v>
      </c>
      <c r="B4">
        <v>5896</v>
      </c>
      <c r="C4">
        <v>86</v>
      </c>
      <c r="D4">
        <v>37</v>
      </c>
    </row>
    <row r="5" spans="1:4" x14ac:dyDescent="0.2">
      <c r="A5">
        <v>3</v>
      </c>
      <c r="B5">
        <v>5896</v>
      </c>
      <c r="C5">
        <v>99</v>
      </c>
      <c r="D5">
        <v>8</v>
      </c>
    </row>
    <row r="6" spans="1:4" x14ac:dyDescent="0.2">
      <c r="A6">
        <v>3</v>
      </c>
      <c r="B6">
        <v>5896</v>
      </c>
      <c r="C6">
        <v>162</v>
      </c>
      <c r="D6">
        <v>23</v>
      </c>
    </row>
    <row r="7" spans="1:4" x14ac:dyDescent="0.2">
      <c r="A7">
        <v>0</v>
      </c>
      <c r="B7">
        <v>5896</v>
      </c>
      <c r="C7">
        <v>0</v>
      </c>
      <c r="D7">
        <v>0</v>
      </c>
    </row>
    <row r="8" spans="1:4" x14ac:dyDescent="0.2">
      <c r="A8">
        <v>0</v>
      </c>
      <c r="B8">
        <v>5896</v>
      </c>
      <c r="C8">
        <v>0</v>
      </c>
      <c r="D8">
        <v>0</v>
      </c>
    </row>
    <row r="9" spans="1:4" x14ac:dyDescent="0.2">
      <c r="A9">
        <v>0</v>
      </c>
      <c r="B9">
        <v>5896</v>
      </c>
      <c r="C9">
        <v>0</v>
      </c>
      <c r="D9">
        <v>0</v>
      </c>
    </row>
    <row r="10" spans="1:4" x14ac:dyDescent="0.2">
      <c r="A10">
        <v>0</v>
      </c>
      <c r="B10">
        <v>5896</v>
      </c>
      <c r="C10">
        <v>0</v>
      </c>
      <c r="D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3828-E997-8F49-8836-A731DF83BE4F}">
  <dimension ref="A1:U11"/>
  <sheetViews>
    <sheetView workbookViewId="0">
      <selection activeCell="L36" sqref="L36"/>
    </sheetView>
  </sheetViews>
  <sheetFormatPr baseColWidth="10" defaultRowHeight="16" x14ac:dyDescent="0.2"/>
  <sheetData>
    <row r="1" spans="1:21" x14ac:dyDescent="0.2">
      <c r="A1" cm="1">
        <f t="array" ref="A1:C10">'3_lambda'!B4:D13</f>
        <v>2</v>
      </c>
      <c r="B1">
        <v>144</v>
      </c>
      <c r="C1">
        <v>25</v>
      </c>
      <c r="D1" cm="1">
        <f t="array" ref="D1:F10">'3_lambda'!B17:D26</f>
        <v>4</v>
      </c>
      <c r="E1">
        <v>101</v>
      </c>
      <c r="F1">
        <v>46</v>
      </c>
      <c r="G1" cm="1">
        <f t="array" ref="G1:I11">'3_lambda'!B30:D40</f>
        <v>4</v>
      </c>
      <c r="H1">
        <v>99</v>
      </c>
      <c r="I1">
        <v>37</v>
      </c>
      <c r="J1" cm="1">
        <f t="array" ref="J1:L10">'3_lambda'!B44:D53</f>
        <v>5</v>
      </c>
      <c r="K1">
        <v>77</v>
      </c>
      <c r="L1">
        <v>17</v>
      </c>
      <c r="M1" cm="1">
        <f t="array" ref="M1:O10">'3_lambda'!B57:D66</f>
        <v>1</v>
      </c>
      <c r="N1">
        <v>140</v>
      </c>
      <c r="O1">
        <v>25</v>
      </c>
      <c r="P1" cm="1">
        <f t="array" ref="P1:R10">'3_lambda'!B70:D79</f>
        <v>1</v>
      </c>
      <c r="Q1">
        <v>140</v>
      </c>
      <c r="R1">
        <v>28</v>
      </c>
      <c r="S1" cm="1">
        <f t="array" ref="S1:U10">'3_lambda'!B83:D92</f>
        <v>1</v>
      </c>
      <c r="T1">
        <v>141</v>
      </c>
      <c r="U1">
        <v>12</v>
      </c>
    </row>
    <row r="2" spans="1:21" x14ac:dyDescent="0.2">
      <c r="A2">
        <v>3</v>
      </c>
      <c r="B2">
        <v>151</v>
      </c>
      <c r="C2">
        <v>44</v>
      </c>
      <c r="D2">
        <v>1</v>
      </c>
      <c r="E2">
        <v>137</v>
      </c>
      <c r="F2">
        <v>30</v>
      </c>
      <c r="G2">
        <v>3</v>
      </c>
      <c r="H2">
        <v>107</v>
      </c>
      <c r="I2">
        <v>50</v>
      </c>
      <c r="J2">
        <v>1</v>
      </c>
      <c r="K2">
        <v>139</v>
      </c>
      <c r="L2">
        <v>52</v>
      </c>
      <c r="M2">
        <v>2</v>
      </c>
      <c r="N2">
        <v>150</v>
      </c>
      <c r="O2">
        <v>37</v>
      </c>
      <c r="P2">
        <v>2</v>
      </c>
      <c r="Q2">
        <v>150</v>
      </c>
      <c r="R2">
        <v>40</v>
      </c>
      <c r="S2">
        <v>2</v>
      </c>
      <c r="T2">
        <v>152</v>
      </c>
      <c r="U2">
        <v>19</v>
      </c>
    </row>
    <row r="3" spans="1:21" x14ac:dyDescent="0.2">
      <c r="A3">
        <v>4</v>
      </c>
      <c r="B3">
        <v>159</v>
      </c>
      <c r="C3">
        <v>20</v>
      </c>
      <c r="D3">
        <v>2</v>
      </c>
      <c r="E3">
        <v>144</v>
      </c>
      <c r="F3">
        <v>34</v>
      </c>
      <c r="G3">
        <v>4</v>
      </c>
      <c r="H3">
        <v>99</v>
      </c>
      <c r="I3">
        <v>36</v>
      </c>
      <c r="J3">
        <v>2</v>
      </c>
      <c r="K3">
        <v>149</v>
      </c>
      <c r="L3">
        <v>29</v>
      </c>
      <c r="M3">
        <v>3</v>
      </c>
      <c r="N3">
        <v>161</v>
      </c>
      <c r="O3">
        <v>36</v>
      </c>
      <c r="P3">
        <v>3</v>
      </c>
      <c r="Q3">
        <v>161</v>
      </c>
      <c r="R3">
        <v>42</v>
      </c>
      <c r="S3">
        <v>0</v>
      </c>
      <c r="T3">
        <v>0</v>
      </c>
      <c r="U3">
        <v>0</v>
      </c>
    </row>
    <row r="4" spans="1:21" x14ac:dyDescent="0.2">
      <c r="A4">
        <v>5</v>
      </c>
      <c r="B4">
        <v>167</v>
      </c>
      <c r="C4">
        <v>40</v>
      </c>
      <c r="D4">
        <v>3</v>
      </c>
      <c r="E4">
        <v>151</v>
      </c>
      <c r="F4">
        <v>52</v>
      </c>
      <c r="G4">
        <v>5</v>
      </c>
      <c r="H4">
        <v>90</v>
      </c>
      <c r="I4">
        <v>41</v>
      </c>
      <c r="J4">
        <v>3</v>
      </c>
      <c r="K4">
        <v>159</v>
      </c>
      <c r="L4">
        <v>45</v>
      </c>
      <c r="M4">
        <v>3</v>
      </c>
      <c r="N4">
        <v>99</v>
      </c>
      <c r="O4">
        <v>52</v>
      </c>
      <c r="P4">
        <v>3</v>
      </c>
      <c r="Q4">
        <v>99</v>
      </c>
      <c r="R4">
        <v>45</v>
      </c>
      <c r="S4">
        <v>0</v>
      </c>
      <c r="T4">
        <v>0</v>
      </c>
      <c r="U4">
        <v>0</v>
      </c>
    </row>
    <row r="5" spans="1:21" x14ac:dyDescent="0.2">
      <c r="A5">
        <v>1</v>
      </c>
      <c r="B5">
        <v>137</v>
      </c>
      <c r="C5">
        <v>25</v>
      </c>
      <c r="D5">
        <v>4</v>
      </c>
      <c r="E5">
        <v>159</v>
      </c>
      <c r="F5">
        <v>36</v>
      </c>
      <c r="G5">
        <v>1</v>
      </c>
      <c r="H5">
        <v>138</v>
      </c>
      <c r="I5">
        <v>0</v>
      </c>
      <c r="J5">
        <v>4</v>
      </c>
      <c r="K5">
        <v>171</v>
      </c>
      <c r="L5">
        <v>16</v>
      </c>
      <c r="M5">
        <v>4</v>
      </c>
      <c r="N5">
        <v>87</v>
      </c>
      <c r="O5">
        <v>48</v>
      </c>
      <c r="P5">
        <v>4</v>
      </c>
      <c r="Q5">
        <v>87</v>
      </c>
      <c r="R5">
        <v>36</v>
      </c>
      <c r="S5">
        <v>0</v>
      </c>
      <c r="T5">
        <v>0</v>
      </c>
      <c r="U5">
        <v>0</v>
      </c>
    </row>
    <row r="6" spans="1:21" x14ac:dyDescent="0.2">
      <c r="A6">
        <v>4</v>
      </c>
      <c r="B6">
        <v>102</v>
      </c>
      <c r="C6">
        <v>1</v>
      </c>
      <c r="D6">
        <v>5</v>
      </c>
      <c r="E6">
        <v>168</v>
      </c>
      <c r="F6">
        <v>2</v>
      </c>
      <c r="G6">
        <v>2</v>
      </c>
      <c r="H6">
        <v>145</v>
      </c>
      <c r="I6">
        <v>38</v>
      </c>
      <c r="J6">
        <v>3</v>
      </c>
      <c r="K6">
        <v>101</v>
      </c>
      <c r="L6">
        <v>41</v>
      </c>
      <c r="M6">
        <v>5</v>
      </c>
      <c r="N6">
        <v>72</v>
      </c>
      <c r="O6">
        <v>48</v>
      </c>
      <c r="P6">
        <v>5</v>
      </c>
      <c r="Q6">
        <v>72</v>
      </c>
      <c r="R6">
        <v>30</v>
      </c>
      <c r="S6">
        <v>0</v>
      </c>
      <c r="T6">
        <v>0</v>
      </c>
      <c r="U6">
        <v>0</v>
      </c>
    </row>
    <row r="7" spans="1:21" x14ac:dyDescent="0.2">
      <c r="A7">
        <v>5</v>
      </c>
      <c r="B7">
        <v>94</v>
      </c>
      <c r="C7">
        <v>0</v>
      </c>
      <c r="D7">
        <v>0</v>
      </c>
      <c r="E7">
        <v>0</v>
      </c>
      <c r="F7">
        <v>0</v>
      </c>
      <c r="G7">
        <v>3</v>
      </c>
      <c r="H7">
        <v>153</v>
      </c>
      <c r="I7">
        <v>25</v>
      </c>
      <c r="J7">
        <v>4</v>
      </c>
      <c r="K7">
        <v>90</v>
      </c>
      <c r="L7">
        <v>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161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171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171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G11">
        <v>4</v>
      </c>
      <c r="H11">
        <v>161</v>
      </c>
      <c r="I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Cosa contiene questo file</vt:lpstr>
      <vt:lpstr>1_ortogonalita</vt:lpstr>
      <vt:lpstr>2_passo</vt:lpstr>
      <vt:lpstr>3_lambda</vt:lpstr>
      <vt:lpstr>4_potere dispersivo</vt:lpstr>
      <vt:lpstr>5_potere risolutivo</vt:lpstr>
      <vt:lpstr>Export_passo</vt:lpstr>
      <vt:lpstr>Export_lambdas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2024-10-20T12:10:11Z</dcterms:created>
  <dcterms:modified xsi:type="dcterms:W3CDTF">2024-10-29T18:17:48Z</dcterms:modified>
</cp:coreProperties>
</file>